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DAS Shared Perm\GSE Infrastructure\MM FY26 0017-061T Historical Shelving\"/>
    </mc:Choice>
  </mc:AlternateContent>
  <xr:revisionPtr revIDLastSave="0" documentId="13_ncr:1_{836C0D72-48A9-4AEF-8E11-0557F85E8D98}" xr6:coauthVersionLast="47" xr6:coauthVersionMax="47" xr10:uidLastSave="{00000000-0000-0000-0000-000000000000}"/>
  <bookViews>
    <workbookView xWindow="-28920" yWindow="-120" windowWidth="29040" windowHeight="15720" tabRatio="928" firstSheet="1" activeTab="1" xr2:uid="{00000000-000D-0000-FFFF-FFFF00000000}"/>
  </bookViews>
  <sheets>
    <sheet name="Language" sheetId="7" r:id="rId1"/>
    <sheet name="FINANCIAL" sheetId="6" r:id="rId2"/>
    <sheet name="RECAP #9485.00" sheetId="2" r:id="rId3"/>
    <sheet name="#9485.00 Neumann Monson" sheetId="3" r:id="rId4"/>
    <sheet name="#9485.00 PM TIME" sheetId="4" r:id="rId5"/>
    <sheet name="#9485.00 Misc" sheetId="5" r:id="rId6"/>
    <sheet name="#9485.00 DCI Group" sheetId="8" r:id="rId7"/>
    <sheet name="#9485.00 Midwest Storage " sheetId="13" r:id="rId8"/>
    <sheet name="#9485.00 GTG Construction" sheetId="14" r:id="rId9"/>
    <sheet name="#9485.00 Waldinger Corp" sheetId="15" r:id="rId10"/>
    <sheet name="#9485.00 JF Ahern" sheetId="16" r:id="rId11"/>
    <sheet name="#9485.00 DCI Group (2)" sheetId="17" r:id="rId12"/>
    <sheet name="#9485.00 IA Prison Industries" sheetId="18" r:id="rId13"/>
    <sheet name="RECAP #XXXX.XX" sheetId="9" r:id="rId14"/>
    <sheet name="#XXXX.XX Vendor A" sheetId="10" r:id="rId15"/>
    <sheet name="#XXXX.XX PM TIME" sheetId="11" r:id="rId16"/>
    <sheet name="#XXXX.XX Misc" sheetId="12" r:id="rId17"/>
  </sheets>
  <externalReferences>
    <externalReference r:id="rId18"/>
  </externalReferences>
  <definedNames>
    <definedName name="_xlnm._FilterDatabase" localSheetId="1" hidden="1">FINANCIAL!$A$13:$K$13</definedName>
    <definedName name="_xlnm.Print_Area" localSheetId="1">FINANCIAL!$A$1:$K$47</definedName>
    <definedName name="_xlnm.Print_Titles" localSheetId="1">FINANCIAL!$2:$2</definedName>
    <definedName name="Z_B4E4B686_422E_4CA5_83DF_67B3403136B9_.wvu.FilterData" localSheetId="1" hidden="1">FINANCIAL!$A$13:$K$13</definedName>
    <definedName name="Z_B4E4B686_422E_4CA5_83DF_67B3403136B9_.wvu.PrintArea" localSheetId="1" hidden="1">FINANCIAL!$A$1:$K$47</definedName>
    <definedName name="Z_B4E4B686_422E_4CA5_83DF_67B3403136B9_.wvu.PrintTitles" localSheetId="1" hidden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3" l="1"/>
  <c r="I14" i="13"/>
  <c r="F28" i="17"/>
  <c r="F27" i="17"/>
  <c r="F26" i="17"/>
  <c r="I30" i="4"/>
  <c r="I31" i="4" s="1"/>
  <c r="I32" i="4" s="1"/>
  <c r="H30" i="4"/>
  <c r="H31" i="4" s="1"/>
  <c r="H32" i="4" s="1"/>
  <c r="F30" i="4"/>
  <c r="F31" i="4"/>
  <c r="F32" i="4" s="1"/>
  <c r="I16" i="15"/>
  <c r="F28" i="3"/>
  <c r="I13" i="13"/>
  <c r="I15" i="15"/>
  <c r="H23" i="18"/>
  <c r="I15" i="14"/>
  <c r="D24" i="18"/>
  <c r="I13" i="15"/>
  <c r="I12" i="13"/>
  <c r="G24" i="4"/>
  <c r="I11" i="15"/>
  <c r="I13" i="14"/>
  <c r="F19" i="18" l="1"/>
  <c r="D19" i="18"/>
  <c r="D19" i="2" s="1"/>
  <c r="G10" i="18"/>
  <c r="G11" i="18" s="1"/>
  <c r="G12" i="18" s="1"/>
  <c r="G13" i="18" s="1"/>
  <c r="G14" i="18" s="1"/>
  <c r="G15" i="18" s="1"/>
  <c r="G16" i="18" s="1"/>
  <c r="G17" i="18" s="1"/>
  <c r="E9" i="18"/>
  <c r="H9" i="18" s="1"/>
  <c r="H10" i="18" s="1"/>
  <c r="H11" i="18" s="1"/>
  <c r="H12" i="18" s="1"/>
  <c r="H13" i="18" s="1"/>
  <c r="H14" i="18" s="1"/>
  <c r="H15" i="18" s="1"/>
  <c r="H16" i="18" s="1"/>
  <c r="H17" i="18" s="1"/>
  <c r="A6" i="18"/>
  <c r="D3" i="18"/>
  <c r="A3" i="18"/>
  <c r="A2" i="18"/>
  <c r="A1" i="18"/>
  <c r="F27" i="3"/>
  <c r="F26" i="3"/>
  <c r="G21" i="4"/>
  <c r="G20" i="4"/>
  <c r="F29" i="17"/>
  <c r="D29" i="17"/>
  <c r="H28" i="17"/>
  <c r="H27" i="17"/>
  <c r="H26" i="17"/>
  <c r="F23" i="17"/>
  <c r="E18" i="2" s="1"/>
  <c r="D23" i="17"/>
  <c r="D18" i="2" s="1"/>
  <c r="G10" i="17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E9" i="17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A6" i="17"/>
  <c r="D3" i="17"/>
  <c r="A3" i="17"/>
  <c r="A2" i="17"/>
  <c r="A1" i="17"/>
  <c r="D27" i="8"/>
  <c r="D26" i="8"/>
  <c r="F26" i="8"/>
  <c r="E19" i="2" l="1"/>
  <c r="F22" i="18"/>
  <c r="H19" i="18"/>
  <c r="F19" i="2" s="1"/>
  <c r="E10" i="18"/>
  <c r="E11" i="18" s="1"/>
  <c r="E12" i="18" s="1"/>
  <c r="E13" i="18" s="1"/>
  <c r="E14" i="18" s="1"/>
  <c r="E15" i="18" s="1"/>
  <c r="E16" i="18" s="1"/>
  <c r="E17" i="18" s="1"/>
  <c r="H29" i="17"/>
  <c r="H23" i="17"/>
  <c r="F18" i="2" s="1"/>
  <c r="H9" i="17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F23" i="16"/>
  <c r="E17" i="2" s="1"/>
  <c r="D23" i="16"/>
  <c r="G10" i="16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E9" i="16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A6" i="16"/>
  <c r="D3" i="16"/>
  <c r="A3" i="16"/>
  <c r="A2" i="16"/>
  <c r="A1" i="16"/>
  <c r="F23" i="15"/>
  <c r="E16" i="2" s="1"/>
  <c r="D23" i="15"/>
  <c r="D16" i="2" s="1"/>
  <c r="G10" i="15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E9" i="15"/>
  <c r="E10" i="15" s="1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A6" i="15"/>
  <c r="D3" i="15"/>
  <c r="A3" i="15"/>
  <c r="A2" i="15"/>
  <c r="A1" i="15"/>
  <c r="F23" i="14"/>
  <c r="E15" i="2" s="1"/>
  <c r="D23" i="14"/>
  <c r="G10" i="14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E9" i="14"/>
  <c r="E10" i="14" s="1"/>
  <c r="E11" i="14" s="1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A6" i="14"/>
  <c r="D3" i="14"/>
  <c r="A3" i="14"/>
  <c r="A2" i="14"/>
  <c r="A1" i="14"/>
  <c r="A1" i="5"/>
  <c r="F27" i="8"/>
  <c r="F23" i="13"/>
  <c r="E14" i="2" s="1"/>
  <c r="D23" i="13"/>
  <c r="G10" i="13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E9" i="13"/>
  <c r="E10" i="13" s="1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A6" i="13"/>
  <c r="D3" i="13"/>
  <c r="A3" i="13"/>
  <c r="A2" i="13"/>
  <c r="A1" i="13"/>
  <c r="F24" i="18" l="1"/>
  <c r="H22" i="18"/>
  <c r="H24" i="18" s="1"/>
  <c r="H23" i="13"/>
  <c r="F14" i="2" s="1"/>
  <c r="H23" i="16"/>
  <c r="F17" i="2" s="1"/>
  <c r="D17" i="2"/>
  <c r="H23" i="14"/>
  <c r="F15" i="2" s="1"/>
  <c r="D15" i="2"/>
  <c r="H9" i="16"/>
  <c r="H10" i="16" s="1"/>
  <c r="H11" i="16" s="1"/>
  <c r="H12" i="16" s="1"/>
  <c r="H13" i="16" s="1"/>
  <c r="H14" i="16" s="1"/>
  <c r="H15" i="16" s="1"/>
  <c r="H16" i="16" s="1"/>
  <c r="H17" i="16" s="1"/>
  <c r="H18" i="16" s="1"/>
  <c r="H19" i="16" s="1"/>
  <c r="H20" i="16" s="1"/>
  <c r="H21" i="16" s="1"/>
  <c r="D14" i="2"/>
  <c r="H23" i="15"/>
  <c r="F16" i="2" s="1"/>
  <c r="H9" i="15"/>
  <c r="H10" i="15" s="1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H9" i="14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9" i="13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G13" i="4"/>
  <c r="G12" i="4"/>
  <c r="G22" i="12" l="1"/>
  <c r="D12" i="9" s="1"/>
  <c r="H9" i="12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A7" i="12"/>
  <c r="E3" i="12"/>
  <c r="A3" i="12"/>
  <c r="A2" i="12"/>
  <c r="A1" i="12"/>
  <c r="G23" i="11"/>
  <c r="E23" i="11"/>
  <c r="I23" i="11" s="1"/>
  <c r="F11" i="9" s="1"/>
  <c r="H10" i="1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F9" i="1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A7" i="11"/>
  <c r="E3" i="11"/>
  <c r="A3" i="11"/>
  <c r="A2" i="11"/>
  <c r="A1" i="11"/>
  <c r="F28" i="10"/>
  <c r="D28" i="10"/>
  <c r="H27" i="10"/>
  <c r="H26" i="10"/>
  <c r="F23" i="10"/>
  <c r="E10" i="9" s="1"/>
  <c r="D23" i="10"/>
  <c r="D10" i="9" s="1"/>
  <c r="G10" i="10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E9" i="10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A6" i="10"/>
  <c r="D3" i="10"/>
  <c r="A3" i="10"/>
  <c r="A2" i="10"/>
  <c r="A1" i="10"/>
  <c r="C14" i="9"/>
  <c r="E12" i="9"/>
  <c r="E11" i="9"/>
  <c r="D11" i="9"/>
  <c r="F12" i="9" l="1"/>
  <c r="D14" i="9"/>
  <c r="G14" i="9" s="1"/>
  <c r="E14" i="9"/>
  <c r="H28" i="10"/>
  <c r="H23" i="10"/>
  <c r="F10" i="9" s="1"/>
  <c r="H9" i="10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I9" i="11"/>
  <c r="I10" i="11" s="1"/>
  <c r="I11" i="11" s="1"/>
  <c r="I12" i="11" s="1"/>
  <c r="I13" i="11" s="1"/>
  <c r="I14" i="11" s="1"/>
  <c r="I15" i="11" s="1"/>
  <c r="I16" i="11" s="1"/>
  <c r="I17" i="11" s="1"/>
  <c r="I18" i="11" s="1"/>
  <c r="I19" i="11" s="1"/>
  <c r="I20" i="11" s="1"/>
  <c r="I21" i="11" s="1"/>
  <c r="F14" i="9" l="1"/>
  <c r="F28" i="8"/>
  <c r="D28" i="8"/>
  <c r="H27" i="8"/>
  <c r="H26" i="8"/>
  <c r="F23" i="8"/>
  <c r="E13" i="2" s="1"/>
  <c r="D23" i="8"/>
  <c r="D13" i="2" s="1"/>
  <c r="G10" i="8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E9" i="8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A6" i="8"/>
  <c r="D3" i="8"/>
  <c r="A3" i="8"/>
  <c r="A2" i="8"/>
  <c r="A1" i="8"/>
  <c r="H28" i="8" l="1"/>
  <c r="H23" i="8"/>
  <c r="F13" i="2" s="1"/>
  <c r="H9" i="8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G11" i="4"/>
  <c r="G10" i="4"/>
  <c r="F29" i="3" l="1"/>
  <c r="D29" i="3"/>
  <c r="H28" i="3"/>
  <c r="H27" i="3"/>
  <c r="H26" i="3"/>
  <c r="H29" i="3" l="1"/>
  <c r="D3" i="6"/>
  <c r="C8" i="2" l="1"/>
  <c r="F40" i="6" l="1"/>
  <c r="D4" i="6" s="1"/>
  <c r="E6" i="6" s="1"/>
  <c r="J44" i="6" s="1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E40" i="6"/>
  <c r="G15" i="6"/>
  <c r="G41" i="5"/>
  <c r="H9" i="5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A7" i="5"/>
  <c r="E3" i="5"/>
  <c r="A3" i="5"/>
  <c r="A2" i="5"/>
  <c r="G34" i="4"/>
  <c r="E11" i="2" s="1"/>
  <c r="E34" i="4"/>
  <c r="H10" i="4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F9" i="4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A7" i="4"/>
  <c r="E3" i="4"/>
  <c r="A3" i="4"/>
  <c r="A2" i="4"/>
  <c r="A1" i="4"/>
  <c r="F23" i="3"/>
  <c r="E10" i="2" s="1"/>
  <c r="D23" i="3"/>
  <c r="D10" i="2" s="1"/>
  <c r="G10" i="3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E9" i="3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A6" i="3"/>
  <c r="D3" i="3"/>
  <c r="A3" i="3"/>
  <c r="A2" i="3"/>
  <c r="A1" i="3"/>
  <c r="C21" i="2"/>
  <c r="D12" i="2" l="1"/>
  <c r="E12" i="2"/>
  <c r="E21" i="2" s="1"/>
  <c r="I15" i="6" s="1"/>
  <c r="I40" i="6" s="1"/>
  <c r="I34" i="4"/>
  <c r="F11" i="2" s="1"/>
  <c r="D11" i="2"/>
  <c r="G16" i="6"/>
  <c r="G40" i="6" s="1"/>
  <c r="E7" i="6" s="1"/>
  <c r="E8" i="6" s="1"/>
  <c r="K42" i="6" s="1"/>
  <c r="H9" i="3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3" i="3"/>
  <c r="F10" i="2" s="1"/>
  <c r="F10" i="4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12" i="2" l="1"/>
  <c r="D21" i="2"/>
  <c r="H15" i="6" s="1"/>
  <c r="H40" i="6" s="1"/>
  <c r="J45" i="6" s="1"/>
  <c r="K45" i="6" s="1"/>
  <c r="F21" i="2" l="1"/>
  <c r="J15" i="6" s="1"/>
  <c r="J40" i="6" s="1"/>
  <c r="G21" i="2"/>
  <c r="K15" i="6" s="1"/>
  <c r="K40" i="6" s="1"/>
  <c r="K43" i="6" s="1"/>
  <c r="K46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Huggins, Joni [DAS]</author>
  </authors>
  <commentList>
    <comment ref="E9" authorId="0" shapeId="0" xr:uid="{DBBC257C-BE38-454E-8957-A91ADD819E68}">
      <text>
        <r>
          <rPr>
            <b/>
            <sz val="11"/>
            <color indexed="81"/>
            <rFont val="Tahoma"/>
            <family val="2"/>
          </rPr>
          <t>Huggins, Joni [DAS]:</t>
        </r>
        <r>
          <rPr>
            <sz val="11"/>
            <color indexed="81"/>
            <rFont val="Tahoma"/>
            <family val="2"/>
          </rPr>
          <t xml:space="preserve">
PM Time
$Joni
Adams, Brandon
1:58 PM (25 minutes ago)
to me
Finance,
Can you please set my budget for PM Time for the following projects:
DA26 9481.00 - $35,000
061T 9485.00 - $60,000
Regards,
Brandon Adams</t>
        </r>
      </text>
    </comment>
  </commentList>
</comments>
</file>

<file path=xl/sharedStrings.xml><?xml version="1.0" encoding="utf-8"?>
<sst xmlns="http://schemas.openxmlformats.org/spreadsheetml/2006/main" count="585" uniqueCount="299">
  <si>
    <t>Recap</t>
  </si>
  <si>
    <t xml:space="preserve"> </t>
  </si>
  <si>
    <t>TRANSFERS</t>
  </si>
  <si>
    <t>CONTRACTED</t>
  </si>
  <si>
    <t>EXPENDED</t>
  </si>
  <si>
    <t>CONTRACTED,  NOT EXPENDED</t>
  </si>
  <si>
    <t>UNDER(OVER)
Budget</t>
  </si>
  <si>
    <t>Budget</t>
  </si>
  <si>
    <t>PM TIME</t>
  </si>
  <si>
    <t>Misc.</t>
  </si>
  <si>
    <t>Total Project Cost</t>
  </si>
  <si>
    <t>Doc
  #</t>
  </si>
  <si>
    <t>Date</t>
  </si>
  <si>
    <t>Activity</t>
  </si>
  <si>
    <t>Contract 
&amp; C.O.'s</t>
  </si>
  <si>
    <t>Contract
Total</t>
  </si>
  <si>
    <t>Payment 
Amount</t>
  </si>
  <si>
    <t>Total
Paid</t>
  </si>
  <si>
    <t>Balance</t>
  </si>
  <si>
    <t>Totals:</t>
  </si>
  <si>
    <t>Internal documents</t>
  </si>
  <si>
    <t>eDAS</t>
  </si>
  <si>
    <t>Object Code</t>
  </si>
  <si>
    <t>Activity Code</t>
  </si>
  <si>
    <t>Budget amount</t>
  </si>
  <si>
    <t>Misc</t>
  </si>
  <si>
    <t>Do not code PM, EADOC, or Builders Risk here</t>
  </si>
  <si>
    <t xml:space="preserve">Doc #  </t>
  </si>
  <si>
    <t>Invoice</t>
  </si>
  <si>
    <t>Status</t>
  </si>
  <si>
    <t>PROJECT NUMBER</t>
  </si>
  <si>
    <t>PROJECT TITLE</t>
  </si>
  <si>
    <t>Project Mgr.</t>
  </si>
  <si>
    <t>Vertical Infrastructure Project Allocation</t>
  </si>
  <si>
    <t>Additional Funds</t>
  </si>
  <si>
    <t>Total Project Budget</t>
  </si>
  <si>
    <t>Contracted Amount</t>
  </si>
  <si>
    <t>Expended Amount</t>
  </si>
  <si>
    <t>Contracted Not Expended</t>
  </si>
  <si>
    <t>Not                Encumbered</t>
  </si>
  <si>
    <t>Sales Tax Refunds</t>
  </si>
  <si>
    <t>Total Funds &amp; Sales Tax Refunds</t>
  </si>
  <si>
    <t>.</t>
  </si>
  <si>
    <t>Less: Total Assigned</t>
  </si>
  <si>
    <t>Total Unassigned / Unallocated</t>
  </si>
  <si>
    <t>Major Maintenance Projects</t>
  </si>
  <si>
    <t>hard code</t>
  </si>
  <si>
    <t>link to project recap</t>
  </si>
  <si>
    <t>link to this page budget column</t>
  </si>
  <si>
    <t>Funds Received</t>
  </si>
  <si>
    <t>Major Maintenance Totals</t>
  </si>
  <si>
    <t>Total funds not allocated to the projects listed above</t>
  </si>
  <si>
    <t>For these projects the recap budget page will link to the Vertical Infrastructure project allocation and not the Total Budget column</t>
  </si>
  <si>
    <t>Subtotal</t>
  </si>
  <si>
    <t>Total funds Available</t>
  </si>
  <si>
    <t>Total obligated by contract or PO</t>
  </si>
  <si>
    <t>Variance</t>
  </si>
  <si>
    <t>DAS SHB Archives Storage Renovation</t>
  </si>
  <si>
    <t>Brandon A.</t>
  </si>
  <si>
    <t>Total Appropriation 061T</t>
  </si>
  <si>
    <t>9485.00</t>
  </si>
  <si>
    <t>Project # 9485.00</t>
  </si>
  <si>
    <t>Program code 948500</t>
  </si>
  <si>
    <t>Project Manager - Brandon A.</t>
  </si>
  <si>
    <t>Major Program 3E01</t>
  </si>
  <si>
    <t>Acct. Codes-0017-335-061T</t>
  </si>
  <si>
    <r>
      <t>Acct. Codes-0017-335-061T-</t>
    </r>
    <r>
      <rPr>
        <b/>
        <sz val="11"/>
        <color indexed="10"/>
        <rFont val="Arial"/>
        <family val="2"/>
      </rPr>
      <t>xxxx</t>
    </r>
  </si>
  <si>
    <t>Acct. Codes-0017-335-061T-xxxx</t>
  </si>
  <si>
    <t>Neumann Monson</t>
  </si>
  <si>
    <t>Acct. Codes-0017-335-061T-9260</t>
  </si>
  <si>
    <t>Vendor:  00002116371</t>
  </si>
  <si>
    <t>RFP 0215335040</t>
  </si>
  <si>
    <t>Activity code:  DSGN</t>
  </si>
  <si>
    <t>PO Procore</t>
  </si>
  <si>
    <t>Total:</t>
  </si>
  <si>
    <t>Construction Docs</t>
  </si>
  <si>
    <t>Bidding</t>
  </si>
  <si>
    <t>Construction Admin</t>
  </si>
  <si>
    <t>PO 33526217908</t>
  </si>
  <si>
    <t>IET DAS202601115300001</t>
  </si>
  <si>
    <t>Finance Support for July 01-31, 2025</t>
  </si>
  <si>
    <t>DAS Support for July 01-31, 2025</t>
  </si>
  <si>
    <t>DCI Group</t>
  </si>
  <si>
    <t>Acct. Codes-0017-335-061T-9255</t>
  </si>
  <si>
    <t>RFP18213355228-DCI11012021</t>
  </si>
  <si>
    <t>Activity code: CMGR</t>
  </si>
  <si>
    <t>Vendor:  00003025029</t>
  </si>
  <si>
    <t>PO 33526224900</t>
  </si>
  <si>
    <t>CM Staff Hours</t>
  </si>
  <si>
    <t>Reimbursables</t>
  </si>
  <si>
    <t>xxx xxxxxxxxxxxxxxxxxxxxx</t>
  </si>
  <si>
    <t>Project # xxxx.xx</t>
  </si>
  <si>
    <t>Program code xxxxxx</t>
  </si>
  <si>
    <t>Major Program xxxx</t>
  </si>
  <si>
    <t>Project Manager - xxxxxxxxxxxxxxxxxxx</t>
  </si>
  <si>
    <t>VendorA</t>
  </si>
  <si>
    <t>Vendor A</t>
  </si>
  <si>
    <t>Vendor:</t>
  </si>
  <si>
    <t>Activity code:</t>
  </si>
  <si>
    <t>CM Services:</t>
  </si>
  <si>
    <t xml:space="preserve">Reimbursables: </t>
  </si>
  <si>
    <t>PRC 3352621PA7908</t>
  </si>
  <si>
    <t>Inv. 9485.00-01</t>
  </si>
  <si>
    <t>IET DAS202602115300001</t>
  </si>
  <si>
    <t>Finance Support for August 01-31, 2025</t>
  </si>
  <si>
    <t>DAS Support for August 01-31, 2025</t>
  </si>
  <si>
    <t>Inv. DAS2026021153</t>
  </si>
  <si>
    <t>PRC 3352622PA4900</t>
  </si>
  <si>
    <t>0919/25</t>
  </si>
  <si>
    <t>Inv. 25-026 PC 01</t>
  </si>
  <si>
    <t>IET DAS202603115300001</t>
  </si>
  <si>
    <t>2507</t>
  </si>
  <si>
    <t>Finance Support for September 01-30, 2025</t>
  </si>
  <si>
    <t>DAS Support for September 01-30, 2025</t>
  </si>
  <si>
    <t>ICN Bill 09/01/25-09/30/25</t>
  </si>
  <si>
    <t>Inv. 730753-017</t>
  </si>
  <si>
    <t>IET 33526282902</t>
  </si>
  <si>
    <t>PRC 3352622PB4900</t>
  </si>
  <si>
    <t>Inv. 25-026 PC 02</t>
  </si>
  <si>
    <t>CNST</t>
  </si>
  <si>
    <t>Shipping Code:</t>
  </si>
  <si>
    <t>Shipping Code:  035</t>
  </si>
  <si>
    <t>eDAS:  733S</t>
  </si>
  <si>
    <t>Midwest Storage Solutions</t>
  </si>
  <si>
    <t>Vendor:  VS000001934</t>
  </si>
  <si>
    <t>MA25204</t>
  </si>
  <si>
    <t>Activity code: BRIN</t>
  </si>
  <si>
    <t>PO 33526303900</t>
  </si>
  <si>
    <t>Inv. DAS2026031153</t>
  </si>
  <si>
    <t>Brittany Puhrmann V#(00003208057)</t>
  </si>
  <si>
    <t>IET DAS202604115300001</t>
  </si>
  <si>
    <t>Finance Support for October 01-31, 2025</t>
  </si>
  <si>
    <t>DAS Support for October 01-31, 2025</t>
  </si>
  <si>
    <t>Inv. DAS2026041153</t>
  </si>
  <si>
    <t>Space Planning September 1-30,2025</t>
  </si>
  <si>
    <t>ICN Bill 10/01-10/31/25</t>
  </si>
  <si>
    <t>Inv. 732691-9485.00</t>
  </si>
  <si>
    <t>IET 33526316908</t>
  </si>
  <si>
    <t>9255</t>
  </si>
  <si>
    <t>Inv. 9485.00-001</t>
  </si>
  <si>
    <t>GAX 33526317904</t>
  </si>
  <si>
    <t>GAX 33526311900</t>
  </si>
  <si>
    <t>Iowa Prison Industries V#(250DOCIPI00)</t>
  </si>
  <si>
    <t>PRCI 33526317907</t>
  </si>
  <si>
    <t>Inv. 357297</t>
  </si>
  <si>
    <t>PRC 3352622PC4900</t>
  </si>
  <si>
    <t>Inv. 25-026 PC 03</t>
  </si>
  <si>
    <t>Inv. INVCL2322</t>
  </si>
  <si>
    <t>Rapids Reproduction V#(00002111375)</t>
  </si>
  <si>
    <t>PRC 33526329903</t>
  </si>
  <si>
    <t>Inv. 9485.00-02</t>
  </si>
  <si>
    <t>GAX 33526338905</t>
  </si>
  <si>
    <t>GTG Construction</t>
  </si>
  <si>
    <t>Vendor:  00003032746</t>
  </si>
  <si>
    <t>RFB#948500-01</t>
  </si>
  <si>
    <t>PO 33526338906</t>
  </si>
  <si>
    <t>GAX 33526346903</t>
  </si>
  <si>
    <t>Paige Wilkinson V#(00003192964)</t>
  </si>
  <si>
    <t>Waldinger Corp</t>
  </si>
  <si>
    <t>Vendor:  00002116105</t>
  </si>
  <si>
    <t>PO 33526349901</t>
  </si>
  <si>
    <t>CO #1</t>
  </si>
  <si>
    <t>IET DAS202605115300001</t>
  </si>
  <si>
    <t>Finance Support for November 1-30, 2025</t>
  </si>
  <si>
    <t>DAS Support for November 1-30, 2025</t>
  </si>
  <si>
    <t>JF Ahern dba Ahern Fire Protection</t>
  </si>
  <si>
    <t>JF Ahern</t>
  </si>
  <si>
    <t>Vendor:  00002102310</t>
  </si>
  <si>
    <t>PO 33526356900</t>
  </si>
  <si>
    <t>PRC 3352622PD4900</t>
  </si>
  <si>
    <t>Inv. 25-026 PC 04 Final</t>
  </si>
  <si>
    <t>FINAL</t>
  </si>
  <si>
    <t>C</t>
  </si>
  <si>
    <t>DCI Group (2)</t>
  </si>
  <si>
    <t>PO 33526365901</t>
  </si>
  <si>
    <t>CM Services</t>
  </si>
  <si>
    <t>Fee</t>
  </si>
  <si>
    <t>GAX 33526002901</t>
  </si>
  <si>
    <t>Inv. 9485.00-03</t>
  </si>
  <si>
    <t>GAX 33526009900</t>
  </si>
  <si>
    <t>9500</t>
  </si>
  <si>
    <t>Uline V#(00002100517)</t>
  </si>
  <si>
    <t>Inv. 202140593</t>
  </si>
  <si>
    <t>IET DAS202606115300001</t>
  </si>
  <si>
    <t>Finance Support for December 1-31, 2025</t>
  </si>
  <si>
    <t>DAS Support for December 1-31, 2025</t>
  </si>
  <si>
    <t>Inv. DAS2026061153</t>
  </si>
  <si>
    <t>Space Planning December 1-31,2025</t>
  </si>
  <si>
    <t>PRC 3352633PA8906</t>
  </si>
  <si>
    <t>Inv. 9485.00 01</t>
  </si>
  <si>
    <t>Retainage</t>
  </si>
  <si>
    <t>3% Retainage</t>
  </si>
  <si>
    <t>Inv. 163278176 &amp; 163277934</t>
  </si>
  <si>
    <t>Crown Equipment V#(00003010134)</t>
  </si>
  <si>
    <t>GAX 33526029900</t>
  </si>
  <si>
    <t>GAX 33526029901</t>
  </si>
  <si>
    <t>Inv. 9485.00-04</t>
  </si>
  <si>
    <t>PRC 3352621PB7908</t>
  </si>
  <si>
    <t>Iowa Prison Industries</t>
  </si>
  <si>
    <t>IA Prison Industries</t>
  </si>
  <si>
    <t>9485.00-01</t>
  </si>
  <si>
    <t>Activity code:  CNST</t>
  </si>
  <si>
    <t>PO 33526033916</t>
  </si>
  <si>
    <t>Vendor: 250DOCIPI00</t>
  </si>
  <si>
    <t>Inv. 876858</t>
  </si>
  <si>
    <t>Holmes Murphy V#(00002110543)</t>
  </si>
  <si>
    <t>PRC 33526035900</t>
  </si>
  <si>
    <t>PRC 3352634PA9901</t>
  </si>
  <si>
    <t>Inv. 357305</t>
  </si>
  <si>
    <t>PRCI 3352603PA3916</t>
  </si>
  <si>
    <t>Inv. 93053E-001</t>
  </si>
  <si>
    <t>IET DAS202607115300001</t>
  </si>
  <si>
    <t>Finance Support for January 1-31, 2026</t>
  </si>
  <si>
    <t>DAS Support for January 1-31, 2026</t>
  </si>
  <si>
    <t>Inv. 357329</t>
  </si>
  <si>
    <t>PRCI 33526047912</t>
  </si>
  <si>
    <t>Inv. 25-026 CA 01</t>
  </si>
  <si>
    <t>PRC 3352636PA5901</t>
  </si>
  <si>
    <t>CO #2</t>
  </si>
  <si>
    <t>PRC 3352633PB8906</t>
  </si>
  <si>
    <t>Inv. 9485.00 002</t>
  </si>
  <si>
    <t>CO #3</t>
  </si>
  <si>
    <t>PRC 3352634PB9901</t>
  </si>
  <si>
    <t>Inv. 93053E-002</t>
  </si>
  <si>
    <t>PRC 3352630PA3900</t>
  </si>
  <si>
    <t>Inv. 11140</t>
  </si>
  <si>
    <t>IET DAS202608115300001</t>
  </si>
  <si>
    <t>Finance Support for February 1-28, 2026</t>
  </si>
  <si>
    <t>DAS Support for February 1-28, 2026</t>
  </si>
  <si>
    <t>Space Planning Services February 1-28, 2026</t>
  </si>
  <si>
    <t>Inv. DAS2026081153</t>
  </si>
  <si>
    <t>PRC 3352621PC7908</t>
  </si>
  <si>
    <t>PRCI 33526075910</t>
  </si>
  <si>
    <t>Inv. 357340</t>
  </si>
  <si>
    <t>PRC 3352630PB3900</t>
  </si>
  <si>
    <t>Inv. 11169</t>
  </si>
  <si>
    <t>Inv. 9485.00-05 &amp; 06</t>
  </si>
  <si>
    <t>GAX 33526079914</t>
  </si>
  <si>
    <t>PRC 3352636PB5901</t>
  </si>
  <si>
    <t>Inv. 25-026 CA 02</t>
  </si>
  <si>
    <t>Inv. 57584</t>
  </si>
  <si>
    <t>GAX 33526082903</t>
  </si>
  <si>
    <t>Neumann Brothers V#(00002106354)</t>
  </si>
  <si>
    <t>Inv. INV1116469 &amp; 1117939</t>
  </si>
  <si>
    <t>ConvergeOne V#(00002104875)</t>
  </si>
  <si>
    <t>PRC 33526082905</t>
  </si>
  <si>
    <t>IET DAS202609115300001</t>
  </si>
  <si>
    <t>Electrical Services:  March 01-31, 2026</t>
  </si>
  <si>
    <t>Inv. DAS2026091153</t>
  </si>
  <si>
    <t>Fire Watch Services:  March 01-31, 2026</t>
  </si>
  <si>
    <t>Space Planning Services:  March 01-31, 2026</t>
  </si>
  <si>
    <t>Finance Support for March 01-31, 2026</t>
  </si>
  <si>
    <t>DAS Support for March 01-31, 2026</t>
  </si>
  <si>
    <t>Inv. 357357</t>
  </si>
  <si>
    <t>PRCI 3352603PB3916</t>
  </si>
  <si>
    <t>PRC 3352636PC5901</t>
  </si>
  <si>
    <t>Inv. 25-026 CA 03</t>
  </si>
  <si>
    <t>PRC 3352634PC9901</t>
  </si>
  <si>
    <t>Inv. 9485.00 03</t>
  </si>
  <si>
    <t>Contract Total:</t>
  </si>
  <si>
    <t>PRC 3352633PC8906</t>
  </si>
  <si>
    <t>Inv. 9485.00 003</t>
  </si>
  <si>
    <t>Space Planning Services August 1-31,2025</t>
  </si>
  <si>
    <t>Space Planning Services October 1-31,2025</t>
  </si>
  <si>
    <t>Electrical Services October 1-31,2025</t>
  </si>
  <si>
    <t>CO #4</t>
  </si>
  <si>
    <t>PO Update</t>
  </si>
  <si>
    <t>PRC 3352621PD7908</t>
  </si>
  <si>
    <t>Inv. 9485.00 04</t>
  </si>
  <si>
    <t>PRC 3352636PD5901</t>
  </si>
  <si>
    <t>Inv. 25-026 CA #04</t>
  </si>
  <si>
    <t>IET DAS202610115300001</t>
  </si>
  <si>
    <t>Finance Support for April 01-30, 2026</t>
  </si>
  <si>
    <t>DAS Support for April 01-30, 2026</t>
  </si>
  <si>
    <t>Fire Watch Services:  April 01-30, 2026</t>
  </si>
  <si>
    <t>Inv. DAS2026101153</t>
  </si>
  <si>
    <t>PRC 3352634PD9901</t>
  </si>
  <si>
    <t>Inv. 93053E-004</t>
  </si>
  <si>
    <t>PRCI 3352603PC3916</t>
  </si>
  <si>
    <t>Inv. 357374</t>
  </si>
  <si>
    <t>PRC 3352630PC3900</t>
  </si>
  <si>
    <t>Inv. 11285</t>
  </si>
  <si>
    <t>PRC 3352621PE7908</t>
  </si>
  <si>
    <t>Inv. 9485.00 05</t>
  </si>
  <si>
    <t>PRC 3352634PE9901</t>
  </si>
  <si>
    <t>Inv. 93053E-005</t>
  </si>
  <si>
    <t>CO #5</t>
  </si>
  <si>
    <t>Inv. 357329 &amp; Inv. 357340 were paid from the misc tab</t>
  </si>
  <si>
    <t>IET DAS202611115300001</t>
  </si>
  <si>
    <t>Finance Support for May 01-31, 2026</t>
  </si>
  <si>
    <t>DAS Support for May 01-31, 2026</t>
  </si>
  <si>
    <t>PRC 3352636PE5901</t>
  </si>
  <si>
    <t>Inv. 25-026 CA #05</t>
  </si>
  <si>
    <t>PRC 3352630PD3900</t>
  </si>
  <si>
    <t>Inv. 11335</t>
  </si>
  <si>
    <t>PRC 3352635PA6900</t>
  </si>
  <si>
    <t>Inv. 820028</t>
  </si>
  <si>
    <t>PRC 3352630PE3900</t>
  </si>
  <si>
    <t>Inv. 11358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</si>
</sst>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rgb="FF92D050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indexed="10"/>
      <name val="Arial"/>
      <family val="2"/>
    </font>
    <font>
      <b/>
      <sz val="10"/>
      <color rgb="FFFF0000"/>
      <name val="Arial"/>
      <family val="2"/>
    </font>
    <font>
      <i/>
      <sz val="12"/>
      <color theme="3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i/>
      <sz val="12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i/>
      <sz val="8"/>
      <color theme="0" tint="-0.249977111117893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343739"/>
      <name val="Arial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0"/>
      <color rgb="FF0000CC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i/>
      <sz val="12"/>
      <color rgb="FFFF0000"/>
      <name val="Arial"/>
      <family val="2"/>
    </font>
    <font>
      <b/>
      <sz val="10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44" fontId="6" fillId="0" borderId="0" applyFont="0" applyFill="0" applyBorder="0" applyAlignment="0" applyProtection="0"/>
  </cellStyleXfs>
  <cellXfs count="236">
    <xf numFmtId="0" fontId="0" fillId="0" borderId="0" xfId="0"/>
    <xf numFmtId="0" fontId="3" fillId="0" borderId="0" xfId="3" applyFont="1"/>
    <xf numFmtId="0" fontId="4" fillId="0" borderId="0" xfId="3" applyFont="1"/>
    <xf numFmtId="0" fontId="5" fillId="0" borderId="0" xfId="3" applyFont="1"/>
    <xf numFmtId="4" fontId="6" fillId="0" borderId="0" xfId="3" applyNumberFormat="1" applyFont="1"/>
    <xf numFmtId="0" fontId="6" fillId="0" borderId="0" xfId="3" applyFont="1"/>
    <xf numFmtId="164" fontId="7" fillId="0" borderId="0" xfId="4" applyNumberFormat="1" applyFont="1"/>
    <xf numFmtId="1" fontId="8" fillId="0" borderId="0" xfId="4" applyNumberFormat="1" applyFont="1" applyAlignment="1">
      <alignment horizontal="left"/>
    </xf>
    <xf numFmtId="4" fontId="9" fillId="0" borderId="0" xfId="3" applyNumberFormat="1" applyFont="1"/>
    <xf numFmtId="40" fontId="10" fillId="0" borderId="0" xfId="4" applyNumberFormat="1" applyFont="1"/>
    <xf numFmtId="164" fontId="5" fillId="0" borderId="0" xfId="3" applyNumberFormat="1" applyFont="1"/>
    <xf numFmtId="164" fontId="5" fillId="0" borderId="0" xfId="4" applyNumberFormat="1" applyFont="1"/>
    <xf numFmtId="0" fontId="5" fillId="0" borderId="0" xfId="3" applyFont="1" applyAlignment="1">
      <alignment wrapText="1"/>
    </xf>
    <xf numFmtId="4" fontId="3" fillId="0" borderId="0" xfId="3" applyNumberFormat="1" applyFont="1"/>
    <xf numFmtId="0" fontId="3" fillId="0" borderId="1" xfId="3" applyFont="1" applyBorder="1"/>
    <xf numFmtId="0" fontId="3" fillId="0" borderId="1" xfId="3" applyFont="1" applyBorder="1" applyAlignment="1">
      <alignment horizontal="center" wrapText="1"/>
    </xf>
    <xf numFmtId="40" fontId="3" fillId="0" borderId="1" xfId="3" applyNumberFormat="1" applyFont="1" applyBorder="1"/>
    <xf numFmtId="40" fontId="3" fillId="0" borderId="1" xfId="3" applyNumberFormat="1" applyFont="1" applyBorder="1" applyAlignment="1">
      <alignment horizontal="center"/>
    </xf>
    <xf numFmtId="40" fontId="3" fillId="0" borderId="1" xfId="3" applyNumberFormat="1" applyFont="1" applyBorder="1" applyAlignment="1">
      <alignment horizontal="center" wrapText="1"/>
    </xf>
    <xf numFmtId="4" fontId="3" fillId="0" borderId="0" xfId="3" applyNumberFormat="1" applyFont="1" applyAlignment="1">
      <alignment horizontal="center"/>
    </xf>
    <xf numFmtId="40" fontId="6" fillId="0" borderId="0" xfId="3" applyNumberFormat="1" applyFont="1" applyAlignment="1">
      <alignment horizontal="center"/>
    </xf>
    <xf numFmtId="40" fontId="6" fillId="0" borderId="0" xfId="3" applyNumberFormat="1" applyFont="1"/>
    <xf numFmtId="0" fontId="11" fillId="0" borderId="0" xfId="3" applyFont="1"/>
    <xf numFmtId="0" fontId="11" fillId="0" borderId="2" xfId="3" applyFont="1" applyBorder="1" applyAlignment="1">
      <alignment horizontal="left"/>
    </xf>
    <xf numFmtId="40" fontId="11" fillId="0" borderId="2" xfId="3" applyNumberFormat="1" applyFont="1" applyBorder="1"/>
    <xf numFmtId="40" fontId="4" fillId="0" borderId="0" xfId="4" applyNumberFormat="1" applyFont="1"/>
    <xf numFmtId="0" fontId="4" fillId="0" borderId="0" xfId="4" applyFont="1"/>
    <xf numFmtId="0" fontId="12" fillId="0" borderId="0" xfId="3" applyFont="1"/>
    <xf numFmtId="164" fontId="12" fillId="0" borderId="0" xfId="4" applyNumberFormat="1" applyFont="1"/>
    <xf numFmtId="0" fontId="10" fillId="0" borderId="0" xfId="4" applyFont="1"/>
    <xf numFmtId="49" fontId="10" fillId="0" borderId="0" xfId="4" applyNumberFormat="1" applyFont="1" applyAlignment="1">
      <alignment horizontal="left"/>
    </xf>
    <xf numFmtId="164" fontId="11" fillId="0" borderId="0" xfId="0" applyNumberFormat="1" applyFont="1"/>
    <xf numFmtId="0" fontId="5" fillId="0" borderId="0" xfId="4" applyFont="1"/>
    <xf numFmtId="0" fontId="11" fillId="0" borderId="0" xfId="4" applyFont="1"/>
    <xf numFmtId="0" fontId="14" fillId="0" borderId="0" xfId="4" applyFont="1"/>
    <xf numFmtId="0" fontId="6" fillId="0" borderId="0" xfId="4"/>
    <xf numFmtId="40" fontId="5" fillId="0" borderId="0" xfId="4" applyNumberFormat="1" applyFont="1"/>
    <xf numFmtId="0" fontId="5" fillId="0" borderId="0" xfId="4" applyFont="1" applyAlignment="1">
      <alignment horizontal="right"/>
    </xf>
    <xf numFmtId="40" fontId="15" fillId="0" borderId="0" xfId="4" applyNumberFormat="1" applyFont="1"/>
    <xf numFmtId="0" fontId="16" fillId="0" borderId="0" xfId="4" applyFont="1"/>
    <xf numFmtId="40" fontId="14" fillId="0" borderId="0" xfId="4" applyNumberFormat="1" applyFont="1"/>
    <xf numFmtId="164" fontId="5" fillId="0" borderId="0" xfId="4" applyNumberFormat="1" applyFont="1" applyAlignment="1">
      <alignment horizontal="left"/>
    </xf>
    <xf numFmtId="49" fontId="5" fillId="0" borderId="1" xfId="4" applyNumberFormat="1" applyFont="1" applyBorder="1" applyAlignment="1">
      <alignment horizontal="center" wrapText="1"/>
    </xf>
    <xf numFmtId="164" fontId="5" fillId="0" borderId="1" xfId="4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0" fontId="5" fillId="0" borderId="1" xfId="4" applyNumberFormat="1" applyFont="1" applyBorder="1" applyAlignment="1">
      <alignment horizontal="center" wrapText="1"/>
    </xf>
    <xf numFmtId="0" fontId="17" fillId="0" borderId="0" xfId="4" applyFont="1"/>
    <xf numFmtId="164" fontId="6" fillId="0" borderId="0" xfId="4" applyNumberFormat="1"/>
    <xf numFmtId="164" fontId="3" fillId="0" borderId="0" xfId="4" applyNumberFormat="1" applyFont="1" applyAlignment="1">
      <alignment horizontal="left"/>
    </xf>
    <xf numFmtId="164" fontId="3" fillId="0" borderId="2" xfId="4" applyNumberFormat="1" applyFont="1" applyBorder="1"/>
    <xf numFmtId="44" fontId="3" fillId="0" borderId="2" xfId="2" applyFont="1" applyBorder="1"/>
    <xf numFmtId="49" fontId="6" fillId="0" borderId="0" xfId="4" applyNumberFormat="1"/>
    <xf numFmtId="40" fontId="6" fillId="0" borderId="0" xfId="4" applyNumberFormat="1"/>
    <xf numFmtId="164" fontId="5" fillId="0" borderId="1" xfId="4" applyNumberFormat="1" applyFont="1" applyBorder="1" applyAlignment="1">
      <alignment horizontal="center" wrapText="1"/>
    </xf>
    <xf numFmtId="49" fontId="10" fillId="0" borderId="0" xfId="4" applyNumberFormat="1" applyFont="1"/>
    <xf numFmtId="164" fontId="10" fillId="0" borderId="0" xfId="4" applyNumberFormat="1" applyFont="1"/>
    <xf numFmtId="0" fontId="19" fillId="0" borderId="0" xfId="4" applyFont="1"/>
    <xf numFmtId="49" fontId="3" fillId="0" borderId="0" xfId="4" applyNumberFormat="1" applyFont="1"/>
    <xf numFmtId="164" fontId="3" fillId="0" borderId="0" xfId="4" applyNumberFormat="1" applyFont="1"/>
    <xf numFmtId="0" fontId="3" fillId="0" borderId="2" xfId="4" applyFont="1" applyBorder="1"/>
    <xf numFmtId="40" fontId="3" fillId="0" borderId="2" xfId="4" applyNumberFormat="1" applyFont="1" applyBorder="1"/>
    <xf numFmtId="0" fontId="6" fillId="0" borderId="0" xfId="5" applyFont="1"/>
    <xf numFmtId="49" fontId="6" fillId="0" borderId="0" xfId="5" applyNumberFormat="1" applyFont="1" applyAlignment="1">
      <alignment horizontal="center"/>
    </xf>
    <xf numFmtId="0" fontId="20" fillId="0" borderId="0" xfId="0" applyFont="1"/>
    <xf numFmtId="40" fontId="6" fillId="0" borderId="0" xfId="5" applyNumberFormat="1" applyFont="1" applyAlignment="1">
      <alignment horizontal="center"/>
    </xf>
    <xf numFmtId="40" fontId="21" fillId="0" borderId="0" xfId="5" applyNumberFormat="1" applyFont="1"/>
    <xf numFmtId="40" fontId="6" fillId="0" borderId="0" xfId="5" applyNumberFormat="1" applyFont="1"/>
    <xf numFmtId="0" fontId="22" fillId="0" borderId="0" xfId="0" applyFont="1"/>
    <xf numFmtId="0" fontId="14" fillId="0" borderId="1" xfId="5" applyFont="1" applyBorder="1" applyAlignment="1">
      <alignment horizontal="center" textRotation="90" wrapText="1"/>
    </xf>
    <xf numFmtId="49" fontId="14" fillId="0" borderId="1" xfId="1" applyNumberFormat="1" applyFont="1" applyBorder="1" applyAlignment="1">
      <alignment horizontal="center" textRotation="90" wrapText="1"/>
    </xf>
    <xf numFmtId="40" fontId="14" fillId="0" borderId="1" xfId="1" applyNumberFormat="1" applyFont="1" applyBorder="1" applyAlignment="1">
      <alignment horizontal="center" wrapText="1"/>
    </xf>
    <xf numFmtId="40" fontId="3" fillId="0" borderId="1" xfId="5" applyNumberFormat="1" applyFont="1" applyBorder="1" applyAlignment="1">
      <alignment horizontal="center" wrapText="1"/>
    </xf>
    <xf numFmtId="165" fontId="23" fillId="0" borderId="1" xfId="0" applyNumberFormat="1" applyFont="1" applyBorder="1" applyAlignment="1">
      <alignment horizontal="center" wrapText="1"/>
    </xf>
    <xf numFmtId="4" fontId="2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6" fillId="0" borderId="0" xfId="5" applyFont="1" applyAlignment="1">
      <alignment horizontal="center"/>
    </xf>
    <xf numFmtId="49" fontId="25" fillId="0" borderId="0" xfId="0" applyNumberFormat="1" applyFont="1" applyAlignment="1">
      <alignment horizontal="center" wrapText="1"/>
    </xf>
    <xf numFmtId="40" fontId="3" fillId="2" borderId="0" xfId="5" applyNumberFormat="1" applyFont="1" applyFill="1"/>
    <xf numFmtId="40" fontId="6" fillId="0" borderId="0" xfId="5" applyNumberFormat="1" applyFont="1" applyAlignment="1">
      <alignment horizontal="right"/>
    </xf>
    <xf numFmtId="40" fontId="3" fillId="2" borderId="3" xfId="5" applyNumberFormat="1" applyFont="1" applyFill="1" applyBorder="1" applyAlignment="1">
      <alignment horizontal="right"/>
    </xf>
    <xf numFmtId="40" fontId="3" fillId="2" borderId="2" xfId="5" applyNumberFormat="1" applyFont="1" applyFill="1" applyBorder="1" applyAlignment="1">
      <alignment horizontal="right"/>
    </xf>
    <xf numFmtId="40" fontId="3" fillId="2" borderId="0" xfId="5" applyNumberFormat="1" applyFont="1" applyFill="1" applyAlignment="1">
      <alignment horizontal="right"/>
    </xf>
    <xf numFmtId="40" fontId="3" fillId="2" borderId="4" xfId="5" applyNumberFormat="1" applyFont="1" applyFill="1" applyBorder="1" applyAlignment="1">
      <alignment horizontal="right"/>
    </xf>
    <xf numFmtId="0" fontId="6" fillId="3" borderId="0" xfId="5" applyFont="1" applyFill="1" applyAlignment="1">
      <alignment horizontal="center"/>
    </xf>
    <xf numFmtId="49" fontId="6" fillId="3" borderId="0" xfId="5" applyNumberFormat="1" applyFont="1" applyFill="1" applyAlignment="1">
      <alignment horizontal="center"/>
    </xf>
    <xf numFmtId="0" fontId="5" fillId="4" borderId="0" xfId="0" applyFont="1" applyFill="1" applyAlignment="1">
      <alignment horizontal="left" wrapText="1"/>
    </xf>
    <xf numFmtId="40" fontId="6" fillId="3" borderId="0" xfId="5" applyNumberFormat="1" applyFont="1" applyFill="1" applyAlignment="1">
      <alignment horizontal="center"/>
    </xf>
    <xf numFmtId="40" fontId="6" fillId="3" borderId="0" xfId="5" applyNumberFormat="1" applyFont="1" applyFill="1"/>
    <xf numFmtId="0" fontId="22" fillId="3" borderId="0" xfId="0" applyFont="1" applyFill="1"/>
    <xf numFmtId="0" fontId="6" fillId="0" borderId="5" xfId="5" applyFont="1" applyBorder="1" applyAlignment="1">
      <alignment horizontal="center"/>
    </xf>
    <xf numFmtId="49" fontId="6" fillId="0" borderId="5" xfId="5" applyNumberFormat="1" applyFont="1" applyBorder="1" applyAlignment="1">
      <alignment horizontal="center"/>
    </xf>
    <xf numFmtId="0" fontId="3" fillId="0" borderId="5" xfId="5" applyFont="1" applyBorder="1"/>
    <xf numFmtId="40" fontId="6" fillId="0" borderId="5" xfId="5" applyNumberFormat="1" applyFont="1" applyBorder="1" applyAlignment="1">
      <alignment horizontal="center"/>
    </xf>
    <xf numFmtId="40" fontId="26" fillId="0" borderId="5" xfId="5" applyNumberFormat="1" applyFont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wrapText="1"/>
    </xf>
    <xf numFmtId="8" fontId="6" fillId="0" borderId="5" xfId="2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8" fillId="5" borderId="5" xfId="0" applyFont="1" applyFill="1" applyBorder="1" applyAlignment="1">
      <alignment vertical="center" wrapText="1"/>
    </xf>
    <xf numFmtId="49" fontId="6" fillId="0" borderId="5" xfId="0" applyNumberFormat="1" applyFont="1" applyBorder="1" applyAlignment="1">
      <alignment horizontal="center" wrapText="1"/>
    </xf>
    <xf numFmtId="0" fontId="28" fillId="0" borderId="0" xfId="0" applyFont="1"/>
    <xf numFmtId="40" fontId="6" fillId="0" borderId="7" xfId="5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40" fontId="24" fillId="0" borderId="7" xfId="0" applyNumberFormat="1" applyFont="1" applyBorder="1" applyAlignment="1">
      <alignment horizontal="center"/>
    </xf>
    <xf numFmtId="8" fontId="3" fillId="0" borderId="7" xfId="5" applyNumberFormat="1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49" fontId="6" fillId="0" borderId="11" xfId="5" applyNumberFormat="1" applyFont="1" applyBorder="1" applyAlignment="1">
      <alignment horizontal="center"/>
    </xf>
    <xf numFmtId="0" fontId="6" fillId="0" borderId="11" xfId="5" applyFont="1" applyBorder="1"/>
    <xf numFmtId="40" fontId="6" fillId="0" borderId="11" xfId="5" applyNumberFormat="1" applyFont="1" applyBorder="1" applyAlignment="1">
      <alignment horizontal="center"/>
    </xf>
    <xf numFmtId="8" fontId="6" fillId="0" borderId="11" xfId="5" applyNumberFormat="1" applyFont="1" applyBorder="1" applyAlignment="1">
      <alignment horizontal="center"/>
    </xf>
    <xf numFmtId="8" fontId="22" fillId="0" borderId="11" xfId="0" applyNumberFormat="1" applyFont="1" applyBorder="1" applyAlignment="1">
      <alignment horizontal="center"/>
    </xf>
    <xf numFmtId="8" fontId="22" fillId="0" borderId="12" xfId="0" applyNumberFormat="1" applyFont="1" applyBorder="1" applyAlignment="1">
      <alignment horizontal="center"/>
    </xf>
    <xf numFmtId="8" fontId="6" fillId="0" borderId="0" xfId="5" applyNumberFormat="1" applyFont="1" applyAlignment="1">
      <alignment horizontal="center"/>
    </xf>
    <xf numFmtId="165" fontId="6" fillId="0" borderId="0" xfId="0" applyNumberFormat="1" applyFont="1" applyAlignment="1">
      <alignment horizontal="left"/>
    </xf>
    <xf numFmtId="8" fontId="22" fillId="0" borderId="0" xfId="0" applyNumberFormat="1" applyFont="1" applyAlignment="1">
      <alignment horizontal="center"/>
    </xf>
    <xf numFmtId="165" fontId="25" fillId="0" borderId="0" xfId="6" applyNumberFormat="1" applyFont="1" applyFill="1" applyBorder="1" applyAlignment="1">
      <alignment horizontal="center"/>
    </xf>
    <xf numFmtId="49" fontId="3" fillId="0" borderId="0" xfId="5" applyNumberFormat="1" applyFont="1" applyAlignment="1">
      <alignment horizontal="center"/>
    </xf>
    <xf numFmtId="0" fontId="3" fillId="6" borderId="0" xfId="0" applyFont="1" applyFill="1" applyAlignment="1">
      <alignment wrapText="1"/>
    </xf>
    <xf numFmtId="8" fontId="24" fillId="0" borderId="2" xfId="0" applyNumberFormat="1" applyFont="1" applyBorder="1" applyAlignment="1">
      <alignment horizontal="center"/>
    </xf>
    <xf numFmtId="0" fontId="3" fillId="0" borderId="0" xfId="5" applyFont="1"/>
    <xf numFmtId="165" fontId="25" fillId="0" borderId="0" xfId="0" applyNumberFormat="1" applyFont="1" applyAlignment="1">
      <alignment horizontal="left"/>
    </xf>
    <xf numFmtId="165" fontId="25" fillId="0" borderId="3" xfId="6" applyNumberFormat="1" applyFont="1" applyFill="1" applyBorder="1" applyAlignment="1">
      <alignment horizontal="center"/>
    </xf>
    <xf numFmtId="165" fontId="25" fillId="0" borderId="2" xfId="6" applyNumberFormat="1" applyFont="1" applyFill="1" applyBorder="1" applyAlignment="1">
      <alignment horizontal="center"/>
    </xf>
    <xf numFmtId="1" fontId="6" fillId="0" borderId="0" xfId="4" applyNumberFormat="1" applyAlignment="1">
      <alignment horizontal="center"/>
    </xf>
    <xf numFmtId="49" fontId="6" fillId="0" borderId="0" xfId="4" applyNumberFormat="1" applyAlignment="1">
      <alignment horizontal="left" vertical="center"/>
    </xf>
    <xf numFmtId="164" fontId="6" fillId="0" borderId="0" xfId="4" applyNumberFormat="1" applyAlignment="1">
      <alignment horizontal="center" vertical="center"/>
    </xf>
    <xf numFmtId="1" fontId="6" fillId="0" borderId="0" xfId="4" applyNumberFormat="1" applyAlignment="1">
      <alignment horizontal="center" vertical="center"/>
    </xf>
    <xf numFmtId="49" fontId="6" fillId="0" borderId="0" xfId="4" applyNumberFormat="1" applyAlignment="1">
      <alignment vertical="center"/>
    </xf>
    <xf numFmtId="40" fontId="6" fillId="0" borderId="0" xfId="4" quotePrefix="1" applyNumberFormat="1" applyAlignment="1">
      <alignment vertical="center"/>
    </xf>
    <xf numFmtId="4" fontId="32" fillId="0" borderId="0" xfId="4" applyNumberFormat="1" applyFont="1" applyAlignment="1">
      <alignment vertical="center"/>
    </xf>
    <xf numFmtId="40" fontId="6" fillId="0" borderId="0" xfId="4" applyNumberFormat="1" applyAlignment="1">
      <alignment vertical="center"/>
    </xf>
    <xf numFmtId="0" fontId="0" fillId="0" borderId="0" xfId="0" applyAlignment="1">
      <alignment vertical="center"/>
    </xf>
    <xf numFmtId="49" fontId="6" fillId="0" borderId="0" xfId="4" applyNumberFormat="1" applyAlignment="1">
      <alignment horizontal="center" vertical="center"/>
    </xf>
    <xf numFmtId="0" fontId="6" fillId="0" borderId="0" xfId="4" applyAlignment="1">
      <alignment vertical="center"/>
    </xf>
    <xf numFmtId="40" fontId="6" fillId="0" borderId="0" xfId="4" applyNumberFormat="1" applyAlignment="1">
      <alignment horizontal="left" vertical="center"/>
    </xf>
    <xf numFmtId="164" fontId="6" fillId="0" borderId="0" xfId="4" applyNumberFormat="1" applyAlignment="1">
      <alignment horizontal="left" vertical="center"/>
    </xf>
    <xf numFmtId="4" fontId="32" fillId="0" borderId="0" xfId="4" applyNumberFormat="1" applyFont="1" applyAlignment="1">
      <alignment horizontal="center" vertical="center"/>
    </xf>
    <xf numFmtId="4" fontId="6" fillId="0" borderId="0" xfId="4" applyNumberFormat="1" applyAlignment="1">
      <alignment horizontal="center" vertical="center"/>
    </xf>
    <xf numFmtId="4" fontId="6" fillId="0" borderId="0" xfId="4" applyNumberFormat="1" applyAlignment="1">
      <alignment vertical="center"/>
    </xf>
    <xf numFmtId="0" fontId="17" fillId="0" borderId="0" xfId="4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4" fontId="3" fillId="0" borderId="0" xfId="4" applyNumberFormat="1" applyFont="1" applyAlignment="1">
      <alignment vertical="center"/>
    </xf>
    <xf numFmtId="0" fontId="6" fillId="0" borderId="0" xfId="4" applyAlignment="1">
      <alignment horizontal="left" vertical="center"/>
    </xf>
    <xf numFmtId="0" fontId="6" fillId="0" borderId="5" xfId="5" applyFont="1" applyBorder="1" applyAlignment="1">
      <alignment horizontal="center" vertical="center"/>
    </xf>
    <xf numFmtId="49" fontId="6" fillId="0" borderId="5" xfId="5" applyNumberFormat="1" applyFont="1" applyBorder="1" applyAlignment="1">
      <alignment horizontal="center" vertical="center"/>
    </xf>
    <xf numFmtId="0" fontId="6" fillId="0" borderId="5" xfId="5" applyFont="1" applyBorder="1" applyAlignment="1">
      <alignment vertical="center"/>
    </xf>
    <xf numFmtId="40" fontId="6" fillId="0" borderId="5" xfId="5" applyNumberFormat="1" applyFont="1" applyBorder="1" applyAlignment="1">
      <alignment horizontal="center" vertical="center"/>
    </xf>
    <xf numFmtId="39" fontId="6" fillId="0" borderId="5" xfId="2" applyNumberFormat="1" applyFont="1" applyFill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vertical="center" wrapText="1"/>
    </xf>
    <xf numFmtId="0" fontId="6" fillId="0" borderId="5" xfId="5" applyFont="1" applyBorder="1" applyAlignment="1">
      <alignment vertical="center" wrapText="1"/>
    </xf>
    <xf numFmtId="8" fontId="6" fillId="0" borderId="5" xfId="2" applyNumberFormat="1" applyFont="1" applyFill="1" applyBorder="1" applyAlignment="1">
      <alignment horizontal="center" vertical="center"/>
    </xf>
    <xf numFmtId="0" fontId="6" fillId="0" borderId="5" xfId="5" applyFont="1" applyBorder="1" applyAlignment="1">
      <alignment horizontal="left" vertical="center" wrapText="1"/>
    </xf>
    <xf numFmtId="0" fontId="27" fillId="5" borderId="6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27" fillId="5" borderId="5" xfId="0" applyFont="1" applyFill="1" applyBorder="1" applyAlignment="1">
      <alignment vertical="center" wrapText="1"/>
    </xf>
    <xf numFmtId="0" fontId="14" fillId="0" borderId="5" xfId="5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/>
    </xf>
    <xf numFmtId="2" fontId="6" fillId="0" borderId="5" xfId="5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4" fontId="6" fillId="0" borderId="0" xfId="3" applyNumberFormat="1" applyFont="1" applyAlignment="1">
      <alignment horizontal="center" vertical="center"/>
    </xf>
    <xf numFmtId="40" fontId="6" fillId="0" borderId="0" xfId="3" applyNumberFormat="1" applyFont="1" applyAlignment="1">
      <alignment vertical="center"/>
    </xf>
    <xf numFmtId="40" fontId="6" fillId="0" borderId="0" xfId="3" applyNumberFormat="1" applyFont="1" applyAlignment="1">
      <alignment horizontal="center" vertical="center"/>
    </xf>
    <xf numFmtId="40" fontId="6" fillId="0" borderId="0" xfId="4" applyNumberFormat="1" applyAlignment="1">
      <alignment horizontal="center" vertical="center"/>
    </xf>
    <xf numFmtId="164" fontId="6" fillId="0" borderId="0" xfId="4" applyNumberFormat="1" applyAlignment="1">
      <alignment vertical="center"/>
    </xf>
    <xf numFmtId="164" fontId="3" fillId="0" borderId="0" xfId="4" applyNumberFormat="1" applyFont="1" applyAlignment="1">
      <alignment horizontal="left" vertical="center"/>
    </xf>
    <xf numFmtId="164" fontId="3" fillId="0" borderId="2" xfId="4" applyNumberFormat="1" applyFont="1" applyBorder="1" applyAlignment="1">
      <alignment vertical="center"/>
    </xf>
    <xf numFmtId="44" fontId="3" fillId="0" borderId="2" xfId="2" applyFont="1" applyBorder="1" applyAlignment="1">
      <alignment vertical="center"/>
    </xf>
    <xf numFmtId="40" fontId="6" fillId="0" borderId="0" xfId="4" applyNumberFormat="1" applyAlignment="1">
      <alignment horizontal="right" vertical="center"/>
    </xf>
    <xf numFmtId="164" fontId="3" fillId="0" borderId="0" xfId="4" applyNumberFormat="1" applyFont="1" applyAlignment="1">
      <alignment vertical="center"/>
    </xf>
    <xf numFmtId="44" fontId="3" fillId="0" borderId="0" xfId="2" applyFont="1" applyBorder="1" applyAlignment="1">
      <alignment vertic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" fontId="3" fillId="0" borderId="0" xfId="4" applyNumberFormat="1" applyFont="1" applyAlignment="1">
      <alignment horizontal="center" vertical="center"/>
    </xf>
    <xf numFmtId="164" fontId="18" fillId="0" borderId="0" xfId="4" applyNumberFormat="1" applyFont="1" applyAlignment="1">
      <alignment vertical="center"/>
    </xf>
    <xf numFmtId="43" fontId="18" fillId="0" borderId="0" xfId="1" applyFont="1" applyAlignment="1">
      <alignment vertical="center"/>
    </xf>
    <xf numFmtId="164" fontId="24" fillId="0" borderId="0" xfId="4" applyNumberFormat="1" applyFont="1" applyAlignment="1">
      <alignment vertical="center"/>
    </xf>
    <xf numFmtId="44" fontId="24" fillId="0" borderId="2" xfId="2" applyFont="1" applyBorder="1" applyAlignment="1">
      <alignment vertical="center"/>
    </xf>
    <xf numFmtId="44" fontId="24" fillId="0" borderId="0" xfId="2" applyFont="1" applyAlignment="1">
      <alignment vertical="center"/>
    </xf>
    <xf numFmtId="0" fontId="3" fillId="0" borderId="0" xfId="4" applyFont="1" applyAlignment="1">
      <alignment vertical="center"/>
    </xf>
    <xf numFmtId="49" fontId="3" fillId="0" borderId="0" xfId="4" applyNumberFormat="1" applyFont="1" applyAlignment="1">
      <alignment vertical="center"/>
    </xf>
    <xf numFmtId="0" fontId="3" fillId="0" borderId="2" xfId="4" applyFont="1" applyBorder="1" applyAlignment="1">
      <alignment vertical="center"/>
    </xf>
    <xf numFmtId="40" fontId="3" fillId="0" borderId="2" xfId="4" applyNumberFormat="1" applyFont="1" applyBorder="1" applyAlignment="1">
      <alignment vertical="center"/>
    </xf>
    <xf numFmtId="49" fontId="6" fillId="0" borderId="0" xfId="4" applyNumberFormat="1" applyAlignment="1">
      <alignment horizontal="left"/>
    </xf>
    <xf numFmtId="164" fontId="6" fillId="0" borderId="0" xfId="4" applyNumberFormat="1" applyAlignment="1">
      <alignment horizontal="center"/>
    </xf>
    <xf numFmtId="4" fontId="6" fillId="0" borderId="0" xfId="4" applyNumberFormat="1" applyAlignment="1">
      <alignment horizontal="center"/>
    </xf>
    <xf numFmtId="0" fontId="6" fillId="0" borderId="0" xfId="0" applyFont="1"/>
    <xf numFmtId="0" fontId="6" fillId="0" borderId="0" xfId="4" applyAlignment="1">
      <alignment horizontal="center"/>
    </xf>
    <xf numFmtId="0" fontId="18" fillId="0" borderId="0" xfId="0" applyFont="1"/>
    <xf numFmtId="0" fontId="14" fillId="0" borderId="0" xfId="3" applyFont="1" applyAlignment="1">
      <alignment vertical="center"/>
    </xf>
    <xf numFmtId="4" fontId="16" fillId="0" borderId="0" xfId="3" applyNumberFormat="1" applyFont="1"/>
    <xf numFmtId="40" fontId="12" fillId="0" borderId="0" xfId="4" applyNumberFormat="1" applyFont="1"/>
    <xf numFmtId="0" fontId="12" fillId="0" borderId="0" xfId="4" applyFont="1"/>
    <xf numFmtId="0" fontId="33" fillId="0" borderId="0" xfId="0" applyFont="1"/>
    <xf numFmtId="0" fontId="16" fillId="0" borderId="0" xfId="3" applyFont="1"/>
    <xf numFmtId="1" fontId="12" fillId="0" borderId="0" xfId="4" applyNumberFormat="1" applyFont="1" applyAlignment="1">
      <alignment horizontal="left"/>
    </xf>
    <xf numFmtId="4" fontId="12" fillId="0" borderId="0" xfId="3" applyNumberFormat="1" applyFont="1"/>
    <xf numFmtId="49" fontId="12" fillId="0" borderId="0" xfId="4" applyNumberFormat="1" applyFont="1" applyAlignment="1">
      <alignment horizontal="left"/>
    </xf>
    <xf numFmtId="164" fontId="34" fillId="0" borderId="0" xfId="0" applyNumberFormat="1" applyFont="1"/>
    <xf numFmtId="0" fontId="34" fillId="0" borderId="0" xfId="4" applyFont="1"/>
    <xf numFmtId="0" fontId="12" fillId="0" borderId="0" xfId="4" applyFont="1" applyAlignment="1">
      <alignment horizontal="right"/>
    </xf>
    <xf numFmtId="40" fontId="35" fillId="0" borderId="0" xfId="4" applyNumberFormat="1" applyFont="1"/>
    <xf numFmtId="164" fontId="12" fillId="0" borderId="0" xfId="4" applyNumberFormat="1" applyFont="1" applyAlignment="1">
      <alignment horizontal="left"/>
    </xf>
    <xf numFmtId="49" fontId="12" fillId="0" borderId="1" xfId="4" applyNumberFormat="1" applyFont="1" applyBorder="1" applyAlignment="1">
      <alignment horizontal="center" wrapText="1"/>
    </xf>
    <xf numFmtId="164" fontId="12" fillId="0" borderId="1" xfId="4" applyNumberFormat="1" applyFont="1" applyBorder="1" applyAlignment="1">
      <alignment horizontal="center"/>
    </xf>
    <xf numFmtId="0" fontId="12" fillId="0" borderId="1" xfId="4" applyFont="1" applyBorder="1" applyAlignment="1">
      <alignment horizontal="center"/>
    </xf>
    <xf numFmtId="40" fontId="12" fillId="0" borderId="1" xfId="4" applyNumberFormat="1" applyFont="1" applyBorder="1" applyAlignment="1">
      <alignment horizontal="center" wrapText="1"/>
    </xf>
    <xf numFmtId="49" fontId="16" fillId="0" borderId="0" xfId="4" applyNumberFormat="1" applyFont="1" applyAlignment="1">
      <alignment vertical="center"/>
    </xf>
    <xf numFmtId="164" fontId="16" fillId="0" borderId="0" xfId="4" applyNumberFormat="1" applyFont="1" applyAlignment="1">
      <alignment horizontal="center" vertical="center"/>
    </xf>
    <xf numFmtId="164" fontId="16" fillId="0" borderId="0" xfId="4" applyNumberFormat="1" applyFont="1" applyAlignment="1">
      <alignment horizontal="left" vertical="center"/>
    </xf>
    <xf numFmtId="4" fontId="14" fillId="0" borderId="0" xfId="4" applyNumberFormat="1" applyFont="1" applyAlignment="1">
      <alignment horizontal="center" vertical="center"/>
    </xf>
    <xf numFmtId="4" fontId="16" fillId="0" borderId="0" xfId="4" applyNumberFormat="1" applyFont="1" applyAlignment="1">
      <alignment horizontal="center" vertical="center"/>
    </xf>
    <xf numFmtId="4" fontId="16" fillId="0" borderId="0" xfId="4" applyNumberFormat="1" applyFont="1" applyAlignment="1">
      <alignment vertical="center"/>
    </xf>
    <xf numFmtId="0" fontId="16" fillId="0" borderId="0" xfId="4" applyFont="1" applyAlignment="1">
      <alignment vertical="center"/>
    </xf>
    <xf numFmtId="0" fontId="33" fillId="0" borderId="0" xfId="0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" fontId="14" fillId="0" borderId="0" xfId="4" applyNumberFormat="1" applyFont="1" applyAlignment="1">
      <alignment vertical="center"/>
    </xf>
    <xf numFmtId="40" fontId="14" fillId="0" borderId="0" xfId="4" applyNumberFormat="1" applyFont="1" applyAlignment="1">
      <alignment horizontal="center" vertical="center"/>
    </xf>
    <xf numFmtId="0" fontId="16" fillId="0" borderId="0" xfId="4" applyFont="1" applyAlignment="1">
      <alignment horizontal="left" vertical="center"/>
    </xf>
    <xf numFmtId="164" fontId="16" fillId="0" borderId="0" xfId="4" applyNumberFormat="1" applyFont="1" applyAlignment="1">
      <alignment vertical="center"/>
    </xf>
    <xf numFmtId="164" fontId="14" fillId="0" borderId="0" xfId="4" applyNumberFormat="1" applyFont="1" applyAlignment="1">
      <alignment horizontal="left" vertical="center"/>
    </xf>
    <xf numFmtId="164" fontId="14" fillId="0" borderId="2" xfId="4" applyNumberFormat="1" applyFont="1" applyBorder="1" applyAlignment="1">
      <alignment vertical="center"/>
    </xf>
    <xf numFmtId="44" fontId="14" fillId="0" borderId="2" xfId="2" applyFont="1" applyBorder="1" applyAlignment="1">
      <alignment vertical="center"/>
    </xf>
    <xf numFmtId="0" fontId="14" fillId="0" borderId="0" xfId="4" applyFont="1" applyAlignment="1">
      <alignment vertical="center"/>
    </xf>
    <xf numFmtId="164" fontId="14" fillId="0" borderId="0" xfId="4" applyNumberFormat="1" applyFont="1" applyAlignment="1">
      <alignment vertical="center"/>
    </xf>
    <xf numFmtId="44" fontId="14" fillId="0" borderId="0" xfId="2" applyFont="1" applyBorder="1" applyAlignment="1">
      <alignment vertical="center"/>
    </xf>
    <xf numFmtId="40" fontId="14" fillId="0" borderId="0" xfId="5" applyNumberFormat="1" applyFont="1" applyAlignment="1">
      <alignment horizontal="center"/>
    </xf>
    <xf numFmtId="4" fontId="36" fillId="0" borderId="0" xfId="4" applyNumberFormat="1" applyFont="1" applyAlignment="1">
      <alignment vertical="center"/>
    </xf>
    <xf numFmtId="0" fontId="36" fillId="0" borderId="0" xfId="4" applyFont="1" applyAlignment="1">
      <alignment vertical="center"/>
    </xf>
    <xf numFmtId="40" fontId="3" fillId="0" borderId="0" xfId="4" applyNumberFormat="1" applyFont="1" applyAlignment="1">
      <alignment vertical="center"/>
    </xf>
    <xf numFmtId="40" fontId="3" fillId="0" borderId="0" xfId="4" applyNumberFormat="1" applyFont="1" applyAlignment="1">
      <alignment horizontal="center" vertical="center"/>
    </xf>
    <xf numFmtId="40" fontId="3" fillId="0" borderId="0" xfId="4" applyNumberFormat="1" applyFont="1" applyAlignment="1">
      <alignment horizontal="right" vertical="center"/>
    </xf>
  </cellXfs>
  <cellStyles count="7">
    <cellStyle name="Comma" xfId="1" builtinId="3"/>
    <cellStyle name="Currency" xfId="2" builtinId="4"/>
    <cellStyle name="Currency 2" xfId="6" xr:uid="{22775A5C-E89F-44D4-9A80-E39CF55AD25A}"/>
    <cellStyle name="Normal" xfId="0" builtinId="0"/>
    <cellStyle name="Normal 2" xfId="4" xr:uid="{27F19638-7D44-43C8-A204-F964AC5CBA9B}"/>
    <cellStyle name="Normal_CLARINDA" xfId="5" xr:uid="{8AAD15FC-EC67-45EF-94E6-501FBD44E13D}"/>
    <cellStyle name="Normal_LUCAS REMODEL FOR Dept of Comm." xfId="3" xr:uid="{2B0244D6-5D10-4DFF-B673-9140ACE28B5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582042</xdr:colOff>
      <xdr:row>29</xdr:row>
      <xdr:rowOff>143666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091C13-71A9-49DE-973C-9F6C81E98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87642" cy="56681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ZZZ%20End%20of%20Month%20Reports/FY26/April/061T%20Historical%20Shelving.xlsx" TargetMode="External"/><Relationship Id="rId2" Type="http://schemas.openxmlformats.org/officeDocument/2006/relationships/externalLinkPath" Target="file:///N:\DAS%20Shared%20Perm\GSE%20Infrastructure\ZZZ%20End%20of%20Month%20Reports\FY26\April\061T%20Historical%20Shelving.xlsx" TargetMode="External"/><Relationship Id="rId1" Type="http://schemas.openxmlformats.org/officeDocument/2006/relationships/externalLinkPath" Target="/DAS%20Shared%20Perm/GSE%20Infrastructure/ZZZ%20End%20of%20Month%20Reports/FY26/April/061T%20Historical%20Shelv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ppr 60 Capitol Stairs"/>
    </sheetNames>
    <sheetDataSet>
      <sheetData sheetId="0">
        <row r="3">
          <cell r="D3">
            <v>5000000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8B8E-21A5-4DD8-81AE-63F7F19233EF}">
  <sheetPr>
    <tabColor rgb="FF0070C0"/>
  </sheetPr>
  <dimension ref="A1:A30"/>
  <sheetViews>
    <sheetView topLeftCell="A10" workbookViewId="0">
      <selection activeCell="E16" sqref="E16"/>
    </sheetView>
  </sheetViews>
  <sheetFormatPr defaultRowHeight="15" customHeight="1" x14ac:dyDescent="0.25"/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95F79-9F72-4865-9A1C-2D3F2878977E}">
  <sheetPr>
    <pageSetUpPr fitToPage="1"/>
  </sheetPr>
  <dimension ref="A1:I26"/>
  <sheetViews>
    <sheetView topLeftCell="A8" zoomScaleNormal="100" workbookViewId="0">
      <selection activeCell="E30" sqref="E30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9" max="9" width="13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158</v>
      </c>
      <c r="B4" s="28"/>
      <c r="C4" s="29"/>
      <c r="D4" s="30" t="s">
        <v>159</v>
      </c>
      <c r="E4" s="25"/>
      <c r="F4" s="25"/>
      <c r="G4" s="25"/>
      <c r="H4" s="26"/>
      <c r="I4" s="26"/>
    </row>
    <row r="5" spans="1:9" ht="15.75" x14ac:dyDescent="0.25">
      <c r="A5" s="31" t="s">
        <v>83</v>
      </c>
      <c r="B5" s="32"/>
      <c r="C5" s="33"/>
      <c r="D5" s="34" t="s">
        <v>154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126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10" t="s">
        <v>190</v>
      </c>
    </row>
    <row r="9" spans="1:9" s="131" customFormat="1" ht="12.75" customHeight="1" x14ac:dyDescent="0.25">
      <c r="A9" s="127" t="s">
        <v>160</v>
      </c>
      <c r="B9" s="125">
        <v>46006</v>
      </c>
      <c r="C9" s="135" t="s">
        <v>73</v>
      </c>
      <c r="D9" s="136">
        <v>256545</v>
      </c>
      <c r="E9" s="137">
        <f>D9</f>
        <v>256545</v>
      </c>
      <c r="F9" s="138"/>
      <c r="G9" s="138"/>
      <c r="H9" s="138">
        <f>E9</f>
        <v>256545</v>
      </c>
      <c r="I9" s="139"/>
    </row>
    <row r="10" spans="1:9" s="131" customFormat="1" ht="12.75" customHeight="1" x14ac:dyDescent="0.25">
      <c r="A10" s="127" t="s">
        <v>207</v>
      </c>
      <c r="B10" s="140">
        <v>46058</v>
      </c>
      <c r="C10" s="135" t="s">
        <v>210</v>
      </c>
      <c r="D10" s="137"/>
      <c r="E10" s="137">
        <f t="shared" ref="E10:E21" si="0">E9+D10</f>
        <v>256545</v>
      </c>
      <c r="F10" s="129">
        <v>6035.46</v>
      </c>
      <c r="G10" s="138">
        <f t="shared" ref="G10:G21" si="1">G9+F10</f>
        <v>6035.46</v>
      </c>
      <c r="H10" s="138">
        <f t="shared" ref="H10:H21" si="2">H9-F10+D10</f>
        <v>250509.54</v>
      </c>
      <c r="I10" s="231">
        <v>186.66</v>
      </c>
    </row>
    <row r="11" spans="1:9" s="131" customFormat="1" ht="12.75" customHeight="1" x14ac:dyDescent="0.25">
      <c r="A11" s="127" t="s">
        <v>222</v>
      </c>
      <c r="B11" s="125">
        <v>46085</v>
      </c>
      <c r="C11" s="135" t="s">
        <v>223</v>
      </c>
      <c r="D11" s="137"/>
      <c r="E11" s="137">
        <f t="shared" si="0"/>
        <v>256545</v>
      </c>
      <c r="F11" s="129">
        <v>15265.28</v>
      </c>
      <c r="G11" s="138">
        <f t="shared" si="1"/>
        <v>21300.74</v>
      </c>
      <c r="H11" s="138">
        <f t="shared" si="2"/>
        <v>235244.26</v>
      </c>
      <c r="I11" s="231">
        <f>I10+472.12</f>
        <v>658.78</v>
      </c>
    </row>
    <row r="12" spans="1:9" s="131" customFormat="1" ht="12.75" customHeight="1" x14ac:dyDescent="0.25">
      <c r="A12" s="127" t="s">
        <v>160</v>
      </c>
      <c r="B12" s="125">
        <v>46125</v>
      </c>
      <c r="C12" s="135" t="s">
        <v>161</v>
      </c>
      <c r="D12" s="136">
        <v>2667.61</v>
      </c>
      <c r="E12" s="137">
        <f t="shared" si="0"/>
        <v>259212.61</v>
      </c>
      <c r="F12" s="141"/>
      <c r="G12" s="138">
        <f t="shared" si="1"/>
        <v>21300.74</v>
      </c>
      <c r="H12" s="138">
        <f t="shared" si="2"/>
        <v>237911.87</v>
      </c>
      <c r="I12" s="231"/>
    </row>
    <row r="13" spans="1:9" s="131" customFormat="1" ht="12.75" customHeight="1" x14ac:dyDescent="0.25">
      <c r="A13" s="127" t="s">
        <v>257</v>
      </c>
      <c r="B13" s="125">
        <v>46132</v>
      </c>
      <c r="C13" s="135" t="s">
        <v>258</v>
      </c>
      <c r="D13" s="137"/>
      <c r="E13" s="137">
        <f t="shared" si="0"/>
        <v>259212.61</v>
      </c>
      <c r="F13" s="129">
        <v>37906.14</v>
      </c>
      <c r="G13" s="138">
        <f t="shared" si="1"/>
        <v>59206.880000000005</v>
      </c>
      <c r="H13" s="138">
        <f t="shared" si="2"/>
        <v>200005.72999999998</v>
      </c>
      <c r="I13" s="231">
        <f>I11+1172.35</f>
        <v>1831.1299999999999</v>
      </c>
    </row>
    <row r="14" spans="1:9" s="131" customFormat="1" ht="12.75" customHeight="1" x14ac:dyDescent="0.25">
      <c r="A14" s="127" t="s">
        <v>160</v>
      </c>
      <c r="B14" s="125">
        <v>46139</v>
      </c>
      <c r="C14" s="135" t="s">
        <v>218</v>
      </c>
      <c r="D14" s="136">
        <v>41711.129999999997</v>
      </c>
      <c r="E14" s="137">
        <f t="shared" si="0"/>
        <v>300923.74</v>
      </c>
      <c r="F14" s="138"/>
      <c r="G14" s="138">
        <f t="shared" si="1"/>
        <v>59206.880000000005</v>
      </c>
      <c r="H14" s="138">
        <f t="shared" si="2"/>
        <v>241716.86</v>
      </c>
      <c r="I14" s="231"/>
    </row>
    <row r="15" spans="1:9" s="131" customFormat="1" ht="12.75" customHeight="1" x14ac:dyDescent="0.25">
      <c r="A15" s="127" t="s">
        <v>276</v>
      </c>
      <c r="B15" s="125">
        <v>46155</v>
      </c>
      <c r="C15" s="135" t="s">
        <v>277</v>
      </c>
      <c r="D15" s="137"/>
      <c r="E15" s="137">
        <f t="shared" si="0"/>
        <v>300923.74</v>
      </c>
      <c r="F15" s="129">
        <v>76151.429999999993</v>
      </c>
      <c r="G15" s="138">
        <f t="shared" si="1"/>
        <v>135358.31</v>
      </c>
      <c r="H15" s="138">
        <f t="shared" si="2"/>
        <v>165565.43</v>
      </c>
      <c r="I15" s="231">
        <f>I13+2355.2</f>
        <v>4186.33</v>
      </c>
    </row>
    <row r="16" spans="1:9" s="131" customFormat="1" ht="12.75" customHeight="1" x14ac:dyDescent="0.25">
      <c r="A16" s="127" t="s">
        <v>284</v>
      </c>
      <c r="B16" s="125">
        <v>46177</v>
      </c>
      <c r="C16" s="135" t="s">
        <v>285</v>
      </c>
      <c r="D16" s="137"/>
      <c r="E16" s="137">
        <f t="shared" si="0"/>
        <v>300923.74</v>
      </c>
      <c r="F16" s="129">
        <v>89136.06</v>
      </c>
      <c r="G16" s="138">
        <f t="shared" si="1"/>
        <v>224494.37</v>
      </c>
      <c r="H16" s="138">
        <f t="shared" si="2"/>
        <v>76429.37</v>
      </c>
      <c r="I16" s="231">
        <f>I15+2756.79</f>
        <v>6943.12</v>
      </c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300923.74</v>
      </c>
      <c r="F17" s="141"/>
      <c r="G17" s="138">
        <f t="shared" si="1"/>
        <v>224494.37</v>
      </c>
      <c r="H17" s="138">
        <f t="shared" si="2"/>
        <v>76429.37</v>
      </c>
      <c r="I17" s="231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300923.74</v>
      </c>
      <c r="F18" s="141"/>
      <c r="G18" s="138">
        <f t="shared" si="1"/>
        <v>224494.37</v>
      </c>
      <c r="H18" s="138">
        <f t="shared" si="2"/>
        <v>76429.37</v>
      </c>
      <c r="I18" s="231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300923.74</v>
      </c>
      <c r="F19" s="138"/>
      <c r="G19" s="138">
        <f t="shared" si="1"/>
        <v>224494.37</v>
      </c>
      <c r="H19" s="138">
        <f t="shared" si="2"/>
        <v>76429.37</v>
      </c>
      <c r="I19" s="231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300923.74</v>
      </c>
      <c r="F20" s="138"/>
      <c r="G20" s="138">
        <f t="shared" si="1"/>
        <v>224494.37</v>
      </c>
      <c r="H20" s="138">
        <f t="shared" si="2"/>
        <v>76429.37</v>
      </c>
      <c r="I20" s="231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300923.74</v>
      </c>
      <c r="F21" s="138"/>
      <c r="G21" s="138">
        <f t="shared" si="1"/>
        <v>224494.37</v>
      </c>
      <c r="H21" s="138">
        <f t="shared" si="2"/>
        <v>76429.37</v>
      </c>
      <c r="I21" s="231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300923.74</v>
      </c>
      <c r="E23" s="171"/>
      <c r="F23" s="171">
        <f>SUM(F9:F22)</f>
        <v>224494.37</v>
      </c>
      <c r="G23" s="171"/>
      <c r="H23" s="171">
        <f>D23-F23</f>
        <v>76429.37</v>
      </c>
      <c r="I23" s="232"/>
    </row>
    <row r="24" spans="1:9" s="131" customFormat="1" ht="12.75" customHeight="1" thickTop="1" x14ac:dyDescent="0.25"/>
    <row r="25" spans="1:9" s="131" customFormat="1" ht="12.75" customHeight="1" x14ac:dyDescent="0.25"/>
    <row r="26" spans="1:9" ht="15" customHeight="1" x14ac:dyDescent="0.25">
      <c r="A26" s="197" t="s">
        <v>191</v>
      </c>
    </row>
  </sheetData>
  <pageMargins left="0.25" right="0.25" top="0.95" bottom="0.75" header="0.09" footer="0.3"/>
  <pageSetup scale="74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025F3-5717-4804-AF76-665BA091B5C1}">
  <sheetPr>
    <pageSetUpPr fitToPage="1"/>
  </sheetPr>
  <dimension ref="A1:I59"/>
  <sheetViews>
    <sheetView zoomScaleNormal="100" workbookViewId="0">
      <selection activeCell="C25" sqref="C25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9" max="9" width="12.7109375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166</v>
      </c>
      <c r="B4" s="28"/>
      <c r="C4" s="29"/>
      <c r="D4" s="30" t="s">
        <v>167</v>
      </c>
      <c r="E4" s="25"/>
      <c r="F4" s="25"/>
      <c r="G4" s="25"/>
      <c r="H4" s="26"/>
      <c r="I4" s="26"/>
    </row>
    <row r="5" spans="1:9" ht="15.75" x14ac:dyDescent="0.25">
      <c r="A5" s="31" t="s">
        <v>83</v>
      </c>
      <c r="B5" s="32"/>
      <c r="C5" s="33"/>
      <c r="D5" s="34" t="s">
        <v>154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126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10" t="s">
        <v>190</v>
      </c>
    </row>
    <row r="9" spans="1:9" s="131" customFormat="1" ht="12.75" customHeight="1" x14ac:dyDescent="0.25">
      <c r="A9" s="127" t="s">
        <v>168</v>
      </c>
      <c r="B9" s="125">
        <v>46013</v>
      </c>
      <c r="C9" s="135" t="s">
        <v>73</v>
      </c>
      <c r="D9" s="136">
        <v>8158</v>
      </c>
      <c r="E9" s="137">
        <f>D9</f>
        <v>8158</v>
      </c>
      <c r="F9" s="138"/>
      <c r="G9" s="138"/>
      <c r="H9" s="138">
        <f>E9</f>
        <v>8158</v>
      </c>
      <c r="I9" s="139"/>
    </row>
    <row r="10" spans="1:9" s="131" customFormat="1" ht="12.75" customHeight="1" x14ac:dyDescent="0.25">
      <c r="A10" s="127" t="s">
        <v>295</v>
      </c>
      <c r="B10" s="140">
        <v>46188</v>
      </c>
      <c r="C10" s="135" t="s">
        <v>296</v>
      </c>
      <c r="D10" s="137"/>
      <c r="E10" s="137">
        <f t="shared" ref="E10:E21" si="0">E9+D10</f>
        <v>8158</v>
      </c>
      <c r="F10" s="129">
        <v>5973.26</v>
      </c>
      <c r="G10" s="138">
        <f t="shared" ref="G10:G21" si="1">G9+F10</f>
        <v>5973.26</v>
      </c>
      <c r="H10" s="138">
        <f t="shared" ref="H10:H21" si="2">H9-F10+D10</f>
        <v>2184.7399999999998</v>
      </c>
      <c r="I10" s="231">
        <v>184.74</v>
      </c>
    </row>
    <row r="11" spans="1:9" s="131" customFormat="1" ht="12.75" customHeight="1" x14ac:dyDescent="0.25">
      <c r="A11" s="127"/>
      <c r="B11" s="125"/>
      <c r="C11" s="135"/>
      <c r="D11" s="137"/>
      <c r="E11" s="137">
        <f t="shared" si="0"/>
        <v>8158</v>
      </c>
      <c r="F11" s="129"/>
      <c r="G11" s="138">
        <f t="shared" si="1"/>
        <v>5973.26</v>
      </c>
      <c r="H11" s="138">
        <f t="shared" si="2"/>
        <v>2184.7399999999998</v>
      </c>
      <c r="I11" s="139"/>
    </row>
    <row r="12" spans="1:9" s="131" customFormat="1" ht="12.75" customHeight="1" x14ac:dyDescent="0.25">
      <c r="A12" s="127"/>
      <c r="B12" s="125"/>
      <c r="C12" s="135"/>
      <c r="D12" s="137"/>
      <c r="E12" s="137">
        <f t="shared" si="0"/>
        <v>8158</v>
      </c>
      <c r="F12" s="141"/>
      <c r="G12" s="138">
        <f t="shared" si="1"/>
        <v>5973.26</v>
      </c>
      <c r="H12" s="138">
        <f t="shared" si="2"/>
        <v>2184.7399999999998</v>
      </c>
      <c r="I12" s="139"/>
    </row>
    <row r="13" spans="1:9" s="131" customFormat="1" ht="12.75" customHeight="1" x14ac:dyDescent="0.25">
      <c r="A13" s="127"/>
      <c r="B13" s="125"/>
      <c r="C13" s="135"/>
      <c r="D13" s="137"/>
      <c r="E13" s="137">
        <f t="shared" si="0"/>
        <v>8158</v>
      </c>
      <c r="F13" s="141"/>
      <c r="G13" s="138">
        <f t="shared" si="1"/>
        <v>5973.26</v>
      </c>
      <c r="H13" s="138">
        <f t="shared" si="2"/>
        <v>2184.7399999999998</v>
      </c>
      <c r="I13" s="139"/>
    </row>
    <row r="14" spans="1:9" s="131" customFormat="1" ht="12.75" customHeight="1" x14ac:dyDescent="0.25">
      <c r="A14" s="127"/>
      <c r="B14" s="125"/>
      <c r="C14" s="135"/>
      <c r="D14" s="137"/>
      <c r="E14" s="137">
        <f t="shared" si="0"/>
        <v>8158</v>
      </c>
      <c r="F14" s="138"/>
      <c r="G14" s="138">
        <f t="shared" si="1"/>
        <v>5973.26</v>
      </c>
      <c r="H14" s="138">
        <f t="shared" si="2"/>
        <v>2184.7399999999998</v>
      </c>
      <c r="I14" s="139"/>
    </row>
    <row r="15" spans="1:9" s="131" customFormat="1" ht="12.75" customHeight="1" x14ac:dyDescent="0.25">
      <c r="A15" s="127"/>
      <c r="B15" s="125"/>
      <c r="C15" s="135"/>
      <c r="D15" s="137"/>
      <c r="E15" s="137">
        <f t="shared" si="0"/>
        <v>8158</v>
      </c>
      <c r="F15" s="141"/>
      <c r="G15" s="138">
        <f t="shared" si="1"/>
        <v>5973.26</v>
      </c>
      <c r="H15" s="138">
        <f t="shared" si="2"/>
        <v>2184.7399999999998</v>
      </c>
      <c r="I15" s="139"/>
    </row>
    <row r="16" spans="1:9" s="131" customFormat="1" ht="12.75" customHeight="1" x14ac:dyDescent="0.25">
      <c r="A16" s="127"/>
      <c r="B16" s="125"/>
      <c r="C16" s="135"/>
      <c r="D16" s="137"/>
      <c r="E16" s="137">
        <f t="shared" si="0"/>
        <v>8158</v>
      </c>
      <c r="F16" s="141"/>
      <c r="G16" s="138">
        <f t="shared" si="1"/>
        <v>5973.26</v>
      </c>
      <c r="H16" s="138">
        <f t="shared" si="2"/>
        <v>2184.7399999999998</v>
      </c>
      <c r="I16" s="139"/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8158</v>
      </c>
      <c r="F17" s="141"/>
      <c r="G17" s="138">
        <f t="shared" si="1"/>
        <v>5973.26</v>
      </c>
      <c r="H17" s="138">
        <f t="shared" si="2"/>
        <v>2184.7399999999998</v>
      </c>
      <c r="I17" s="139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8158</v>
      </c>
      <c r="F18" s="141"/>
      <c r="G18" s="138">
        <f t="shared" si="1"/>
        <v>5973.26</v>
      </c>
      <c r="H18" s="138">
        <f t="shared" si="2"/>
        <v>2184.7399999999998</v>
      </c>
      <c r="I18" s="139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8158</v>
      </c>
      <c r="F19" s="138"/>
      <c r="G19" s="138">
        <f t="shared" si="1"/>
        <v>5973.26</v>
      </c>
      <c r="H19" s="138">
        <f t="shared" si="2"/>
        <v>2184.7399999999998</v>
      </c>
      <c r="I19" s="139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8158</v>
      </c>
      <c r="F20" s="138"/>
      <c r="G20" s="138">
        <f t="shared" si="1"/>
        <v>5973.26</v>
      </c>
      <c r="H20" s="138">
        <f t="shared" si="2"/>
        <v>2184.7399999999998</v>
      </c>
      <c r="I20" s="139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8158</v>
      </c>
      <c r="F21" s="138"/>
      <c r="G21" s="138">
        <f t="shared" si="1"/>
        <v>5973.26</v>
      </c>
      <c r="H21" s="138">
        <f t="shared" si="2"/>
        <v>2184.7399999999998</v>
      </c>
      <c r="I21" s="139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8158</v>
      </c>
      <c r="E23" s="171"/>
      <c r="F23" s="171">
        <f>SUM(F9:F22)</f>
        <v>5973.26</v>
      </c>
      <c r="G23" s="171"/>
      <c r="H23" s="171">
        <f>D23-F23</f>
        <v>2184.7399999999998</v>
      </c>
      <c r="I23" s="139"/>
    </row>
    <row r="24" spans="1:9" s="131" customFormat="1" ht="12.75" customHeight="1" thickTop="1" x14ac:dyDescent="0.25"/>
    <row r="25" spans="1:9" s="131" customFormat="1" ht="12.75" customHeight="1" x14ac:dyDescent="0.25"/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5" customHeigh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  <row r="59" customFormat="1" ht="15" customHeight="1" x14ac:dyDescent="0.25"/>
  </sheetData>
  <pageMargins left="0.25" right="0.25" top="0.95" bottom="0.75" header="0.09" footer="0.3"/>
  <pageSetup scale="74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AF4E-AFE9-4B17-9EF0-B26B9C0F7565}">
  <sheetPr>
    <pageSetUpPr fitToPage="1"/>
  </sheetPr>
  <dimension ref="A1:I59"/>
  <sheetViews>
    <sheetView topLeftCell="A8" zoomScaleNormal="100" workbookViewId="0">
      <selection activeCell="L32" sqref="L32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82</v>
      </c>
      <c r="B4" s="28"/>
      <c r="C4" s="29"/>
      <c r="D4" s="30" t="s">
        <v>86</v>
      </c>
      <c r="E4" s="25"/>
      <c r="F4" s="25"/>
      <c r="G4" s="25"/>
      <c r="H4" s="26"/>
      <c r="I4" s="26"/>
    </row>
    <row r="5" spans="1:9" ht="15.75" x14ac:dyDescent="0.25">
      <c r="A5" s="31" t="s">
        <v>83</v>
      </c>
      <c r="B5" s="32"/>
      <c r="C5" s="33"/>
      <c r="D5" s="34" t="s">
        <v>84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126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 t="s">
        <v>1</v>
      </c>
    </row>
    <row r="9" spans="1:9" s="131" customFormat="1" ht="12.75" customHeight="1" x14ac:dyDescent="0.25">
      <c r="A9" s="127" t="s">
        <v>174</v>
      </c>
      <c r="B9" s="125">
        <v>46022</v>
      </c>
      <c r="C9" s="135" t="s">
        <v>73</v>
      </c>
      <c r="D9" s="136">
        <v>310847.46999999997</v>
      </c>
      <c r="E9" s="137">
        <f>D9</f>
        <v>310847.46999999997</v>
      </c>
      <c r="F9" s="138"/>
      <c r="G9" s="138"/>
      <c r="H9" s="138">
        <f>E9</f>
        <v>310847.46999999997</v>
      </c>
      <c r="I9" s="139"/>
    </row>
    <row r="10" spans="1:9" s="131" customFormat="1" ht="12.75" customHeight="1" x14ac:dyDescent="0.25">
      <c r="A10" s="127" t="s">
        <v>217</v>
      </c>
      <c r="B10" s="140">
        <v>46069</v>
      </c>
      <c r="C10" s="135" t="s">
        <v>216</v>
      </c>
      <c r="D10" s="137"/>
      <c r="E10" s="137">
        <f t="shared" ref="E10:E21" si="0">E9+D10</f>
        <v>310847.46999999997</v>
      </c>
      <c r="F10" s="129">
        <v>20666.73</v>
      </c>
      <c r="G10" s="138">
        <f t="shared" ref="G10:G21" si="1">G9+F10</f>
        <v>20666.73</v>
      </c>
      <c r="H10" s="138">
        <f t="shared" ref="H10:H21" si="2">H9-F10+D10</f>
        <v>290180.74</v>
      </c>
      <c r="I10" s="139"/>
    </row>
    <row r="11" spans="1:9" s="131" customFormat="1" ht="12.75" customHeight="1" x14ac:dyDescent="0.25">
      <c r="A11" s="127" t="s">
        <v>238</v>
      </c>
      <c r="B11" s="125">
        <v>46101</v>
      </c>
      <c r="C11" s="135" t="s">
        <v>239</v>
      </c>
      <c r="D11" s="137"/>
      <c r="E11" s="137">
        <f t="shared" si="0"/>
        <v>310847.46999999997</v>
      </c>
      <c r="F11" s="129">
        <v>25740.74</v>
      </c>
      <c r="G11" s="138">
        <f t="shared" si="1"/>
        <v>46407.47</v>
      </c>
      <c r="H11" s="138">
        <f t="shared" si="2"/>
        <v>264440</v>
      </c>
      <c r="I11" s="139"/>
    </row>
    <row r="12" spans="1:9" s="131" customFormat="1" ht="12.75" customHeight="1" x14ac:dyDescent="0.25">
      <c r="A12" s="127" t="s">
        <v>255</v>
      </c>
      <c r="B12" s="125">
        <v>46128</v>
      </c>
      <c r="C12" s="135" t="s">
        <v>256</v>
      </c>
      <c r="D12" s="137"/>
      <c r="E12" s="137">
        <f t="shared" si="0"/>
        <v>310847.46999999997</v>
      </c>
      <c r="F12" s="129">
        <v>28922.799999999999</v>
      </c>
      <c r="G12" s="138">
        <f t="shared" si="1"/>
        <v>75330.27</v>
      </c>
      <c r="H12" s="138">
        <f t="shared" si="2"/>
        <v>235517.2</v>
      </c>
      <c r="I12" s="139"/>
    </row>
    <row r="13" spans="1:9" s="131" customFormat="1" ht="12.75" customHeight="1" x14ac:dyDescent="0.25">
      <c r="A13" s="127" t="s">
        <v>269</v>
      </c>
      <c r="B13" s="125">
        <v>46153</v>
      </c>
      <c r="C13" s="135" t="s">
        <v>270</v>
      </c>
      <c r="D13" s="137"/>
      <c r="E13" s="137">
        <f t="shared" si="0"/>
        <v>310847.46999999997</v>
      </c>
      <c r="F13" s="129">
        <v>46595.69</v>
      </c>
      <c r="G13" s="138">
        <f t="shared" si="1"/>
        <v>121925.96</v>
      </c>
      <c r="H13" s="138">
        <f t="shared" si="2"/>
        <v>188921.51</v>
      </c>
      <c r="I13" s="139"/>
    </row>
    <row r="14" spans="1:9" s="131" customFormat="1" ht="12.75" customHeight="1" x14ac:dyDescent="0.25">
      <c r="A14" s="127" t="s">
        <v>291</v>
      </c>
      <c r="B14" s="125">
        <v>46183</v>
      </c>
      <c r="C14" s="135" t="s">
        <v>292</v>
      </c>
      <c r="D14" s="137"/>
      <c r="E14" s="137">
        <f t="shared" si="0"/>
        <v>310847.46999999997</v>
      </c>
      <c r="F14" s="129">
        <v>26484.57</v>
      </c>
      <c r="G14" s="138">
        <f t="shared" si="1"/>
        <v>148410.53</v>
      </c>
      <c r="H14" s="138">
        <f t="shared" si="2"/>
        <v>162436.94</v>
      </c>
      <c r="I14" s="139"/>
    </row>
    <row r="15" spans="1:9" s="131" customFormat="1" ht="12.75" customHeight="1" x14ac:dyDescent="0.25">
      <c r="A15" s="127"/>
      <c r="B15" s="125"/>
      <c r="C15" s="135"/>
      <c r="D15" s="137"/>
      <c r="E15" s="137">
        <f t="shared" si="0"/>
        <v>310847.46999999997</v>
      </c>
      <c r="F15" s="141"/>
      <c r="G15" s="138">
        <f t="shared" si="1"/>
        <v>148410.53</v>
      </c>
      <c r="H15" s="138">
        <f t="shared" si="2"/>
        <v>162436.94</v>
      </c>
      <c r="I15" s="139"/>
    </row>
    <row r="16" spans="1:9" s="131" customFormat="1" ht="12.75" customHeight="1" x14ac:dyDescent="0.25">
      <c r="A16" s="127"/>
      <c r="B16" s="125"/>
      <c r="C16" s="135"/>
      <c r="D16" s="137"/>
      <c r="E16" s="137">
        <f t="shared" si="0"/>
        <v>310847.46999999997</v>
      </c>
      <c r="F16" s="141"/>
      <c r="G16" s="138">
        <f t="shared" si="1"/>
        <v>148410.53</v>
      </c>
      <c r="H16" s="138">
        <f t="shared" si="2"/>
        <v>162436.94</v>
      </c>
      <c r="I16" s="139"/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310847.46999999997</v>
      </c>
      <c r="F17" s="141"/>
      <c r="G17" s="138">
        <f t="shared" si="1"/>
        <v>148410.53</v>
      </c>
      <c r="H17" s="138">
        <f t="shared" si="2"/>
        <v>162436.94</v>
      </c>
      <c r="I17" s="139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310847.46999999997</v>
      </c>
      <c r="F18" s="141"/>
      <c r="G18" s="138">
        <f t="shared" si="1"/>
        <v>148410.53</v>
      </c>
      <c r="H18" s="138">
        <f t="shared" si="2"/>
        <v>162436.94</v>
      </c>
      <c r="I18" s="139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310847.46999999997</v>
      </c>
      <c r="F19" s="138"/>
      <c r="G19" s="138">
        <f t="shared" si="1"/>
        <v>148410.53</v>
      </c>
      <c r="H19" s="138">
        <f t="shared" si="2"/>
        <v>162436.94</v>
      </c>
      <c r="I19" s="139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310847.46999999997</v>
      </c>
      <c r="F20" s="138"/>
      <c r="G20" s="138">
        <f t="shared" si="1"/>
        <v>148410.53</v>
      </c>
      <c r="H20" s="138">
        <f t="shared" si="2"/>
        <v>162436.94</v>
      </c>
      <c r="I20" s="139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310847.46999999997</v>
      </c>
      <c r="F21" s="138"/>
      <c r="G21" s="138">
        <f t="shared" si="1"/>
        <v>148410.53</v>
      </c>
      <c r="H21" s="138">
        <f t="shared" si="2"/>
        <v>162436.94</v>
      </c>
      <c r="I21" s="139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310847.46999999997</v>
      </c>
      <c r="E23" s="171"/>
      <c r="F23" s="171">
        <f>SUM(F9:F22)</f>
        <v>148410.53</v>
      </c>
      <c r="G23" s="171"/>
      <c r="H23" s="171">
        <f>D23-F23</f>
        <v>162436.93999999997</v>
      </c>
      <c r="I23" s="139"/>
    </row>
    <row r="24" spans="1:9" s="131" customFormat="1" ht="12.75" customHeight="1" thickTop="1" x14ac:dyDescent="0.25"/>
    <row r="25" spans="1:9" s="131" customFormat="1" ht="12.75" customHeight="1" x14ac:dyDescent="0.25">
      <c r="C25" s="135"/>
    </row>
    <row r="26" spans="1:9" ht="15" customHeight="1" x14ac:dyDescent="0.25">
      <c r="C26" s="135" t="s">
        <v>175</v>
      </c>
      <c r="D26" s="138">
        <v>178522.14</v>
      </c>
      <c r="E26" s="138"/>
      <c r="F26" s="138">
        <f>14078.96+8176.44+12335.37+12180.62+12432.16</f>
        <v>59203.55</v>
      </c>
      <c r="G26" s="138"/>
      <c r="H26" s="138">
        <f t="shared" ref="H26:H28" si="3">D26-F26</f>
        <v>119318.59000000001</v>
      </c>
    </row>
    <row r="27" spans="1:9" ht="15" customHeight="1" x14ac:dyDescent="0.25">
      <c r="C27" s="135" t="s">
        <v>89</v>
      </c>
      <c r="D27" s="138">
        <v>25000</v>
      </c>
      <c r="E27" s="138"/>
      <c r="F27" s="138">
        <f>6587.77+1465.5+488.63+12950+3319.88</f>
        <v>24811.780000000002</v>
      </c>
      <c r="G27" s="138"/>
      <c r="H27" s="138">
        <f t="shared" si="3"/>
        <v>188.21999999999753</v>
      </c>
    </row>
    <row r="28" spans="1:9" ht="15" customHeight="1" x14ac:dyDescent="0.25">
      <c r="C28" s="135" t="s">
        <v>176</v>
      </c>
      <c r="D28" s="138">
        <v>107325.33</v>
      </c>
      <c r="E28" s="138"/>
      <c r="F28" s="138">
        <f>16098.8+16098.8+21465.07+10732.53</f>
        <v>64395.199999999997</v>
      </c>
      <c r="G28" s="138"/>
      <c r="H28" s="138">
        <f t="shared" si="3"/>
        <v>42930.130000000005</v>
      </c>
    </row>
    <row r="29" spans="1:9" ht="15" customHeight="1" thickBot="1" x14ac:dyDescent="0.3">
      <c r="C29" s="173" t="s">
        <v>74</v>
      </c>
      <c r="D29" s="171">
        <f>SUM(D26:D28)</f>
        <v>310847.47000000003</v>
      </c>
      <c r="E29" s="174"/>
      <c r="F29" s="171">
        <f>SUM(F26:F28)</f>
        <v>148410.53</v>
      </c>
      <c r="G29" s="174"/>
      <c r="H29" s="171">
        <f>SUM(H26:H28)</f>
        <v>162436.94</v>
      </c>
    </row>
    <row r="30" spans="1:9" ht="15" customHeight="1" thickTop="1" x14ac:dyDescent="0.25">
      <c r="C30" s="131"/>
      <c r="D30" s="131"/>
      <c r="E30" s="131"/>
      <c r="F30" s="131"/>
      <c r="G30" s="131"/>
      <c r="H30" s="131"/>
    </row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5" customHeigh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  <row r="59" customFormat="1" ht="15" customHeight="1" x14ac:dyDescent="0.25"/>
  </sheetData>
  <pageMargins left="0.25" right="0.25" top="0.95" bottom="0.75" header="0.09" footer="0.3"/>
  <pageSetup scale="75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5658-715C-43DE-818D-C98CEF78D541}">
  <sheetPr>
    <pageSetUpPr fitToPage="1"/>
  </sheetPr>
  <dimension ref="A1:I28"/>
  <sheetViews>
    <sheetView topLeftCell="A2" zoomScaleNormal="100" workbookViewId="0">
      <selection activeCell="A29" sqref="A29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38.8554687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199</v>
      </c>
      <c r="B4" s="28"/>
      <c r="C4" s="29"/>
      <c r="D4" s="30" t="s">
        <v>203</v>
      </c>
      <c r="E4" s="25"/>
      <c r="F4" s="25"/>
      <c r="G4" s="25"/>
      <c r="H4" s="26"/>
      <c r="I4" s="26"/>
    </row>
    <row r="5" spans="1:9" ht="15.75" x14ac:dyDescent="0.25">
      <c r="A5" s="31" t="s">
        <v>83</v>
      </c>
      <c r="B5" s="32"/>
      <c r="C5" s="33"/>
      <c r="D5" s="34" t="s">
        <v>200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201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 t="s">
        <v>1</v>
      </c>
    </row>
    <row r="9" spans="1:9" s="131" customFormat="1" ht="12.75" customHeight="1" x14ac:dyDescent="0.25">
      <c r="A9" s="127" t="s">
        <v>202</v>
      </c>
      <c r="B9" s="125">
        <v>46056</v>
      </c>
      <c r="C9" s="135" t="s">
        <v>73</v>
      </c>
      <c r="D9" s="136">
        <v>193916.62</v>
      </c>
      <c r="E9" s="137">
        <f>D9</f>
        <v>193916.62</v>
      </c>
      <c r="F9" s="138"/>
      <c r="G9" s="138"/>
      <c r="H9" s="138">
        <f>E9</f>
        <v>193916.62</v>
      </c>
      <c r="I9" s="139"/>
    </row>
    <row r="10" spans="1:9" s="131" customFormat="1" ht="12.75" customHeight="1" x14ac:dyDescent="0.25">
      <c r="A10" s="127" t="s">
        <v>209</v>
      </c>
      <c r="B10" s="140">
        <v>46058</v>
      </c>
      <c r="C10" s="135" t="s">
        <v>208</v>
      </c>
      <c r="D10" s="137"/>
      <c r="E10" s="137">
        <f t="shared" ref="E10:E17" si="0">E9+D10</f>
        <v>193916.62</v>
      </c>
      <c r="F10" s="129">
        <v>2601.25</v>
      </c>
      <c r="G10" s="138">
        <f t="shared" ref="G10:G17" si="1">G9+F10</f>
        <v>2601.25</v>
      </c>
      <c r="H10" s="138">
        <f t="shared" ref="H10:H17" si="2">H9-F10+D10</f>
        <v>191315.37</v>
      </c>
      <c r="I10" s="139"/>
    </row>
    <row r="11" spans="1:9" s="131" customFormat="1" ht="12.75" customHeight="1" x14ac:dyDescent="0.25">
      <c r="A11" s="127" t="s">
        <v>254</v>
      </c>
      <c r="B11" s="125">
        <v>46122</v>
      </c>
      <c r="C11" s="135" t="s">
        <v>253</v>
      </c>
      <c r="D11" s="137"/>
      <c r="E11" s="137">
        <f t="shared" si="0"/>
        <v>193916.62</v>
      </c>
      <c r="F11" s="129">
        <v>2904.89</v>
      </c>
      <c r="G11" s="138">
        <f t="shared" si="1"/>
        <v>5506.1399999999994</v>
      </c>
      <c r="H11" s="138">
        <f t="shared" si="2"/>
        <v>188410.47999999998</v>
      </c>
      <c r="I11" s="139"/>
    </row>
    <row r="12" spans="1:9" s="131" customFormat="1" ht="12.75" customHeight="1" x14ac:dyDescent="0.25">
      <c r="A12" s="127" t="s">
        <v>202</v>
      </c>
      <c r="B12" s="125">
        <v>46147</v>
      </c>
      <c r="C12" s="135" t="s">
        <v>266</v>
      </c>
      <c r="D12" s="234">
        <v>-50107.8</v>
      </c>
      <c r="E12" s="137">
        <f t="shared" si="0"/>
        <v>143808.82</v>
      </c>
      <c r="F12" s="138"/>
      <c r="G12" s="138">
        <f t="shared" si="1"/>
        <v>5506.1399999999994</v>
      </c>
      <c r="H12" s="138">
        <f t="shared" si="2"/>
        <v>138302.68</v>
      </c>
      <c r="I12" s="139"/>
    </row>
    <row r="13" spans="1:9" s="131" customFormat="1" ht="12.75" customHeight="1" x14ac:dyDescent="0.25">
      <c r="A13" s="127" t="s">
        <v>278</v>
      </c>
      <c r="B13" s="125">
        <v>46161</v>
      </c>
      <c r="C13" s="135" t="s">
        <v>279</v>
      </c>
      <c r="D13" s="137"/>
      <c r="E13" s="137">
        <f t="shared" si="0"/>
        <v>143808.82</v>
      </c>
      <c r="F13" s="129">
        <v>1233</v>
      </c>
      <c r="G13" s="138">
        <f t="shared" si="1"/>
        <v>6739.1399999999994</v>
      </c>
      <c r="H13" s="138">
        <f t="shared" si="2"/>
        <v>137069.68</v>
      </c>
      <c r="I13" s="139"/>
    </row>
    <row r="14" spans="1:9" s="131" customFormat="1" ht="12.75" customHeight="1" x14ac:dyDescent="0.25">
      <c r="A14" s="127"/>
      <c r="B14" s="125"/>
      <c r="C14" s="135"/>
      <c r="D14" s="137"/>
      <c r="E14" s="137">
        <f t="shared" si="0"/>
        <v>143808.82</v>
      </c>
      <c r="F14" s="141"/>
      <c r="G14" s="138">
        <f t="shared" si="1"/>
        <v>6739.1399999999994</v>
      </c>
      <c r="H14" s="138">
        <f t="shared" si="2"/>
        <v>137069.68</v>
      </c>
      <c r="I14" s="139"/>
    </row>
    <row r="15" spans="1:9" s="131" customFormat="1" ht="12.75" customHeight="1" x14ac:dyDescent="0.25">
      <c r="A15" s="127"/>
      <c r="B15" s="125"/>
      <c r="C15" s="135"/>
      <c r="D15" s="137"/>
      <c r="E15" s="137">
        <f t="shared" si="0"/>
        <v>143808.82</v>
      </c>
      <c r="F15" s="138"/>
      <c r="G15" s="138">
        <f t="shared" si="1"/>
        <v>6739.1399999999994</v>
      </c>
      <c r="H15" s="138">
        <f t="shared" si="2"/>
        <v>137069.68</v>
      </c>
      <c r="I15" s="139"/>
    </row>
    <row r="16" spans="1:9" s="131" customFormat="1" ht="12.75" customHeight="1" x14ac:dyDescent="0.25">
      <c r="A16" s="127"/>
      <c r="B16" s="125"/>
      <c r="C16" s="135"/>
      <c r="D16" s="137"/>
      <c r="E16" s="137">
        <f t="shared" si="0"/>
        <v>143808.82</v>
      </c>
      <c r="F16" s="138"/>
      <c r="G16" s="138">
        <f t="shared" si="1"/>
        <v>6739.1399999999994</v>
      </c>
      <c r="H16" s="138">
        <f t="shared" si="2"/>
        <v>137069.68</v>
      </c>
      <c r="I16" s="139"/>
    </row>
    <row r="17" spans="1:9" s="131" customFormat="1" ht="12.75" customHeight="1" x14ac:dyDescent="0.25">
      <c r="A17" s="127"/>
      <c r="B17" s="125"/>
      <c r="C17" s="142"/>
      <c r="D17" s="137"/>
      <c r="E17" s="137">
        <f t="shared" si="0"/>
        <v>143808.82</v>
      </c>
      <c r="F17" s="138"/>
      <c r="G17" s="138">
        <f t="shared" si="1"/>
        <v>6739.1399999999994</v>
      </c>
      <c r="H17" s="138">
        <f t="shared" si="2"/>
        <v>137069.68</v>
      </c>
      <c r="I17" s="139"/>
    </row>
    <row r="18" spans="1:9" s="131" customFormat="1" ht="12.75" customHeight="1" x14ac:dyDescent="0.25">
      <c r="A18" s="127"/>
      <c r="B18" s="135"/>
      <c r="C18" s="168"/>
      <c r="D18" s="138"/>
      <c r="E18" s="138"/>
      <c r="F18" s="138"/>
      <c r="G18" s="138"/>
      <c r="H18" s="138"/>
      <c r="I18" s="139"/>
    </row>
    <row r="19" spans="1:9" s="131" customFormat="1" ht="12.75" customHeight="1" thickBot="1" x14ac:dyDescent="0.3">
      <c r="A19" s="127"/>
      <c r="B19" s="169"/>
      <c r="C19" s="170" t="s">
        <v>19</v>
      </c>
      <c r="D19" s="171">
        <f>SUM(D9:D18)</f>
        <v>143808.82</v>
      </c>
      <c r="E19" s="171"/>
      <c r="F19" s="171">
        <f>SUM(F9:F18)</f>
        <v>6739.1399999999994</v>
      </c>
      <c r="G19" s="171"/>
      <c r="H19" s="171">
        <f>D19-F19</f>
        <v>137069.68</v>
      </c>
      <c r="I19" s="139"/>
    </row>
    <row r="20" spans="1:9" s="131" customFormat="1" ht="12.75" customHeight="1" thickTop="1" x14ac:dyDescent="0.25"/>
    <row r="21" spans="1:9" s="131" customFormat="1" ht="12.75" customHeight="1" x14ac:dyDescent="0.25">
      <c r="C21" s="135"/>
    </row>
    <row r="22" spans="1:9" ht="15" customHeight="1" x14ac:dyDescent="0.25">
      <c r="A22" s="127"/>
      <c r="B22" s="125"/>
      <c r="C22" s="135" t="s">
        <v>259</v>
      </c>
      <c r="D22" s="138">
        <v>193916.62</v>
      </c>
      <c r="E22" s="138"/>
      <c r="F22" s="138">
        <f>F19</f>
        <v>6739.1399999999994</v>
      </c>
      <c r="G22" s="138"/>
      <c r="H22" s="138">
        <f>D22-F22</f>
        <v>187177.47999999998</v>
      </c>
    </row>
    <row r="23" spans="1:9" ht="15" customHeight="1" x14ac:dyDescent="0.25">
      <c r="A23" s="127"/>
      <c r="B23" s="125"/>
      <c r="C23" s="135" t="s">
        <v>161</v>
      </c>
      <c r="D23" s="235">
        <v>-50107.8</v>
      </c>
      <c r="E23" s="138"/>
      <c r="F23" s="138">
        <v>0</v>
      </c>
      <c r="G23" s="138"/>
      <c r="H23" s="235">
        <f>D23-F23</f>
        <v>-50107.8</v>
      </c>
    </row>
    <row r="24" spans="1:9" ht="15" customHeight="1" thickBot="1" x14ac:dyDescent="0.3">
      <c r="C24" s="173" t="s">
        <v>19</v>
      </c>
      <c r="D24" s="171">
        <f>SUM(D22:D23)</f>
        <v>143808.82</v>
      </c>
      <c r="E24" s="174"/>
      <c r="F24" s="171">
        <f>SUM(F22:F23)</f>
        <v>6739.1399999999994</v>
      </c>
      <c r="G24" s="174"/>
      <c r="H24" s="171">
        <f>SUM(H22:H23)</f>
        <v>137069.68</v>
      </c>
    </row>
    <row r="25" spans="1:9" ht="15" customHeight="1" thickTop="1" x14ac:dyDescent="0.25">
      <c r="C25" s="131"/>
      <c r="D25" s="131"/>
      <c r="E25" s="131"/>
      <c r="F25" s="131"/>
      <c r="G25" s="131"/>
      <c r="H25" s="131"/>
    </row>
    <row r="28" spans="1:9" ht="15" customHeight="1" x14ac:dyDescent="0.25">
      <c r="A28" s="133" t="s">
        <v>287</v>
      </c>
    </row>
  </sheetData>
  <pageMargins left="0.25" right="0.25" top="0.95" bottom="0.75" header="0.09" footer="0.3"/>
  <pageSetup scale="68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D56C-124A-4848-BC8E-AB4FAF0625C0}">
  <sheetPr>
    <tabColor indexed="30"/>
  </sheetPr>
  <dimension ref="A1:G15"/>
  <sheetViews>
    <sheetView zoomScaleNormal="100" workbookViewId="0">
      <selection activeCell="E16" sqref="E16"/>
    </sheetView>
  </sheetViews>
  <sheetFormatPr defaultColWidth="11.42578125" defaultRowHeight="15" customHeight="1" x14ac:dyDescent="0.25"/>
  <cols>
    <col min="1" max="1" width="3.5703125" customWidth="1"/>
    <col min="2" max="2" width="25" customWidth="1"/>
    <col min="3" max="3" width="17.42578125" customWidth="1"/>
    <col min="4" max="4" width="17" customWidth="1"/>
    <col min="5" max="5" width="13.42578125" bestFit="1" customWidth="1"/>
    <col min="6" max="6" width="16.42578125" customWidth="1"/>
    <col min="7" max="7" width="16.42578125" bestFit="1" customWidth="1"/>
    <col min="257" max="263" width="11.42578125" customWidth="1"/>
    <col min="513" max="519" width="11.42578125" customWidth="1"/>
    <col min="769" max="775" width="11.42578125" customWidth="1"/>
    <col min="1025" max="1031" width="11.42578125" customWidth="1"/>
    <col min="1281" max="1287" width="11.42578125" customWidth="1"/>
    <col min="1537" max="1543" width="11.42578125" customWidth="1"/>
    <col min="1793" max="1799" width="11.42578125" customWidth="1"/>
    <col min="2049" max="2055" width="11.42578125" customWidth="1"/>
    <col min="2305" max="2311" width="11.42578125" customWidth="1"/>
    <col min="2561" max="2567" width="11.42578125" customWidth="1"/>
    <col min="2817" max="2823" width="11.42578125" customWidth="1"/>
    <col min="3073" max="3079" width="11.42578125" customWidth="1"/>
    <col min="3329" max="3335" width="11.42578125" customWidth="1"/>
    <col min="3585" max="3591" width="11.42578125" customWidth="1"/>
    <col min="3841" max="3847" width="11.42578125" customWidth="1"/>
    <col min="4097" max="4103" width="11.42578125" customWidth="1"/>
    <col min="4353" max="4359" width="11.42578125" customWidth="1"/>
    <col min="4609" max="4615" width="11.42578125" customWidth="1"/>
    <col min="4865" max="4871" width="11.42578125" customWidth="1"/>
    <col min="5121" max="5127" width="11.42578125" customWidth="1"/>
    <col min="5377" max="5383" width="11.42578125" customWidth="1"/>
    <col min="5633" max="5639" width="11.42578125" customWidth="1"/>
    <col min="5889" max="5895" width="11.42578125" customWidth="1"/>
    <col min="6145" max="6151" width="11.42578125" customWidth="1"/>
    <col min="6401" max="6407" width="11.42578125" customWidth="1"/>
    <col min="6657" max="6663" width="11.42578125" customWidth="1"/>
    <col min="6913" max="6919" width="11.42578125" customWidth="1"/>
    <col min="7169" max="7175" width="11.42578125" customWidth="1"/>
    <col min="7425" max="7431" width="11.42578125" customWidth="1"/>
    <col min="7681" max="7687" width="11.42578125" customWidth="1"/>
    <col min="7937" max="7943" width="11.42578125" customWidth="1"/>
    <col min="8193" max="8199" width="11.42578125" customWidth="1"/>
    <col min="8449" max="8455" width="11.42578125" customWidth="1"/>
    <col min="8705" max="8711" width="11.42578125" customWidth="1"/>
    <col min="8961" max="8967" width="11.42578125" customWidth="1"/>
    <col min="9217" max="9223" width="11.42578125" customWidth="1"/>
    <col min="9473" max="9479" width="11.42578125" customWidth="1"/>
    <col min="9729" max="9735" width="11.42578125" customWidth="1"/>
    <col min="9985" max="9991" width="11.42578125" customWidth="1"/>
    <col min="10241" max="10247" width="11.42578125" customWidth="1"/>
    <col min="10497" max="10503" width="11.42578125" customWidth="1"/>
    <col min="10753" max="10759" width="11.42578125" customWidth="1"/>
    <col min="11009" max="11015" width="11.42578125" customWidth="1"/>
    <col min="11265" max="11271" width="11.42578125" customWidth="1"/>
    <col min="11521" max="11527" width="11.42578125" customWidth="1"/>
    <col min="11777" max="11783" width="11.42578125" customWidth="1"/>
    <col min="12033" max="12039" width="11.42578125" customWidth="1"/>
    <col min="12289" max="12295" width="11.42578125" customWidth="1"/>
    <col min="12545" max="12551" width="11.42578125" customWidth="1"/>
    <col min="12801" max="12807" width="11.42578125" customWidth="1"/>
    <col min="13057" max="13063" width="11.42578125" customWidth="1"/>
    <col min="13313" max="13319" width="11.42578125" customWidth="1"/>
    <col min="13569" max="13575" width="11.42578125" customWidth="1"/>
    <col min="13825" max="13831" width="11.42578125" customWidth="1"/>
    <col min="14081" max="14087" width="11.42578125" customWidth="1"/>
    <col min="14337" max="14343" width="11.42578125" customWidth="1"/>
    <col min="14593" max="14599" width="11.42578125" customWidth="1"/>
    <col min="14849" max="14855" width="11.42578125" customWidth="1"/>
    <col min="15105" max="15111" width="11.42578125" customWidth="1"/>
    <col min="15361" max="15367" width="11.42578125" customWidth="1"/>
    <col min="15617" max="15623" width="11.42578125" customWidth="1"/>
    <col min="15873" max="15879" width="11.42578125" customWidth="1"/>
    <col min="16129" max="16135" width="11.42578125" customWidth="1"/>
  </cols>
  <sheetData>
    <row r="1" spans="1:7" ht="24.75" customHeight="1" x14ac:dyDescent="0.25">
      <c r="A1" s="1"/>
      <c r="B1" s="2" t="s">
        <v>90</v>
      </c>
      <c r="C1" s="3"/>
      <c r="D1" s="4"/>
      <c r="E1" s="4"/>
      <c r="F1" s="4"/>
      <c r="G1" s="4"/>
    </row>
    <row r="2" spans="1:7" ht="15.75" x14ac:dyDescent="0.25">
      <c r="A2" s="1"/>
      <c r="B2" s="6" t="s">
        <v>91</v>
      </c>
      <c r="C2" s="5"/>
      <c r="D2" s="4"/>
      <c r="E2" s="4"/>
      <c r="F2" s="4"/>
      <c r="G2" s="4"/>
    </row>
    <row r="3" spans="1:7" ht="15.75" x14ac:dyDescent="0.25">
      <c r="A3" s="1"/>
      <c r="B3" s="7" t="s">
        <v>92</v>
      </c>
      <c r="C3" s="5"/>
      <c r="D3" s="4"/>
      <c r="E3" s="8" t="s">
        <v>93</v>
      </c>
      <c r="F3" s="4"/>
      <c r="G3" s="4"/>
    </row>
    <row r="4" spans="1:7" ht="15.75" x14ac:dyDescent="0.25">
      <c r="A4" s="1"/>
      <c r="B4" s="9" t="s">
        <v>0</v>
      </c>
      <c r="C4" s="10" t="s">
        <v>1</v>
      </c>
      <c r="D4" s="4"/>
      <c r="E4" s="4"/>
      <c r="F4" s="4"/>
      <c r="G4" s="4"/>
    </row>
    <row r="5" spans="1:7" ht="15.75" x14ac:dyDescent="0.25">
      <c r="A5" s="1"/>
      <c r="B5" s="11" t="s">
        <v>65</v>
      </c>
      <c r="C5" s="5"/>
      <c r="D5" s="4"/>
      <c r="E5" s="4"/>
      <c r="F5" s="4"/>
      <c r="G5" s="4"/>
    </row>
    <row r="6" spans="1:7" ht="15.75" x14ac:dyDescent="0.25">
      <c r="A6" s="1"/>
      <c r="B6" s="11" t="s">
        <v>94</v>
      </c>
      <c r="C6" s="12"/>
      <c r="D6" s="13" t="s">
        <v>1</v>
      </c>
      <c r="E6" s="4"/>
      <c r="F6" s="4"/>
      <c r="G6" s="4"/>
    </row>
    <row r="7" spans="1:7" ht="26.85" customHeight="1" thickBot="1" x14ac:dyDescent="0.3">
      <c r="A7" s="1"/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1:7" ht="28.35" customHeight="1" x14ac:dyDescent="0.25">
      <c r="A8" s="1"/>
      <c r="B8" s="1" t="s">
        <v>7</v>
      </c>
      <c r="C8" s="19">
        <v>0</v>
      </c>
      <c r="D8" s="20"/>
      <c r="E8" s="20"/>
      <c r="F8" s="20"/>
      <c r="G8" s="21"/>
    </row>
    <row r="9" spans="1:7" s="131" customFormat="1" ht="12.75" customHeight="1" x14ac:dyDescent="0.25">
      <c r="A9" s="161"/>
      <c r="B9" s="162"/>
      <c r="C9" s="163"/>
      <c r="D9" s="164"/>
      <c r="E9" s="164"/>
      <c r="F9" s="164"/>
      <c r="G9" s="165"/>
    </row>
    <row r="10" spans="1:7" s="131" customFormat="1" ht="12.75" customHeight="1" x14ac:dyDescent="0.25">
      <c r="A10" s="161"/>
      <c r="B10" s="162" t="s">
        <v>95</v>
      </c>
      <c r="C10" s="163"/>
      <c r="D10" s="166">
        <f>'#XXXX.XX Vendor A'!D23</f>
        <v>0</v>
      </c>
      <c r="E10" s="166">
        <f>'#XXXX.XX Vendor A'!F23</f>
        <v>0</v>
      </c>
      <c r="F10" s="166">
        <f>'#XXXX.XX Vendor A'!H23</f>
        <v>0</v>
      </c>
      <c r="G10" s="165"/>
    </row>
    <row r="11" spans="1:7" s="131" customFormat="1" ht="12.75" customHeight="1" x14ac:dyDescent="0.25">
      <c r="A11" s="161"/>
      <c r="B11" s="162" t="s">
        <v>8</v>
      </c>
      <c r="C11" s="163"/>
      <c r="D11" s="166">
        <f>'#XXXX.XX PM TIME'!E23</f>
        <v>0</v>
      </c>
      <c r="E11" s="166">
        <f>'#XXXX.XX PM TIME'!G23</f>
        <v>0</v>
      </c>
      <c r="F11" s="166">
        <f>'#XXXX.XX PM TIME'!I23</f>
        <v>0</v>
      </c>
      <c r="G11" s="165"/>
    </row>
    <row r="12" spans="1:7" s="131" customFormat="1" ht="12.75" customHeight="1" x14ac:dyDescent="0.25">
      <c r="A12" s="161"/>
      <c r="B12" s="162" t="s">
        <v>9</v>
      </c>
      <c r="C12" s="164"/>
      <c r="D12" s="167">
        <f>'#XXXX.XX Misc'!G22</f>
        <v>0</v>
      </c>
      <c r="E12" s="167">
        <f>'#XXXX.XX Misc'!H22</f>
        <v>0</v>
      </c>
      <c r="F12" s="166">
        <f>D12-E12</f>
        <v>0</v>
      </c>
      <c r="G12" s="165"/>
    </row>
    <row r="13" spans="1:7" s="131" customFormat="1" ht="12.75" customHeight="1" x14ac:dyDescent="0.25">
      <c r="A13" s="161"/>
      <c r="B13" s="162"/>
      <c r="C13" s="164"/>
      <c r="D13" s="167"/>
      <c r="E13" s="167"/>
      <c r="F13" s="166"/>
      <c r="G13" s="165"/>
    </row>
    <row r="14" spans="1:7" ht="24" customHeight="1" thickBot="1" x14ac:dyDescent="0.3">
      <c r="A14" s="22"/>
      <c r="B14" s="23" t="s">
        <v>10</v>
      </c>
      <c r="C14" s="24">
        <f>SUM(C8:C13)</f>
        <v>0</v>
      </c>
      <c r="D14" s="24">
        <f>SUM(D8:D13)</f>
        <v>0</v>
      </c>
      <c r="E14" s="24">
        <f>SUM(E8:E13)</f>
        <v>0</v>
      </c>
      <c r="F14" s="24">
        <f>SUM(D14-E14)</f>
        <v>0</v>
      </c>
      <c r="G14" s="24">
        <f>C8-D14</f>
        <v>0</v>
      </c>
    </row>
    <row r="15" spans="1:7" ht="15" customHeight="1" thickTop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8BB5-BD50-4C84-A96F-6CF2FA7ADA46}">
  <sheetPr>
    <tabColor rgb="FF0070C0"/>
  </sheetPr>
  <dimension ref="A1:I31"/>
  <sheetViews>
    <sheetView topLeftCell="A4" zoomScaleNormal="100" workbookViewId="0">
      <selection activeCell="E16" sqref="E16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0.57031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#XXXX.XX'!B1</f>
        <v>xxx xxxxxxxxxxxxxxxxxxxxx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#XXXX.XX'!B2</f>
        <v>Project # xxxx.xx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#XXXX.XX'!B3</f>
        <v>Program code xxxxxx</v>
      </c>
      <c r="B3" s="5"/>
      <c r="C3" s="4"/>
      <c r="D3" s="8" t="str">
        <f>'RECAP #XXXX.XX'!E3</f>
        <v>Major Program xxxx</v>
      </c>
      <c r="E3" s="4"/>
      <c r="F3" s="25"/>
      <c r="G3" s="25"/>
      <c r="H3" s="26"/>
      <c r="I3" s="26"/>
    </row>
    <row r="4" spans="1:9" ht="15.75" x14ac:dyDescent="0.25">
      <c r="A4" s="27" t="s">
        <v>96</v>
      </c>
      <c r="B4" s="28"/>
      <c r="C4" s="29"/>
      <c r="D4" s="30" t="s">
        <v>97</v>
      </c>
      <c r="E4" s="25"/>
      <c r="F4" s="25"/>
      <c r="G4" s="25"/>
      <c r="H4" s="26"/>
      <c r="I4" s="26"/>
    </row>
    <row r="5" spans="1:9" ht="15.75" x14ac:dyDescent="0.25">
      <c r="A5" s="31" t="s">
        <v>66</v>
      </c>
      <c r="B5" s="32"/>
      <c r="C5" s="33"/>
      <c r="D5" s="34"/>
      <c r="E5" s="35"/>
      <c r="F5" s="36"/>
      <c r="G5" s="36"/>
      <c r="H5" s="32"/>
      <c r="I5" s="26"/>
    </row>
    <row r="6" spans="1:9" ht="15.75" x14ac:dyDescent="0.25">
      <c r="A6" s="11" t="str">
        <f>'RECAP #XXXX.XX'!B6</f>
        <v>Project Manager - xxxxxxxxxxxxxxxxxxx</v>
      </c>
      <c r="B6" s="11"/>
      <c r="C6" s="37"/>
      <c r="D6" s="38" t="s">
        <v>98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/>
    </row>
    <row r="9" spans="1:9" s="131" customFormat="1" ht="12.75" customHeight="1" x14ac:dyDescent="0.25">
      <c r="A9" s="127"/>
      <c r="B9" s="125"/>
      <c r="C9" s="135"/>
      <c r="D9" s="177"/>
      <c r="E9" s="137">
        <f>D9</f>
        <v>0</v>
      </c>
      <c r="F9" s="138"/>
      <c r="G9" s="138"/>
      <c r="H9" s="138">
        <f>E9</f>
        <v>0</v>
      </c>
      <c r="I9" s="139"/>
    </row>
    <row r="10" spans="1:9" s="131" customFormat="1" ht="12.75" customHeight="1" x14ac:dyDescent="0.25">
      <c r="A10" s="127"/>
      <c r="B10" s="140"/>
      <c r="C10" s="135"/>
      <c r="D10" s="137"/>
      <c r="E10" s="137">
        <f t="shared" ref="E10:E21" si="0">E9+D10</f>
        <v>0</v>
      </c>
      <c r="F10" s="141"/>
      <c r="G10" s="138">
        <f t="shared" ref="G10:G21" si="1">G9+F10</f>
        <v>0</v>
      </c>
      <c r="H10" s="138">
        <f t="shared" ref="H10:H21" si="2">H9-F10+D10</f>
        <v>0</v>
      </c>
      <c r="I10" s="139"/>
    </row>
    <row r="11" spans="1:9" s="131" customFormat="1" ht="12.75" customHeight="1" x14ac:dyDescent="0.25">
      <c r="A11" s="127"/>
      <c r="B11" s="125"/>
      <c r="C11" s="135"/>
      <c r="D11" s="137"/>
      <c r="E11" s="137">
        <f t="shared" si="0"/>
        <v>0</v>
      </c>
      <c r="F11" s="141"/>
      <c r="G11" s="138">
        <f t="shared" si="1"/>
        <v>0</v>
      </c>
      <c r="H11" s="138">
        <f t="shared" si="2"/>
        <v>0</v>
      </c>
      <c r="I11" s="139"/>
    </row>
    <row r="12" spans="1:9" s="131" customFormat="1" ht="12.75" customHeight="1" x14ac:dyDescent="0.25">
      <c r="A12" s="127"/>
      <c r="B12" s="125"/>
      <c r="C12" s="135"/>
      <c r="D12" s="137"/>
      <c r="E12" s="137">
        <f t="shared" si="0"/>
        <v>0</v>
      </c>
      <c r="F12" s="141"/>
      <c r="G12" s="138">
        <f t="shared" si="1"/>
        <v>0</v>
      </c>
      <c r="H12" s="138">
        <f t="shared" si="2"/>
        <v>0</v>
      </c>
      <c r="I12" s="139"/>
    </row>
    <row r="13" spans="1:9" s="131" customFormat="1" ht="12.75" customHeight="1" x14ac:dyDescent="0.25">
      <c r="A13" s="127"/>
      <c r="B13" s="125"/>
      <c r="C13" s="135"/>
      <c r="D13" s="137"/>
      <c r="E13" s="137">
        <f t="shared" si="0"/>
        <v>0</v>
      </c>
      <c r="F13" s="141"/>
      <c r="G13" s="138">
        <f t="shared" si="1"/>
        <v>0</v>
      </c>
      <c r="H13" s="138">
        <f t="shared" si="2"/>
        <v>0</v>
      </c>
      <c r="I13" s="139"/>
    </row>
    <row r="14" spans="1:9" s="131" customFormat="1" ht="12.75" customHeight="1" x14ac:dyDescent="0.25">
      <c r="A14" s="127"/>
      <c r="B14" s="125"/>
      <c r="C14" s="135"/>
      <c r="D14" s="137"/>
      <c r="E14" s="137">
        <f t="shared" si="0"/>
        <v>0</v>
      </c>
      <c r="F14" s="138"/>
      <c r="G14" s="138">
        <f t="shared" si="1"/>
        <v>0</v>
      </c>
      <c r="H14" s="138">
        <f t="shared" si="2"/>
        <v>0</v>
      </c>
      <c r="I14" s="139"/>
    </row>
    <row r="15" spans="1:9" s="131" customFormat="1" ht="12.75" customHeight="1" x14ac:dyDescent="0.25">
      <c r="A15" s="127"/>
      <c r="B15" s="125"/>
      <c r="C15" s="135"/>
      <c r="D15" s="137"/>
      <c r="E15" s="137">
        <f t="shared" si="0"/>
        <v>0</v>
      </c>
      <c r="F15" s="141"/>
      <c r="G15" s="138">
        <f t="shared" si="1"/>
        <v>0</v>
      </c>
      <c r="H15" s="138">
        <f t="shared" si="2"/>
        <v>0</v>
      </c>
      <c r="I15" s="139"/>
    </row>
    <row r="16" spans="1:9" s="131" customFormat="1" ht="12.75" customHeight="1" x14ac:dyDescent="0.25">
      <c r="A16" s="127"/>
      <c r="B16" s="125"/>
      <c r="C16" s="135"/>
      <c r="D16" s="137"/>
      <c r="E16" s="137">
        <f t="shared" si="0"/>
        <v>0</v>
      </c>
      <c r="F16" s="141"/>
      <c r="G16" s="138">
        <f t="shared" si="1"/>
        <v>0</v>
      </c>
      <c r="H16" s="138">
        <f t="shared" si="2"/>
        <v>0</v>
      </c>
      <c r="I16" s="139"/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0</v>
      </c>
      <c r="F17" s="141"/>
      <c r="G17" s="138">
        <f t="shared" si="1"/>
        <v>0</v>
      </c>
      <c r="H17" s="138">
        <f t="shared" si="2"/>
        <v>0</v>
      </c>
      <c r="I17" s="139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0</v>
      </c>
      <c r="F18" s="141"/>
      <c r="G18" s="138">
        <f t="shared" si="1"/>
        <v>0</v>
      </c>
      <c r="H18" s="138">
        <f t="shared" si="2"/>
        <v>0</v>
      </c>
      <c r="I18" s="139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0</v>
      </c>
      <c r="F19" s="138"/>
      <c r="G19" s="138">
        <f t="shared" si="1"/>
        <v>0</v>
      </c>
      <c r="H19" s="138">
        <f t="shared" si="2"/>
        <v>0</v>
      </c>
      <c r="I19" s="139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0</v>
      </c>
      <c r="F20" s="138"/>
      <c r="G20" s="138">
        <f t="shared" si="1"/>
        <v>0</v>
      </c>
      <c r="H20" s="138">
        <f t="shared" si="2"/>
        <v>0</v>
      </c>
      <c r="I20" s="139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0</v>
      </c>
      <c r="F21" s="138"/>
      <c r="G21" s="138">
        <f t="shared" si="1"/>
        <v>0</v>
      </c>
      <c r="H21" s="138">
        <f t="shared" si="2"/>
        <v>0</v>
      </c>
      <c r="I21" s="139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0</v>
      </c>
      <c r="E23" s="171"/>
      <c r="F23" s="171">
        <f>SUM(F9:F22)</f>
        <v>0</v>
      </c>
      <c r="G23" s="171"/>
      <c r="H23" s="171">
        <f>D23-F23</f>
        <v>0</v>
      </c>
      <c r="I23" s="139"/>
    </row>
    <row r="24" spans="1:9" s="131" customFormat="1" ht="12.75" customHeight="1" thickTop="1" x14ac:dyDescent="0.25">
      <c r="A24" s="127"/>
      <c r="B24" s="135"/>
      <c r="C24" s="168"/>
      <c r="D24" s="138"/>
      <c r="E24" s="138"/>
      <c r="F24" s="138"/>
      <c r="G24" s="138"/>
      <c r="H24" s="138"/>
      <c r="I24" s="139"/>
    </row>
    <row r="25" spans="1:9" s="131" customFormat="1" ht="12.75" customHeight="1" x14ac:dyDescent="0.25">
      <c r="A25" s="127"/>
      <c r="B25" s="135"/>
      <c r="C25" s="168"/>
      <c r="D25" s="138"/>
      <c r="E25" s="138"/>
      <c r="F25" s="138"/>
      <c r="G25" s="138"/>
      <c r="H25" s="138"/>
      <c r="I25" s="139"/>
    </row>
    <row r="26" spans="1:9" s="131" customFormat="1" ht="12.75" customHeight="1" x14ac:dyDescent="0.25">
      <c r="A26" s="127"/>
      <c r="B26" s="135"/>
      <c r="C26" s="178" t="s">
        <v>99</v>
      </c>
      <c r="D26" s="179">
        <v>0</v>
      </c>
      <c r="E26" s="179"/>
      <c r="F26" s="179"/>
      <c r="G26" s="179"/>
      <c r="H26" s="179">
        <f>D26-F26</f>
        <v>0</v>
      </c>
      <c r="I26" s="139"/>
    </row>
    <row r="27" spans="1:9" s="131" customFormat="1" ht="12.75" customHeight="1" x14ac:dyDescent="0.25">
      <c r="A27" s="127"/>
      <c r="B27" s="135"/>
      <c r="C27" s="178" t="s">
        <v>100</v>
      </c>
      <c r="D27" s="179">
        <v>0</v>
      </c>
      <c r="E27" s="179"/>
      <c r="F27" s="179"/>
      <c r="G27" s="179"/>
      <c r="H27" s="179">
        <f>D27-F27</f>
        <v>0</v>
      </c>
      <c r="I27" s="139"/>
    </row>
    <row r="28" spans="1:9" s="131" customFormat="1" ht="12.75" customHeight="1" thickBot="1" x14ac:dyDescent="0.3">
      <c r="A28" s="127"/>
      <c r="B28" s="135"/>
      <c r="C28" s="180" t="s">
        <v>74</v>
      </c>
      <c r="D28" s="181">
        <f>SUM(D26:D27)</f>
        <v>0</v>
      </c>
      <c r="E28" s="182"/>
      <c r="F28" s="181">
        <f>SUM(F26:F27)</f>
        <v>0</v>
      </c>
      <c r="G28" s="182"/>
      <c r="H28" s="181">
        <f>SUM(H26:H27)</f>
        <v>0</v>
      </c>
      <c r="I28" s="139"/>
    </row>
    <row r="29" spans="1:9" s="131" customFormat="1" ht="12.75" customHeight="1" thickTop="1" x14ac:dyDescent="0.25"/>
    <row r="30" spans="1:9" s="131" customFormat="1" ht="12.75" customHeight="1" x14ac:dyDescent="0.25"/>
    <row r="31" spans="1:9" s="131" customFormat="1" ht="12.75" customHeight="1" x14ac:dyDescent="0.25"/>
  </sheetData>
  <conditionalFormatting sqref="I8:I23">
    <cfRule type="cellIs" dxfId="0" priority="1" operator="greaterThan">
      <formula>$H$23</formula>
    </cfRule>
  </conditionalFormatting>
  <pageMargins left="0.25" right="0.25" top="1.25" bottom="0.75" header="0.3" footer="0.3"/>
  <pageSetup scale="59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7F4E-75F2-499E-94B5-CAA6E023D49F}">
  <sheetPr>
    <tabColor indexed="30"/>
  </sheetPr>
  <dimension ref="A1:J25"/>
  <sheetViews>
    <sheetView zoomScaleNormal="100" workbookViewId="0">
      <selection activeCell="E16" sqref="E16"/>
    </sheetView>
  </sheetViews>
  <sheetFormatPr defaultColWidth="11.42578125" defaultRowHeight="15" customHeight="1" x14ac:dyDescent="0.25"/>
  <cols>
    <col min="1" max="1" width="24.5703125" customWidth="1"/>
    <col min="2" max="3" width="9.42578125" customWidth="1"/>
    <col min="4" max="4" width="25" bestFit="1" customWidth="1"/>
    <col min="5" max="5" width="12.5703125" customWidth="1"/>
    <col min="6" max="6" width="13.5703125" customWidth="1"/>
    <col min="7" max="7" width="12.42578125" customWidth="1"/>
    <col min="8" max="8" width="10.5703125" customWidth="1"/>
    <col min="9" max="9" width="10.5703125" bestFit="1" customWidth="1"/>
    <col min="257" max="265" width="11.42578125" customWidth="1"/>
    <col min="513" max="521" width="11.42578125" customWidth="1"/>
    <col min="769" max="777" width="11.42578125" customWidth="1"/>
    <col min="1025" max="1033" width="11.42578125" customWidth="1"/>
    <col min="1281" max="1289" width="11.42578125" customWidth="1"/>
    <col min="1537" max="1545" width="11.42578125" customWidth="1"/>
    <col min="1793" max="1801" width="11.42578125" customWidth="1"/>
    <col min="2049" max="2057" width="11.42578125" customWidth="1"/>
    <col min="2305" max="2313" width="11.42578125" customWidth="1"/>
    <col min="2561" max="2569" width="11.42578125" customWidth="1"/>
    <col min="2817" max="2825" width="11.42578125" customWidth="1"/>
    <col min="3073" max="3081" width="11.42578125" customWidth="1"/>
    <col min="3329" max="3337" width="11.42578125" customWidth="1"/>
    <col min="3585" max="3593" width="11.42578125" customWidth="1"/>
    <col min="3841" max="3849" width="11.42578125" customWidth="1"/>
    <col min="4097" max="4105" width="11.42578125" customWidth="1"/>
    <col min="4353" max="4361" width="11.42578125" customWidth="1"/>
    <col min="4609" max="4617" width="11.42578125" customWidth="1"/>
    <col min="4865" max="4873" width="11.42578125" customWidth="1"/>
    <col min="5121" max="5129" width="11.42578125" customWidth="1"/>
    <col min="5377" max="5385" width="11.42578125" customWidth="1"/>
    <col min="5633" max="5641" width="11.42578125" customWidth="1"/>
    <col min="5889" max="5897" width="11.42578125" customWidth="1"/>
    <col min="6145" max="6153" width="11.42578125" customWidth="1"/>
    <col min="6401" max="6409" width="11.42578125" customWidth="1"/>
    <col min="6657" max="6665" width="11.42578125" customWidth="1"/>
    <col min="6913" max="6921" width="11.42578125" customWidth="1"/>
    <col min="7169" max="7177" width="11.42578125" customWidth="1"/>
    <col min="7425" max="7433" width="11.42578125" customWidth="1"/>
    <col min="7681" max="7689" width="11.42578125" customWidth="1"/>
    <col min="7937" max="7945" width="11.42578125" customWidth="1"/>
    <col min="8193" max="8201" width="11.42578125" customWidth="1"/>
    <col min="8449" max="8457" width="11.42578125" customWidth="1"/>
    <col min="8705" max="8713" width="11.42578125" customWidth="1"/>
    <col min="8961" max="8969" width="11.42578125" customWidth="1"/>
    <col min="9217" max="9225" width="11.42578125" customWidth="1"/>
    <col min="9473" max="9481" width="11.42578125" customWidth="1"/>
    <col min="9729" max="9737" width="11.42578125" customWidth="1"/>
    <col min="9985" max="9993" width="11.42578125" customWidth="1"/>
    <col min="10241" max="10249" width="11.42578125" customWidth="1"/>
    <col min="10497" max="10505" width="11.42578125" customWidth="1"/>
    <col min="10753" max="10761" width="11.42578125" customWidth="1"/>
    <col min="11009" max="11017" width="11.42578125" customWidth="1"/>
    <col min="11265" max="11273" width="11.42578125" customWidth="1"/>
    <col min="11521" max="11529" width="11.42578125" customWidth="1"/>
    <col min="11777" max="11785" width="11.42578125" customWidth="1"/>
    <col min="12033" max="12041" width="11.42578125" customWidth="1"/>
    <col min="12289" max="12297" width="11.42578125" customWidth="1"/>
    <col min="12545" max="12553" width="11.42578125" customWidth="1"/>
    <col min="12801" max="12809" width="11.42578125" customWidth="1"/>
    <col min="13057" max="13065" width="11.42578125" customWidth="1"/>
    <col min="13313" max="13321" width="11.42578125" customWidth="1"/>
    <col min="13569" max="13577" width="11.42578125" customWidth="1"/>
    <col min="13825" max="13833" width="11.42578125" customWidth="1"/>
    <col min="14081" max="14089" width="11.42578125" customWidth="1"/>
    <col min="14337" max="14345" width="11.42578125" customWidth="1"/>
    <col min="14593" max="14601" width="11.42578125" customWidth="1"/>
    <col min="14849" max="14857" width="11.42578125" customWidth="1"/>
    <col min="15105" max="15113" width="11.42578125" customWidth="1"/>
    <col min="15361" max="15369" width="11.42578125" customWidth="1"/>
    <col min="15617" max="15625" width="11.42578125" customWidth="1"/>
    <col min="15873" max="15881" width="11.42578125" customWidth="1"/>
    <col min="16129" max="16137" width="11.42578125" customWidth="1"/>
  </cols>
  <sheetData>
    <row r="1" spans="1:10" ht="24.75" customHeight="1" x14ac:dyDescent="0.25">
      <c r="A1" s="2" t="str">
        <f>'RECAP #XXXX.XX'!B1</f>
        <v>xxx xxxxxxxxxxxxxxxxxxxxx</v>
      </c>
      <c r="B1" s="3"/>
      <c r="C1" s="3"/>
      <c r="D1" s="4"/>
      <c r="E1" s="4"/>
      <c r="F1" s="4"/>
      <c r="G1" s="25"/>
      <c r="H1" s="25"/>
      <c r="I1" s="26"/>
      <c r="J1" s="26"/>
    </row>
    <row r="2" spans="1:10" ht="15.75" x14ac:dyDescent="0.25">
      <c r="A2" s="6" t="str">
        <f>'RECAP #XXXX.XX'!B2</f>
        <v>Project # xxxx.xx</v>
      </c>
      <c r="B2" s="5"/>
      <c r="C2" s="5"/>
      <c r="D2" s="4"/>
      <c r="E2" s="4"/>
      <c r="F2" s="4"/>
      <c r="G2" s="25"/>
      <c r="H2" s="25"/>
      <c r="I2" s="26"/>
      <c r="J2" s="26"/>
    </row>
    <row r="3" spans="1:10" ht="15.75" x14ac:dyDescent="0.25">
      <c r="A3" s="7" t="str">
        <f>'RECAP #XXXX.XX'!B3</f>
        <v>Program code xxxxxx</v>
      </c>
      <c r="B3" s="5"/>
      <c r="C3" s="5"/>
      <c r="D3" s="4"/>
      <c r="E3" s="8" t="str">
        <f>'RECAP #XXXX.XX'!E3</f>
        <v>Major Program xxxx</v>
      </c>
      <c r="F3" s="4"/>
      <c r="G3" s="25"/>
      <c r="H3" s="25"/>
      <c r="I3" s="26"/>
      <c r="J3" s="26"/>
    </row>
    <row r="4" spans="1:10" ht="15.75" x14ac:dyDescent="0.25">
      <c r="A4" s="27" t="s">
        <v>8</v>
      </c>
      <c r="B4" s="28"/>
      <c r="C4" s="28"/>
      <c r="D4" s="29"/>
      <c r="E4" s="30" t="s">
        <v>20</v>
      </c>
      <c r="F4" s="25"/>
      <c r="G4" s="25"/>
      <c r="H4" s="25"/>
      <c r="I4" s="26"/>
      <c r="J4" s="26"/>
    </row>
    <row r="5" spans="1:10" ht="15.75" x14ac:dyDescent="0.25">
      <c r="A5" s="11"/>
      <c r="B5" s="32"/>
      <c r="C5" s="32"/>
      <c r="D5" s="33"/>
      <c r="E5" s="34"/>
      <c r="F5" s="35"/>
      <c r="G5" s="36"/>
      <c r="H5" s="36"/>
      <c r="I5" s="32"/>
      <c r="J5" s="26"/>
    </row>
    <row r="6" spans="1:10" ht="15.75" x14ac:dyDescent="0.25">
      <c r="A6" s="31" t="s">
        <v>66</v>
      </c>
      <c r="B6" s="11"/>
      <c r="C6" s="11"/>
      <c r="D6" s="37"/>
      <c r="E6" s="34" t="s">
        <v>21</v>
      </c>
      <c r="F6" s="39"/>
      <c r="G6" s="40"/>
      <c r="H6" s="36"/>
      <c r="I6" s="32"/>
      <c r="J6" s="26"/>
    </row>
    <row r="7" spans="1:10" ht="15.75" x14ac:dyDescent="0.25">
      <c r="A7" s="11" t="str">
        <f>'RECAP #XXXX.XX'!B6</f>
        <v>Project Manager - xxxxxxxxxxxxxxxxxxx</v>
      </c>
      <c r="B7" s="41"/>
      <c r="C7" s="41"/>
      <c r="D7" s="41"/>
      <c r="E7" s="40" t="s">
        <v>1</v>
      </c>
      <c r="F7" s="40"/>
      <c r="G7" s="40"/>
      <c r="H7" s="36"/>
      <c r="I7" s="32"/>
      <c r="J7" s="26" t="s">
        <v>1</v>
      </c>
    </row>
    <row r="8" spans="1:10" ht="32.25" thickBot="1" x14ac:dyDescent="0.3">
      <c r="A8" s="42" t="s">
        <v>11</v>
      </c>
      <c r="B8" s="43" t="s">
        <v>12</v>
      </c>
      <c r="C8" s="53" t="s">
        <v>22</v>
      </c>
      <c r="D8" s="44" t="s">
        <v>23</v>
      </c>
      <c r="E8" s="45" t="s">
        <v>14</v>
      </c>
      <c r="F8" s="45" t="s">
        <v>15</v>
      </c>
      <c r="G8" s="45" t="s">
        <v>16</v>
      </c>
      <c r="H8" s="45" t="s">
        <v>17</v>
      </c>
      <c r="I8" s="45" t="s">
        <v>18</v>
      </c>
      <c r="J8" s="26" t="s">
        <v>1</v>
      </c>
    </row>
    <row r="9" spans="1:10" s="131" customFormat="1" ht="12.75" customHeight="1" x14ac:dyDescent="0.25">
      <c r="A9" s="132"/>
      <c r="B9" s="125"/>
      <c r="C9" s="125"/>
      <c r="D9" s="168" t="s">
        <v>24</v>
      </c>
      <c r="E9" s="177"/>
      <c r="F9" s="137">
        <f>E9</f>
        <v>0</v>
      </c>
      <c r="G9" s="138"/>
      <c r="H9" s="138"/>
      <c r="I9" s="138">
        <f>F9</f>
        <v>0</v>
      </c>
      <c r="J9" s="139"/>
    </row>
    <row r="10" spans="1:10" s="131" customFormat="1" ht="12.75" customHeight="1" x14ac:dyDescent="0.25">
      <c r="A10" s="176"/>
      <c r="B10" s="140"/>
      <c r="C10" s="140"/>
      <c r="D10" s="168"/>
      <c r="E10" s="137"/>
      <c r="F10" s="137">
        <f t="shared" ref="F10:F21" si="0">F9+E10</f>
        <v>0</v>
      </c>
      <c r="G10" s="141"/>
      <c r="H10" s="138">
        <f t="shared" ref="H10:H21" si="1">H9+G10</f>
        <v>0</v>
      </c>
      <c r="I10" s="138">
        <f t="shared" ref="I10:I21" si="2">I9-G10+E10</f>
        <v>0</v>
      </c>
      <c r="J10" s="139"/>
    </row>
    <row r="11" spans="1:10" s="131" customFormat="1" ht="12.75" customHeight="1" x14ac:dyDescent="0.25">
      <c r="A11" s="132"/>
      <c r="B11" s="125"/>
      <c r="C11" s="125"/>
      <c r="D11" s="168"/>
      <c r="E11" s="137"/>
      <c r="F11" s="137">
        <f t="shared" si="0"/>
        <v>0</v>
      </c>
      <c r="G11" s="141"/>
      <c r="H11" s="138">
        <f t="shared" si="1"/>
        <v>0</v>
      </c>
      <c r="I11" s="138">
        <f t="shared" si="2"/>
        <v>0</v>
      </c>
      <c r="J11" s="139"/>
    </row>
    <row r="12" spans="1:10" s="131" customFormat="1" ht="12.75" customHeight="1" x14ac:dyDescent="0.25">
      <c r="A12" s="132"/>
      <c r="B12" s="125"/>
      <c r="C12" s="125"/>
      <c r="D12" s="168"/>
      <c r="E12" s="137"/>
      <c r="F12" s="137">
        <f t="shared" si="0"/>
        <v>0</v>
      </c>
      <c r="G12" s="141"/>
      <c r="H12" s="138">
        <f t="shared" si="1"/>
        <v>0</v>
      </c>
      <c r="I12" s="138">
        <f t="shared" si="2"/>
        <v>0</v>
      </c>
      <c r="J12" s="139"/>
    </row>
    <row r="13" spans="1:10" s="131" customFormat="1" ht="12.75" customHeight="1" x14ac:dyDescent="0.25">
      <c r="A13" s="132"/>
      <c r="B13" s="125"/>
      <c r="C13" s="125"/>
      <c r="D13" s="168"/>
      <c r="E13" s="137"/>
      <c r="F13" s="137">
        <f t="shared" si="0"/>
        <v>0</v>
      </c>
      <c r="G13" s="141"/>
      <c r="H13" s="138">
        <f t="shared" si="1"/>
        <v>0</v>
      </c>
      <c r="I13" s="138">
        <f t="shared" si="2"/>
        <v>0</v>
      </c>
      <c r="J13" s="139"/>
    </row>
    <row r="14" spans="1:10" s="131" customFormat="1" ht="12.75" customHeight="1" x14ac:dyDescent="0.25">
      <c r="A14" s="132"/>
      <c r="B14" s="125"/>
      <c r="C14" s="125"/>
      <c r="D14" s="168"/>
      <c r="E14" s="137"/>
      <c r="F14" s="137">
        <f t="shared" si="0"/>
        <v>0</v>
      </c>
      <c r="G14" s="138"/>
      <c r="H14" s="138">
        <f t="shared" si="1"/>
        <v>0</v>
      </c>
      <c r="I14" s="138">
        <f t="shared" si="2"/>
        <v>0</v>
      </c>
      <c r="J14" s="139"/>
    </row>
    <row r="15" spans="1:10" s="131" customFormat="1" ht="12.75" customHeight="1" x14ac:dyDescent="0.25">
      <c r="A15" s="132"/>
      <c r="B15" s="125"/>
      <c r="C15" s="125"/>
      <c r="D15" s="168"/>
      <c r="E15" s="137"/>
      <c r="F15" s="137">
        <f t="shared" si="0"/>
        <v>0</v>
      </c>
      <c r="G15" s="141"/>
      <c r="H15" s="138">
        <f t="shared" si="1"/>
        <v>0</v>
      </c>
      <c r="I15" s="138">
        <f t="shared" si="2"/>
        <v>0</v>
      </c>
      <c r="J15" s="139"/>
    </row>
    <row r="16" spans="1:10" s="131" customFormat="1" ht="12.75" customHeight="1" x14ac:dyDescent="0.25">
      <c r="A16" s="132"/>
      <c r="B16" s="125"/>
      <c r="C16" s="125"/>
      <c r="D16" s="168"/>
      <c r="E16" s="137"/>
      <c r="F16" s="137">
        <f t="shared" si="0"/>
        <v>0</v>
      </c>
      <c r="G16" s="141"/>
      <c r="H16" s="138">
        <f t="shared" si="1"/>
        <v>0</v>
      </c>
      <c r="I16" s="138">
        <f t="shared" si="2"/>
        <v>0</v>
      </c>
      <c r="J16" s="139"/>
    </row>
    <row r="17" spans="1:10" s="131" customFormat="1" ht="12.75" customHeight="1" x14ac:dyDescent="0.25">
      <c r="A17" s="132"/>
      <c r="B17" s="125"/>
      <c r="C17" s="125"/>
      <c r="D17" s="168"/>
      <c r="E17" s="137"/>
      <c r="F17" s="137">
        <f t="shared" si="0"/>
        <v>0</v>
      </c>
      <c r="G17" s="141"/>
      <c r="H17" s="138">
        <f t="shared" si="1"/>
        <v>0</v>
      </c>
      <c r="I17" s="138">
        <f t="shared" si="2"/>
        <v>0</v>
      </c>
      <c r="J17" s="139"/>
    </row>
    <row r="18" spans="1:10" s="131" customFormat="1" ht="12.75" customHeight="1" x14ac:dyDescent="0.25">
      <c r="A18" s="132"/>
      <c r="B18" s="125"/>
      <c r="C18" s="125"/>
      <c r="D18" s="168"/>
      <c r="E18" s="137"/>
      <c r="F18" s="137">
        <f t="shared" si="0"/>
        <v>0</v>
      </c>
      <c r="G18" s="141"/>
      <c r="H18" s="138">
        <f t="shared" si="1"/>
        <v>0</v>
      </c>
      <c r="I18" s="138">
        <f t="shared" si="2"/>
        <v>0</v>
      </c>
      <c r="J18" s="139"/>
    </row>
    <row r="19" spans="1:10" s="131" customFormat="1" ht="12.75" customHeight="1" x14ac:dyDescent="0.25">
      <c r="A19" s="132"/>
      <c r="B19" s="125"/>
      <c r="C19" s="125"/>
      <c r="D19" s="168"/>
      <c r="E19" s="137"/>
      <c r="F19" s="137">
        <f t="shared" si="0"/>
        <v>0</v>
      </c>
      <c r="G19" s="138"/>
      <c r="H19" s="138">
        <f t="shared" si="1"/>
        <v>0</v>
      </c>
      <c r="I19" s="138">
        <f t="shared" si="2"/>
        <v>0</v>
      </c>
      <c r="J19" s="139"/>
    </row>
    <row r="20" spans="1:10" s="131" customFormat="1" ht="12.75" customHeight="1" x14ac:dyDescent="0.25">
      <c r="A20" s="132"/>
      <c r="B20" s="125"/>
      <c r="C20" s="125"/>
      <c r="D20" s="168"/>
      <c r="E20" s="137"/>
      <c r="F20" s="137">
        <f t="shared" si="0"/>
        <v>0</v>
      </c>
      <c r="G20" s="138"/>
      <c r="H20" s="138">
        <f t="shared" si="1"/>
        <v>0</v>
      </c>
      <c r="I20" s="138">
        <f t="shared" si="2"/>
        <v>0</v>
      </c>
      <c r="J20" s="139"/>
    </row>
    <row r="21" spans="1:10" s="131" customFormat="1" ht="12.75" customHeight="1" x14ac:dyDescent="0.25">
      <c r="A21" s="132"/>
      <c r="B21" s="125"/>
      <c r="C21" s="125"/>
      <c r="D21" s="133"/>
      <c r="E21" s="137"/>
      <c r="F21" s="137">
        <f t="shared" si="0"/>
        <v>0</v>
      </c>
      <c r="G21" s="138"/>
      <c r="H21" s="138">
        <f t="shared" si="1"/>
        <v>0</v>
      </c>
      <c r="I21" s="138">
        <f t="shared" si="2"/>
        <v>0</v>
      </c>
      <c r="J21" s="139"/>
    </row>
    <row r="22" spans="1:10" s="131" customFormat="1" ht="12.75" customHeight="1" x14ac:dyDescent="0.25">
      <c r="A22" s="127"/>
      <c r="B22" s="135"/>
      <c r="C22" s="135"/>
      <c r="D22" s="168"/>
      <c r="E22" s="138"/>
      <c r="F22" s="138"/>
      <c r="G22" s="138"/>
      <c r="H22" s="138"/>
      <c r="I22" s="138"/>
      <c r="J22" s="139"/>
    </row>
    <row r="23" spans="1:10" s="131" customFormat="1" ht="12.75" customHeight="1" thickBot="1" x14ac:dyDescent="0.3">
      <c r="A23" s="127"/>
      <c r="B23" s="169"/>
      <c r="C23" s="169"/>
      <c r="D23" s="170" t="s">
        <v>19</v>
      </c>
      <c r="E23" s="171">
        <f>SUM(E9:E22)</f>
        <v>0</v>
      </c>
      <c r="F23" s="171"/>
      <c r="G23" s="171">
        <f>SUM(G9:G22)</f>
        <v>0</v>
      </c>
      <c r="H23" s="171"/>
      <c r="I23" s="171">
        <f>E23-G23</f>
        <v>0</v>
      </c>
      <c r="J23" s="139"/>
    </row>
    <row r="24" spans="1:10" s="131" customFormat="1" ht="12.75" customHeight="1" thickTop="1" x14ac:dyDescent="0.25"/>
    <row r="25" spans="1:10" s="131" customFormat="1" ht="12.75" customHeight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B79C-7C42-4B10-BBF3-09008ADE1F60}">
  <sheetPr>
    <tabColor indexed="30"/>
  </sheetPr>
  <dimension ref="A1:H27"/>
  <sheetViews>
    <sheetView zoomScaleNormal="100" workbookViewId="0">
      <selection activeCell="E16" sqref="E16"/>
    </sheetView>
  </sheetViews>
  <sheetFormatPr defaultColWidth="11.42578125" defaultRowHeight="15" customHeight="1" x14ac:dyDescent="0.25"/>
  <cols>
    <col min="1" max="1" width="23" customWidth="1"/>
    <col min="2" max="2" width="11" customWidth="1"/>
    <col min="3" max="3" width="8.5703125" customWidth="1"/>
    <col min="4" max="4" width="11.42578125" customWidth="1"/>
    <col min="5" max="5" width="19.42578125" customWidth="1"/>
    <col min="6" max="6" width="28" bestFit="1" customWidth="1"/>
    <col min="7" max="7" width="12.42578125" customWidth="1"/>
    <col min="8" max="8" width="15.42578125" customWidth="1"/>
    <col min="257" max="259" width="11.42578125" customWidth="1"/>
    <col min="261" max="264" width="11.42578125" customWidth="1"/>
    <col min="513" max="515" width="11.42578125" customWidth="1"/>
    <col min="517" max="520" width="11.42578125" customWidth="1"/>
    <col min="769" max="771" width="11.42578125" customWidth="1"/>
    <col min="773" max="776" width="11.42578125" customWidth="1"/>
    <col min="1025" max="1027" width="11.42578125" customWidth="1"/>
    <col min="1029" max="1032" width="11.42578125" customWidth="1"/>
    <col min="1281" max="1283" width="11.42578125" customWidth="1"/>
    <col min="1285" max="1288" width="11.42578125" customWidth="1"/>
    <col min="1537" max="1539" width="11.42578125" customWidth="1"/>
    <col min="1541" max="1544" width="11.42578125" customWidth="1"/>
    <col min="1793" max="1795" width="11.42578125" customWidth="1"/>
    <col min="1797" max="1800" width="11.42578125" customWidth="1"/>
    <col min="2049" max="2051" width="11.42578125" customWidth="1"/>
    <col min="2053" max="2056" width="11.42578125" customWidth="1"/>
    <col min="2305" max="2307" width="11.42578125" customWidth="1"/>
    <col min="2309" max="2312" width="11.42578125" customWidth="1"/>
    <col min="2561" max="2563" width="11.42578125" customWidth="1"/>
    <col min="2565" max="2568" width="11.42578125" customWidth="1"/>
    <col min="2817" max="2819" width="11.42578125" customWidth="1"/>
    <col min="2821" max="2824" width="11.42578125" customWidth="1"/>
    <col min="3073" max="3075" width="11.42578125" customWidth="1"/>
    <col min="3077" max="3080" width="11.42578125" customWidth="1"/>
    <col min="3329" max="3331" width="11.42578125" customWidth="1"/>
    <col min="3333" max="3336" width="11.42578125" customWidth="1"/>
    <col min="3585" max="3587" width="11.42578125" customWidth="1"/>
    <col min="3589" max="3592" width="11.42578125" customWidth="1"/>
    <col min="3841" max="3843" width="11.42578125" customWidth="1"/>
    <col min="3845" max="3848" width="11.42578125" customWidth="1"/>
    <col min="4097" max="4099" width="11.42578125" customWidth="1"/>
    <col min="4101" max="4104" width="11.42578125" customWidth="1"/>
    <col min="4353" max="4355" width="11.42578125" customWidth="1"/>
    <col min="4357" max="4360" width="11.42578125" customWidth="1"/>
    <col min="4609" max="4611" width="11.42578125" customWidth="1"/>
    <col min="4613" max="4616" width="11.42578125" customWidth="1"/>
    <col min="4865" max="4867" width="11.42578125" customWidth="1"/>
    <col min="4869" max="4872" width="11.42578125" customWidth="1"/>
    <col min="5121" max="5123" width="11.42578125" customWidth="1"/>
    <col min="5125" max="5128" width="11.42578125" customWidth="1"/>
    <col min="5377" max="5379" width="11.42578125" customWidth="1"/>
    <col min="5381" max="5384" width="11.42578125" customWidth="1"/>
    <col min="5633" max="5635" width="11.42578125" customWidth="1"/>
    <col min="5637" max="5640" width="11.42578125" customWidth="1"/>
    <col min="5889" max="5891" width="11.42578125" customWidth="1"/>
    <col min="5893" max="5896" width="11.42578125" customWidth="1"/>
    <col min="6145" max="6147" width="11.42578125" customWidth="1"/>
    <col min="6149" max="6152" width="11.42578125" customWidth="1"/>
    <col min="6401" max="6403" width="11.42578125" customWidth="1"/>
    <col min="6405" max="6408" width="11.42578125" customWidth="1"/>
    <col min="6657" max="6659" width="11.42578125" customWidth="1"/>
    <col min="6661" max="6664" width="11.42578125" customWidth="1"/>
    <col min="6913" max="6915" width="11.42578125" customWidth="1"/>
    <col min="6917" max="6920" width="11.42578125" customWidth="1"/>
    <col min="7169" max="7171" width="11.42578125" customWidth="1"/>
    <col min="7173" max="7176" width="11.42578125" customWidth="1"/>
    <col min="7425" max="7427" width="11.42578125" customWidth="1"/>
    <col min="7429" max="7432" width="11.42578125" customWidth="1"/>
    <col min="7681" max="7683" width="11.42578125" customWidth="1"/>
    <col min="7685" max="7688" width="11.42578125" customWidth="1"/>
    <col min="7937" max="7939" width="11.42578125" customWidth="1"/>
    <col min="7941" max="7944" width="11.42578125" customWidth="1"/>
    <col min="8193" max="8195" width="11.42578125" customWidth="1"/>
    <col min="8197" max="8200" width="11.42578125" customWidth="1"/>
    <col min="8449" max="8451" width="11.42578125" customWidth="1"/>
    <col min="8453" max="8456" width="11.42578125" customWidth="1"/>
    <col min="8705" max="8707" width="11.42578125" customWidth="1"/>
    <col min="8709" max="8712" width="11.42578125" customWidth="1"/>
    <col min="8961" max="8963" width="11.42578125" customWidth="1"/>
    <col min="8965" max="8968" width="11.42578125" customWidth="1"/>
    <col min="9217" max="9219" width="11.42578125" customWidth="1"/>
    <col min="9221" max="9224" width="11.42578125" customWidth="1"/>
    <col min="9473" max="9475" width="11.42578125" customWidth="1"/>
    <col min="9477" max="9480" width="11.42578125" customWidth="1"/>
    <col min="9729" max="9731" width="11.42578125" customWidth="1"/>
    <col min="9733" max="9736" width="11.42578125" customWidth="1"/>
    <col min="9985" max="9987" width="11.42578125" customWidth="1"/>
    <col min="9989" max="9992" width="11.42578125" customWidth="1"/>
    <col min="10241" max="10243" width="11.42578125" customWidth="1"/>
    <col min="10245" max="10248" width="11.42578125" customWidth="1"/>
    <col min="10497" max="10499" width="11.42578125" customWidth="1"/>
    <col min="10501" max="10504" width="11.42578125" customWidth="1"/>
    <col min="10753" max="10755" width="11.42578125" customWidth="1"/>
    <col min="10757" max="10760" width="11.42578125" customWidth="1"/>
    <col min="11009" max="11011" width="11.42578125" customWidth="1"/>
    <col min="11013" max="11016" width="11.42578125" customWidth="1"/>
    <col min="11265" max="11267" width="11.42578125" customWidth="1"/>
    <col min="11269" max="11272" width="11.42578125" customWidth="1"/>
    <col min="11521" max="11523" width="11.42578125" customWidth="1"/>
    <col min="11525" max="11528" width="11.42578125" customWidth="1"/>
    <col min="11777" max="11779" width="11.42578125" customWidth="1"/>
    <col min="11781" max="11784" width="11.42578125" customWidth="1"/>
    <col min="12033" max="12035" width="11.42578125" customWidth="1"/>
    <col min="12037" max="12040" width="11.42578125" customWidth="1"/>
    <col min="12289" max="12291" width="11.42578125" customWidth="1"/>
    <col min="12293" max="12296" width="11.42578125" customWidth="1"/>
    <col min="12545" max="12547" width="11.42578125" customWidth="1"/>
    <col min="12549" max="12552" width="11.42578125" customWidth="1"/>
    <col min="12801" max="12803" width="11.42578125" customWidth="1"/>
    <col min="12805" max="12808" width="11.42578125" customWidth="1"/>
    <col min="13057" max="13059" width="11.42578125" customWidth="1"/>
    <col min="13061" max="13064" width="11.42578125" customWidth="1"/>
    <col min="13313" max="13315" width="11.42578125" customWidth="1"/>
    <col min="13317" max="13320" width="11.42578125" customWidth="1"/>
    <col min="13569" max="13571" width="11.42578125" customWidth="1"/>
    <col min="13573" max="13576" width="11.42578125" customWidth="1"/>
    <col min="13825" max="13827" width="11.42578125" customWidth="1"/>
    <col min="13829" max="13832" width="11.42578125" customWidth="1"/>
    <col min="14081" max="14083" width="11.42578125" customWidth="1"/>
    <col min="14085" max="14088" width="11.42578125" customWidth="1"/>
    <col min="14337" max="14339" width="11.42578125" customWidth="1"/>
    <col min="14341" max="14344" width="11.42578125" customWidth="1"/>
    <col min="14593" max="14595" width="11.42578125" customWidth="1"/>
    <col min="14597" max="14600" width="11.42578125" customWidth="1"/>
    <col min="14849" max="14851" width="11.42578125" customWidth="1"/>
    <col min="14853" max="14856" width="11.42578125" customWidth="1"/>
    <col min="15105" max="15107" width="11.42578125" customWidth="1"/>
    <col min="15109" max="15112" width="11.42578125" customWidth="1"/>
    <col min="15361" max="15363" width="11.42578125" customWidth="1"/>
    <col min="15365" max="15368" width="11.42578125" customWidth="1"/>
    <col min="15617" max="15619" width="11.42578125" customWidth="1"/>
    <col min="15621" max="15624" width="11.42578125" customWidth="1"/>
    <col min="15873" max="15875" width="11.42578125" customWidth="1"/>
    <col min="15877" max="15880" width="11.42578125" customWidth="1"/>
    <col min="16129" max="16131" width="11.42578125" customWidth="1"/>
    <col min="16133" max="16136" width="11.42578125" customWidth="1"/>
  </cols>
  <sheetData>
    <row r="1" spans="1:8" ht="24.75" customHeight="1" x14ac:dyDescent="0.25">
      <c r="A1" s="2" t="str">
        <f>'RECAP #XXXX.XX'!B1</f>
        <v>xxx xxxxxxxxxxxxxxxxxxxxx</v>
      </c>
      <c r="B1" s="3"/>
      <c r="C1" s="3"/>
      <c r="D1" s="3"/>
      <c r="E1" s="4"/>
      <c r="F1" s="4"/>
      <c r="G1" s="4"/>
      <c r="H1" s="25"/>
    </row>
    <row r="2" spans="1:8" ht="15.75" x14ac:dyDescent="0.25">
      <c r="A2" s="6" t="str">
        <f>'RECAP #XXXX.XX'!B2</f>
        <v>Project # xxxx.xx</v>
      </c>
      <c r="B2" s="5"/>
      <c r="C2" s="5"/>
      <c r="D2" s="5"/>
      <c r="E2" s="4"/>
      <c r="F2" s="4"/>
      <c r="G2" s="4"/>
      <c r="H2" s="25"/>
    </row>
    <row r="3" spans="1:8" ht="15.75" x14ac:dyDescent="0.25">
      <c r="A3" s="7" t="str">
        <f>'RECAP #XXXX.XX'!B3</f>
        <v>Program code xxxxxx</v>
      </c>
      <c r="B3" s="5"/>
      <c r="C3" s="5"/>
      <c r="D3" s="5"/>
      <c r="E3" s="8" t="str">
        <f>'RECAP #XXXX.XX'!E3</f>
        <v>Major Program xxxx</v>
      </c>
      <c r="F3" s="5"/>
      <c r="G3" s="4"/>
      <c r="H3" s="25"/>
    </row>
    <row r="4" spans="1:8" ht="15.75" x14ac:dyDescent="0.25">
      <c r="A4" s="54" t="s">
        <v>25</v>
      </c>
      <c r="B4" s="55"/>
      <c r="C4" s="55"/>
      <c r="D4" s="55"/>
      <c r="E4" s="30"/>
      <c r="F4" s="5"/>
      <c r="G4" s="25"/>
      <c r="H4" s="25"/>
    </row>
    <row r="5" spans="1:8" ht="15.75" x14ac:dyDescent="0.25">
      <c r="A5" s="11"/>
      <c r="B5" s="32"/>
      <c r="C5" s="32"/>
      <c r="D5" s="32"/>
      <c r="E5" s="56" t="s">
        <v>26</v>
      </c>
      <c r="F5" s="5"/>
      <c r="G5" s="35"/>
      <c r="H5" s="36"/>
    </row>
    <row r="6" spans="1:8" ht="15.75" x14ac:dyDescent="0.25">
      <c r="A6" s="31" t="s">
        <v>67</v>
      </c>
      <c r="B6" s="11"/>
      <c r="C6" s="11"/>
      <c r="D6" s="11"/>
      <c r="E6" s="8" t="s">
        <v>120</v>
      </c>
      <c r="F6" s="32"/>
      <c r="G6" s="35"/>
      <c r="H6" s="36"/>
    </row>
    <row r="7" spans="1:8" ht="15.75" x14ac:dyDescent="0.25">
      <c r="A7" s="11" t="str">
        <f>'RECAP #XXXX.XX'!B6</f>
        <v>Project Manager - xxxxxxxxxxxxxxxxxxx</v>
      </c>
      <c r="B7" s="41"/>
      <c r="C7" s="41"/>
      <c r="D7" s="41"/>
      <c r="E7" s="41"/>
      <c r="F7" s="5"/>
      <c r="G7" s="36"/>
      <c r="H7" s="36"/>
    </row>
    <row r="8" spans="1:8" ht="32.25" thickBot="1" x14ac:dyDescent="0.3">
      <c r="A8" s="42" t="s">
        <v>27</v>
      </c>
      <c r="B8" s="43" t="s">
        <v>12</v>
      </c>
      <c r="C8" s="53" t="s">
        <v>22</v>
      </c>
      <c r="D8" s="53" t="s">
        <v>23</v>
      </c>
      <c r="E8" s="44" t="s">
        <v>13</v>
      </c>
      <c r="F8" s="45" t="s">
        <v>28</v>
      </c>
      <c r="G8" s="45" t="s">
        <v>16</v>
      </c>
      <c r="H8" s="45" t="s">
        <v>17</v>
      </c>
    </row>
    <row r="9" spans="1:8" s="131" customFormat="1" ht="12.75" customHeight="1" x14ac:dyDescent="0.25">
      <c r="A9" s="142"/>
      <c r="B9" s="125"/>
      <c r="C9" s="127"/>
      <c r="D9" s="127"/>
      <c r="E9" s="124"/>
      <c r="F9" s="128"/>
      <c r="G9" s="130"/>
      <c r="H9" s="130">
        <f>G9</f>
        <v>0</v>
      </c>
    </row>
    <row r="10" spans="1:8" s="131" customFormat="1" ht="12.75" customHeight="1" x14ac:dyDescent="0.25">
      <c r="A10" s="132"/>
      <c r="B10" s="125"/>
      <c r="C10" s="168"/>
      <c r="D10" s="168"/>
      <c r="E10" s="133"/>
      <c r="F10" s="167"/>
      <c r="G10" s="130"/>
      <c r="H10" s="130">
        <f>H9+G10</f>
        <v>0</v>
      </c>
    </row>
    <row r="11" spans="1:8" s="131" customFormat="1" ht="12.75" customHeight="1" x14ac:dyDescent="0.25">
      <c r="A11" s="132"/>
      <c r="B11" s="125"/>
      <c r="C11" s="125"/>
      <c r="D11" s="125"/>
      <c r="E11" s="133"/>
      <c r="F11" s="167"/>
      <c r="G11" s="130"/>
      <c r="H11" s="130">
        <f t="shared" ref="H11:H20" si="0">H10+G11</f>
        <v>0</v>
      </c>
    </row>
    <row r="12" spans="1:8" s="131" customFormat="1" ht="12.75" customHeight="1" x14ac:dyDescent="0.25">
      <c r="A12" s="132" t="s">
        <v>1</v>
      </c>
      <c r="B12" s="125" t="s">
        <v>1</v>
      </c>
      <c r="C12" s="125"/>
      <c r="D12" s="125"/>
      <c r="E12" s="133" t="s">
        <v>1</v>
      </c>
      <c r="F12" s="167"/>
      <c r="G12" s="130"/>
      <c r="H12" s="130">
        <f t="shared" si="0"/>
        <v>0</v>
      </c>
    </row>
    <row r="13" spans="1:8" s="131" customFormat="1" ht="12.75" customHeight="1" x14ac:dyDescent="0.25">
      <c r="A13" s="132" t="s">
        <v>1</v>
      </c>
      <c r="B13" s="125" t="s">
        <v>1</v>
      </c>
      <c r="C13" s="125"/>
      <c r="D13" s="125"/>
      <c r="E13" s="133" t="s">
        <v>1</v>
      </c>
      <c r="F13" s="167"/>
      <c r="G13" s="130"/>
      <c r="H13" s="130">
        <f t="shared" si="0"/>
        <v>0</v>
      </c>
    </row>
    <row r="14" spans="1:8" s="131" customFormat="1" ht="12.75" customHeight="1" x14ac:dyDescent="0.25">
      <c r="A14" s="132"/>
      <c r="B14" s="125"/>
      <c r="C14" s="125"/>
      <c r="D14" s="125"/>
      <c r="E14" s="133"/>
      <c r="F14" s="167"/>
      <c r="G14" s="130"/>
      <c r="H14" s="130">
        <f t="shared" si="0"/>
        <v>0</v>
      </c>
    </row>
    <row r="15" spans="1:8" s="131" customFormat="1" ht="12.75" customHeight="1" x14ac:dyDescent="0.25">
      <c r="A15" s="132"/>
      <c r="B15" s="125"/>
      <c r="C15" s="125"/>
      <c r="D15" s="125"/>
      <c r="E15" s="183"/>
      <c r="F15" s="167"/>
      <c r="G15" s="130"/>
      <c r="H15" s="130">
        <f t="shared" si="0"/>
        <v>0</v>
      </c>
    </row>
    <row r="16" spans="1:8" s="131" customFormat="1" ht="12.75" customHeight="1" x14ac:dyDescent="0.25">
      <c r="A16" s="132"/>
      <c r="B16" s="125"/>
      <c r="C16" s="125"/>
      <c r="D16" s="125"/>
      <c r="E16" s="133"/>
      <c r="F16" s="167"/>
      <c r="G16" s="130"/>
      <c r="H16" s="130">
        <f t="shared" si="0"/>
        <v>0</v>
      </c>
    </row>
    <row r="17" spans="1:8" s="131" customFormat="1" ht="12.75" customHeight="1" x14ac:dyDescent="0.25">
      <c r="A17" s="127"/>
      <c r="B17" s="125"/>
      <c r="C17" s="125"/>
      <c r="D17" s="125"/>
      <c r="E17" s="133"/>
      <c r="F17" s="167"/>
      <c r="G17" s="130"/>
      <c r="H17" s="130">
        <f t="shared" si="0"/>
        <v>0</v>
      </c>
    </row>
    <row r="18" spans="1:8" s="131" customFormat="1" ht="12.75" customHeight="1" x14ac:dyDescent="0.25">
      <c r="A18" s="127"/>
      <c r="B18" s="125"/>
      <c r="C18" s="125"/>
      <c r="D18" s="125"/>
      <c r="E18" s="133"/>
      <c r="F18" s="167"/>
      <c r="G18" s="130"/>
      <c r="H18" s="130">
        <f t="shared" si="0"/>
        <v>0</v>
      </c>
    </row>
    <row r="19" spans="1:8" s="131" customFormat="1" ht="12.75" customHeight="1" x14ac:dyDescent="0.25">
      <c r="A19" s="127"/>
      <c r="B19" s="125"/>
      <c r="C19" s="125"/>
      <c r="D19" s="125"/>
      <c r="E19" s="133"/>
      <c r="F19" s="167"/>
      <c r="G19" s="130"/>
      <c r="H19" s="130">
        <f t="shared" si="0"/>
        <v>0</v>
      </c>
    </row>
    <row r="20" spans="1:8" s="131" customFormat="1" ht="12.75" customHeight="1" x14ac:dyDescent="0.25">
      <c r="A20" s="127"/>
      <c r="B20" s="125"/>
      <c r="C20" s="125"/>
      <c r="D20" s="125"/>
      <c r="E20" s="133"/>
      <c r="F20" s="167"/>
      <c r="G20" s="130"/>
      <c r="H20" s="130">
        <f t="shared" si="0"/>
        <v>0</v>
      </c>
    </row>
    <row r="21" spans="1:8" s="131" customFormat="1" ht="12.75" customHeight="1" x14ac:dyDescent="0.25">
      <c r="A21" s="127"/>
      <c r="B21" s="168"/>
      <c r="C21" s="168"/>
      <c r="D21" s="168"/>
      <c r="E21" s="133"/>
      <c r="F21" s="130"/>
      <c r="G21" s="133"/>
      <c r="H21" s="130"/>
    </row>
    <row r="22" spans="1:8" s="131" customFormat="1" ht="12.75" customHeight="1" thickBot="1" x14ac:dyDescent="0.3">
      <c r="A22" s="184"/>
      <c r="B22" s="173"/>
      <c r="C22" s="173"/>
      <c r="D22" s="173"/>
      <c r="E22" s="185" t="s">
        <v>19</v>
      </c>
      <c r="F22" s="186"/>
      <c r="G22" s="171">
        <f>SUM(G9:G21)</f>
        <v>0</v>
      </c>
      <c r="H22" s="186"/>
    </row>
    <row r="23" spans="1:8" s="131" customFormat="1" ht="12.75" customHeight="1" thickTop="1" x14ac:dyDescent="0.25"/>
    <row r="24" spans="1:8" s="131" customFormat="1" ht="12.75" customHeight="1" x14ac:dyDescent="0.25"/>
    <row r="25" spans="1:8" s="131" customFormat="1" ht="12.75" customHeight="1" x14ac:dyDescent="0.25"/>
    <row r="26" spans="1:8" s="131" customFormat="1" ht="12.75" customHeight="1" x14ac:dyDescent="0.25"/>
    <row r="27" spans="1:8" s="131" customFormat="1" ht="12.75" customHeight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9CD2-D880-4FB3-B34B-0B4B732DD131}">
  <sheetPr codeName="Sheet1">
    <tabColor rgb="FFFF0000"/>
    <pageSetUpPr fitToPage="1"/>
  </sheetPr>
  <dimension ref="A1:K47"/>
  <sheetViews>
    <sheetView tabSelected="1" zoomScaleNormal="100" workbookViewId="0"/>
  </sheetViews>
  <sheetFormatPr defaultColWidth="11.42578125" defaultRowHeight="15" customHeight="1" x14ac:dyDescent="0.25"/>
  <cols>
    <col min="1" max="1" width="3.42578125" bestFit="1" customWidth="1"/>
    <col min="2" max="2" width="9.5703125" customWidth="1"/>
    <col min="3" max="3" width="68" customWidth="1"/>
    <col min="4" max="4" width="14.42578125" customWidth="1"/>
    <col min="5" max="5" width="15.42578125" customWidth="1"/>
    <col min="6" max="6" width="13.5703125" customWidth="1"/>
    <col min="7" max="7" width="15.5703125" bestFit="1" customWidth="1"/>
    <col min="8" max="8" width="14.5703125" customWidth="1"/>
    <col min="9" max="10" width="14.42578125" customWidth="1"/>
    <col min="11" max="11" width="17" bestFit="1" customWidth="1"/>
    <col min="12" max="23" width="11.42578125" customWidth="1"/>
    <col min="257" max="267" width="11.42578125" customWidth="1"/>
    <col min="513" max="523" width="11.42578125" customWidth="1"/>
    <col min="769" max="779" width="11.42578125" customWidth="1"/>
    <col min="1025" max="1035" width="11.42578125" customWidth="1"/>
    <col min="1281" max="1291" width="11.42578125" customWidth="1"/>
    <col min="1537" max="1547" width="11.42578125" customWidth="1"/>
    <col min="1793" max="1803" width="11.42578125" customWidth="1"/>
    <col min="2049" max="2059" width="11.42578125" customWidth="1"/>
    <col min="2305" max="2315" width="11.42578125" customWidth="1"/>
    <col min="2561" max="2571" width="11.42578125" customWidth="1"/>
    <col min="2817" max="2827" width="11.42578125" customWidth="1"/>
    <col min="3073" max="3083" width="11.42578125" customWidth="1"/>
    <col min="3329" max="3339" width="11.42578125" customWidth="1"/>
    <col min="3585" max="3595" width="11.42578125" customWidth="1"/>
    <col min="3841" max="3851" width="11.42578125" customWidth="1"/>
    <col min="4097" max="4107" width="11.42578125" customWidth="1"/>
    <col min="4353" max="4363" width="11.42578125" customWidth="1"/>
    <col min="4609" max="4619" width="11.42578125" customWidth="1"/>
    <col min="4865" max="4875" width="11.42578125" customWidth="1"/>
    <col min="5121" max="5131" width="11.42578125" customWidth="1"/>
    <col min="5377" max="5387" width="11.42578125" customWidth="1"/>
    <col min="5633" max="5643" width="11.42578125" customWidth="1"/>
    <col min="5889" max="5899" width="11.42578125" customWidth="1"/>
    <col min="6145" max="6155" width="11.42578125" customWidth="1"/>
    <col min="6401" max="6411" width="11.42578125" customWidth="1"/>
    <col min="6657" max="6667" width="11.42578125" customWidth="1"/>
    <col min="6913" max="6923" width="11.42578125" customWidth="1"/>
    <col min="7169" max="7179" width="11.42578125" customWidth="1"/>
    <col min="7425" max="7435" width="11.42578125" customWidth="1"/>
    <col min="7681" max="7691" width="11.42578125" customWidth="1"/>
    <col min="7937" max="7947" width="11.42578125" customWidth="1"/>
    <col min="8193" max="8203" width="11.42578125" customWidth="1"/>
    <col min="8449" max="8459" width="11.42578125" customWidth="1"/>
    <col min="8705" max="8715" width="11.42578125" customWidth="1"/>
    <col min="8961" max="8971" width="11.42578125" customWidth="1"/>
    <col min="9217" max="9227" width="11.42578125" customWidth="1"/>
    <col min="9473" max="9483" width="11.42578125" customWidth="1"/>
    <col min="9729" max="9739" width="11.42578125" customWidth="1"/>
    <col min="9985" max="9995" width="11.42578125" customWidth="1"/>
    <col min="10241" max="10251" width="11.42578125" customWidth="1"/>
    <col min="10497" max="10507" width="11.42578125" customWidth="1"/>
    <col min="10753" max="10763" width="11.42578125" customWidth="1"/>
    <col min="11009" max="11019" width="11.42578125" customWidth="1"/>
    <col min="11265" max="11275" width="11.42578125" customWidth="1"/>
    <col min="11521" max="11531" width="11.42578125" customWidth="1"/>
    <col min="11777" max="11787" width="11.42578125" customWidth="1"/>
    <col min="12033" max="12043" width="11.42578125" customWidth="1"/>
    <col min="12289" max="12299" width="11.42578125" customWidth="1"/>
    <col min="12545" max="12555" width="11.42578125" customWidth="1"/>
    <col min="12801" max="12811" width="11.42578125" customWidth="1"/>
    <col min="13057" max="13067" width="11.42578125" customWidth="1"/>
    <col min="13313" max="13323" width="11.42578125" customWidth="1"/>
    <col min="13569" max="13579" width="11.42578125" customWidth="1"/>
    <col min="13825" max="13835" width="11.42578125" customWidth="1"/>
    <col min="14081" max="14091" width="11.42578125" customWidth="1"/>
    <col min="14337" max="14347" width="11.42578125" customWidth="1"/>
    <col min="14593" max="14603" width="11.42578125" customWidth="1"/>
    <col min="14849" max="14859" width="11.42578125" customWidth="1"/>
    <col min="15105" max="15115" width="11.42578125" customWidth="1"/>
    <col min="15361" max="15371" width="11.42578125" customWidth="1"/>
    <col min="15617" max="15627" width="11.42578125" customWidth="1"/>
    <col min="15873" max="15883" width="11.42578125" customWidth="1"/>
    <col min="16129" max="16139" width="11.42578125" customWidth="1"/>
  </cols>
  <sheetData>
    <row r="1" spans="1:11" x14ac:dyDescent="0.25">
      <c r="A1" s="61"/>
      <c r="B1" s="62"/>
      <c r="C1" s="63" t="s">
        <v>1</v>
      </c>
      <c r="D1" s="64"/>
      <c r="E1" s="65" t="s">
        <v>1</v>
      </c>
      <c r="F1" s="65"/>
      <c r="G1" s="65"/>
      <c r="H1" s="66"/>
      <c r="I1" s="66"/>
      <c r="J1" s="67"/>
      <c r="K1" s="67"/>
    </row>
    <row r="2" spans="1:11" ht="54" customHeight="1" thickBot="1" x14ac:dyDescent="0.3">
      <c r="A2" s="68" t="s">
        <v>29</v>
      </c>
      <c r="B2" s="69" t="s">
        <v>30</v>
      </c>
      <c r="C2" s="70" t="s">
        <v>31</v>
      </c>
      <c r="D2" s="71" t="s">
        <v>32</v>
      </c>
      <c r="E2" s="72" t="s">
        <v>33</v>
      </c>
      <c r="F2" s="73" t="s">
        <v>34</v>
      </c>
      <c r="G2" s="74" t="s">
        <v>35</v>
      </c>
      <c r="H2" s="72" t="s">
        <v>36</v>
      </c>
      <c r="I2" s="72" t="s">
        <v>37</v>
      </c>
      <c r="J2" s="74" t="s">
        <v>38</v>
      </c>
      <c r="K2" s="72" t="s">
        <v>39</v>
      </c>
    </row>
    <row r="3" spans="1:11" x14ac:dyDescent="0.25">
      <c r="A3" s="75"/>
      <c r="B3" s="76"/>
      <c r="C3" s="77" t="s">
        <v>59</v>
      </c>
      <c r="D3" s="230">
        <f>'[1]Appr 60 Capitol Stairs'!$D$3</f>
        <v>5000000</v>
      </c>
      <c r="E3" s="78"/>
      <c r="F3" s="78"/>
      <c r="G3" s="78"/>
      <c r="H3" s="78"/>
      <c r="I3" s="66"/>
      <c r="J3" s="67"/>
      <c r="K3" s="67"/>
    </row>
    <row r="4" spans="1:11" x14ac:dyDescent="0.25">
      <c r="A4" s="75"/>
      <c r="B4" s="76"/>
      <c r="C4" s="77" t="s">
        <v>34</v>
      </c>
      <c r="D4" s="64">
        <f>F40</f>
        <v>0</v>
      </c>
      <c r="E4" s="78"/>
      <c r="F4" s="78"/>
      <c r="G4" s="78"/>
      <c r="H4" s="78"/>
      <c r="I4" s="66"/>
      <c r="J4" s="67"/>
      <c r="K4" s="67"/>
    </row>
    <row r="5" spans="1:11" x14ac:dyDescent="0.25">
      <c r="A5" s="75"/>
      <c r="B5" s="76"/>
      <c r="C5" s="77" t="s">
        <v>40</v>
      </c>
      <c r="D5" s="64"/>
      <c r="E5" s="79">
        <v>0</v>
      </c>
      <c r="F5" s="78"/>
      <c r="G5" s="78"/>
      <c r="H5" s="78"/>
      <c r="I5" s="66"/>
      <c r="J5" s="67"/>
      <c r="K5" s="67"/>
    </row>
    <row r="6" spans="1:11" ht="15.75" thickBot="1" x14ac:dyDescent="0.3">
      <c r="A6" s="75"/>
      <c r="B6" s="76"/>
      <c r="C6" s="77" t="s">
        <v>41</v>
      </c>
      <c r="D6" s="64"/>
      <c r="E6" s="80">
        <f>D3+D4-E5</f>
        <v>5000000</v>
      </c>
      <c r="F6" s="78"/>
      <c r="G6" s="78"/>
      <c r="H6" s="78"/>
      <c r="I6" s="66"/>
      <c r="J6" s="67"/>
      <c r="K6" s="67"/>
    </row>
    <row r="7" spans="1:11" ht="16.5" thickTop="1" thickBot="1" x14ac:dyDescent="0.3">
      <c r="A7" s="75"/>
      <c r="B7" s="76" t="s">
        <v>42</v>
      </c>
      <c r="C7" s="77" t="s">
        <v>43</v>
      </c>
      <c r="D7" s="64"/>
      <c r="E7" s="81">
        <f>G40</f>
        <v>5000000</v>
      </c>
      <c r="F7" s="78"/>
      <c r="G7" s="78"/>
      <c r="H7" s="78"/>
      <c r="I7" s="66"/>
      <c r="J7" s="67"/>
      <c r="K7" s="67"/>
    </row>
    <row r="8" spans="1:11" ht="15.75" thickBot="1" x14ac:dyDescent="0.3">
      <c r="A8" s="75"/>
      <c r="B8" s="76"/>
      <c r="C8" s="77" t="s">
        <v>44</v>
      </c>
      <c r="D8" s="64"/>
      <c r="E8" s="82">
        <f>E6-E7</f>
        <v>0</v>
      </c>
      <c r="F8" s="78"/>
      <c r="G8" s="78"/>
      <c r="H8" s="78"/>
      <c r="I8" s="66"/>
      <c r="J8" s="67"/>
      <c r="K8" s="67"/>
    </row>
    <row r="9" spans="1:11" x14ac:dyDescent="0.25">
      <c r="A9" s="75"/>
      <c r="B9" s="76"/>
      <c r="C9" s="66"/>
      <c r="D9" s="64"/>
      <c r="E9" s="78"/>
      <c r="F9" s="78"/>
      <c r="G9" s="78"/>
      <c r="H9" s="78"/>
      <c r="I9" s="66"/>
      <c r="J9" s="67"/>
      <c r="K9" s="67"/>
    </row>
    <row r="10" spans="1:11" x14ac:dyDescent="0.25">
      <c r="A10" s="75"/>
      <c r="B10" s="76"/>
      <c r="C10" s="66"/>
      <c r="D10" s="64"/>
      <c r="E10" s="78"/>
      <c r="F10" s="78"/>
      <c r="G10" s="78"/>
      <c r="H10" s="78"/>
      <c r="I10" s="66"/>
      <c r="J10" s="67"/>
      <c r="K10" s="67"/>
    </row>
    <row r="11" spans="1:11" x14ac:dyDescent="0.25">
      <c r="A11" s="75"/>
      <c r="B11" s="76"/>
      <c r="C11" s="66"/>
      <c r="D11" s="64"/>
      <c r="E11" s="78"/>
      <c r="F11" s="78"/>
      <c r="G11" s="78"/>
      <c r="H11" s="78"/>
      <c r="I11" s="66"/>
      <c r="J11" s="67"/>
      <c r="K11" s="67"/>
    </row>
    <row r="12" spans="1:11" ht="15.75" x14ac:dyDescent="0.25">
      <c r="A12" s="83"/>
      <c r="B12" s="84"/>
      <c r="C12" s="85" t="s">
        <v>45</v>
      </c>
      <c r="D12" s="86"/>
      <c r="E12" s="87"/>
      <c r="F12" s="87"/>
      <c r="G12" s="87"/>
      <c r="H12" s="87"/>
      <c r="I12" s="87"/>
      <c r="J12" s="88"/>
      <c r="K12" s="88"/>
    </row>
    <row r="13" spans="1:11" ht="23.25" x14ac:dyDescent="0.25">
      <c r="A13" s="89"/>
      <c r="B13" s="90"/>
      <c r="C13" s="91"/>
      <c r="D13" s="92"/>
      <c r="E13" s="93" t="s">
        <v>46</v>
      </c>
      <c r="F13" s="94" t="s">
        <v>47</v>
      </c>
      <c r="G13" s="94" t="s">
        <v>48</v>
      </c>
      <c r="H13" s="94" t="s">
        <v>47</v>
      </c>
      <c r="I13" s="94" t="s">
        <v>47</v>
      </c>
      <c r="J13" s="94" t="s">
        <v>47</v>
      </c>
      <c r="K13" s="94" t="s">
        <v>47</v>
      </c>
    </row>
    <row r="14" spans="1:11" s="131" customFormat="1" ht="12.75" customHeight="1" x14ac:dyDescent="0.25">
      <c r="A14" s="143"/>
      <c r="B14" s="144"/>
      <c r="C14" s="145" t="s">
        <v>49</v>
      </c>
      <c r="D14" s="146"/>
      <c r="E14" s="93"/>
      <c r="F14" s="147"/>
      <c r="G14" s="148"/>
      <c r="H14" s="148"/>
      <c r="I14" s="148"/>
      <c r="J14" s="148"/>
      <c r="K14" s="148"/>
    </row>
    <row r="15" spans="1:11" s="131" customFormat="1" ht="12.75" customHeight="1" x14ac:dyDescent="0.25">
      <c r="A15" s="143"/>
      <c r="B15" s="144" t="s">
        <v>60</v>
      </c>
      <c r="C15" s="149" t="s">
        <v>57</v>
      </c>
      <c r="D15" s="146" t="s">
        <v>58</v>
      </c>
      <c r="E15" s="150">
        <v>5000000</v>
      </c>
      <c r="F15" s="146"/>
      <c r="G15" s="150">
        <f t="shared" ref="G15:G37" si="0">E15+F15</f>
        <v>5000000</v>
      </c>
      <c r="H15" s="146">
        <f>'RECAP #9485.00'!D21</f>
        <v>3449528.8799999994</v>
      </c>
      <c r="I15" s="146">
        <f>'RECAP #9485.00'!E21</f>
        <v>1858521.07</v>
      </c>
      <c r="J15" s="146">
        <f>'RECAP #9485.00'!F21</f>
        <v>1591007.8099999994</v>
      </c>
      <c r="K15" s="146">
        <f>'RECAP #9485.00'!G21</f>
        <v>1550471.1200000006</v>
      </c>
    </row>
    <row r="16" spans="1:11" s="131" customFormat="1" ht="12.75" customHeight="1" x14ac:dyDescent="0.25">
      <c r="A16" s="143"/>
      <c r="B16" s="144"/>
      <c r="C16" s="149"/>
      <c r="D16" s="146"/>
      <c r="E16" s="150"/>
      <c r="F16" s="146"/>
      <c r="G16" s="150">
        <f t="shared" si="0"/>
        <v>0</v>
      </c>
      <c r="H16" s="146"/>
      <c r="I16" s="146"/>
      <c r="J16" s="146"/>
      <c r="K16" s="146"/>
    </row>
    <row r="17" spans="1:11" s="131" customFormat="1" ht="12.75" customHeight="1" x14ac:dyDescent="0.25">
      <c r="A17" s="143"/>
      <c r="B17" s="144"/>
      <c r="C17" s="149"/>
      <c r="D17" s="146"/>
      <c r="E17" s="150"/>
      <c r="F17" s="146"/>
      <c r="G17" s="150">
        <f t="shared" si="0"/>
        <v>0</v>
      </c>
      <c r="H17" s="146"/>
      <c r="I17" s="146"/>
      <c r="J17" s="146"/>
      <c r="K17" s="146"/>
    </row>
    <row r="18" spans="1:11" s="131" customFormat="1" ht="12.75" customHeight="1" x14ac:dyDescent="0.25">
      <c r="A18" s="143"/>
      <c r="B18" s="144"/>
      <c r="C18" s="151"/>
      <c r="D18" s="146"/>
      <c r="E18" s="150"/>
      <c r="F18" s="146"/>
      <c r="G18" s="150">
        <f t="shared" si="0"/>
        <v>0</v>
      </c>
      <c r="H18" s="146"/>
      <c r="I18" s="146"/>
      <c r="J18" s="146"/>
      <c r="K18" s="146"/>
    </row>
    <row r="19" spans="1:11" s="131" customFormat="1" ht="12.75" customHeight="1" x14ac:dyDescent="0.25">
      <c r="A19" s="143"/>
      <c r="B19" s="144"/>
      <c r="C19" s="149"/>
      <c r="D19" s="146"/>
      <c r="E19" s="150"/>
      <c r="F19" s="146"/>
      <c r="G19" s="150">
        <f t="shared" si="0"/>
        <v>0</v>
      </c>
      <c r="H19" s="146"/>
      <c r="I19" s="146"/>
      <c r="J19" s="146"/>
      <c r="K19" s="146"/>
    </row>
    <row r="20" spans="1:11" s="131" customFormat="1" ht="12.75" customHeight="1" x14ac:dyDescent="0.25">
      <c r="A20" s="143"/>
      <c r="B20" s="144"/>
      <c r="C20" s="149"/>
      <c r="D20" s="146"/>
      <c r="E20" s="150"/>
      <c r="F20" s="146"/>
      <c r="G20" s="150">
        <f t="shared" si="0"/>
        <v>0</v>
      </c>
      <c r="H20" s="146"/>
      <c r="I20" s="146"/>
      <c r="J20" s="146"/>
      <c r="K20" s="146"/>
    </row>
    <row r="21" spans="1:11" s="131" customFormat="1" ht="12.75" customHeight="1" x14ac:dyDescent="0.25">
      <c r="A21" s="143"/>
      <c r="B21" s="144"/>
      <c r="C21" s="152"/>
      <c r="D21" s="146"/>
      <c r="E21" s="150"/>
      <c r="F21" s="146"/>
      <c r="G21" s="150">
        <f t="shared" si="0"/>
        <v>0</v>
      </c>
      <c r="H21" s="146"/>
      <c r="I21" s="146"/>
      <c r="J21" s="146"/>
      <c r="K21" s="146"/>
    </row>
    <row r="22" spans="1:11" s="131" customFormat="1" ht="12.75" customHeight="1" x14ac:dyDescent="0.25">
      <c r="A22" s="143"/>
      <c r="B22" s="144"/>
      <c r="C22" s="153"/>
      <c r="D22" s="146"/>
      <c r="E22" s="150"/>
      <c r="F22" s="146"/>
      <c r="G22" s="150">
        <f t="shared" si="0"/>
        <v>0</v>
      </c>
      <c r="H22" s="146"/>
      <c r="I22" s="146"/>
      <c r="J22" s="146"/>
      <c r="K22" s="146"/>
    </row>
    <row r="23" spans="1:11" s="131" customFormat="1" ht="12.75" customHeight="1" x14ac:dyDescent="0.25">
      <c r="A23" s="143"/>
      <c r="B23" s="144"/>
      <c r="C23" s="154"/>
      <c r="D23" s="143"/>
      <c r="E23" s="150"/>
      <c r="F23" s="146"/>
      <c r="G23" s="150">
        <f t="shared" si="0"/>
        <v>0</v>
      </c>
      <c r="H23" s="146"/>
      <c r="I23" s="146"/>
      <c r="J23" s="146"/>
      <c r="K23" s="146"/>
    </row>
    <row r="24" spans="1:11" s="131" customFormat="1" ht="12.75" customHeight="1" x14ac:dyDescent="0.25">
      <c r="A24" s="143"/>
      <c r="B24" s="144"/>
      <c r="C24" s="149"/>
      <c r="D24" s="146"/>
      <c r="E24" s="150"/>
      <c r="F24" s="146"/>
      <c r="G24" s="150">
        <f t="shared" si="0"/>
        <v>0</v>
      </c>
      <c r="H24" s="146"/>
      <c r="I24" s="146"/>
      <c r="J24" s="146"/>
      <c r="K24" s="146"/>
    </row>
    <row r="25" spans="1:11" s="131" customFormat="1" ht="12.75" customHeight="1" x14ac:dyDescent="0.25">
      <c r="A25" s="155"/>
      <c r="B25" s="144"/>
      <c r="C25" s="149"/>
      <c r="D25" s="146"/>
      <c r="E25" s="150"/>
      <c r="F25" s="146"/>
      <c r="G25" s="150">
        <f t="shared" si="0"/>
        <v>0</v>
      </c>
      <c r="H25" s="146"/>
      <c r="I25" s="146"/>
      <c r="J25" s="146"/>
      <c r="K25" s="146"/>
    </row>
    <row r="26" spans="1:11" s="131" customFormat="1" ht="12.75" customHeight="1" x14ac:dyDescent="0.25">
      <c r="A26" s="143"/>
      <c r="B26" s="144"/>
      <c r="C26" s="149"/>
      <c r="D26" s="146"/>
      <c r="E26" s="150"/>
      <c r="F26" s="146"/>
      <c r="G26" s="150">
        <f t="shared" si="0"/>
        <v>0</v>
      </c>
      <c r="H26" s="146"/>
      <c r="I26" s="146"/>
      <c r="J26" s="146"/>
      <c r="K26" s="146"/>
    </row>
    <row r="27" spans="1:11" s="131" customFormat="1" ht="12.75" customHeight="1" x14ac:dyDescent="0.25">
      <c r="A27" s="156"/>
      <c r="B27" s="144"/>
      <c r="C27" s="153"/>
      <c r="D27" s="143"/>
      <c r="E27" s="150"/>
      <c r="F27" s="146"/>
      <c r="G27" s="150">
        <f t="shared" si="0"/>
        <v>0</v>
      </c>
      <c r="H27" s="146"/>
      <c r="I27" s="146"/>
      <c r="J27" s="146"/>
      <c r="K27" s="146"/>
    </row>
    <row r="28" spans="1:11" s="131" customFormat="1" ht="12.75" customHeight="1" x14ac:dyDescent="0.25">
      <c r="A28" s="156"/>
      <c r="B28" s="144"/>
      <c r="C28" s="97"/>
      <c r="D28" s="143"/>
      <c r="E28" s="150"/>
      <c r="F28" s="146"/>
      <c r="G28" s="150">
        <f t="shared" si="0"/>
        <v>0</v>
      </c>
      <c r="H28" s="146"/>
      <c r="I28" s="146"/>
      <c r="J28" s="146"/>
      <c r="K28" s="146"/>
    </row>
    <row r="29" spans="1:11" s="131" customFormat="1" ht="12.75" customHeight="1" x14ac:dyDescent="0.25">
      <c r="A29" s="156"/>
      <c r="B29" s="144"/>
      <c r="C29" s="152"/>
      <c r="D29" s="143"/>
      <c r="E29" s="150"/>
      <c r="F29" s="146"/>
      <c r="G29" s="150">
        <f t="shared" si="0"/>
        <v>0</v>
      </c>
      <c r="H29" s="146"/>
      <c r="I29" s="146"/>
      <c r="J29" s="146"/>
      <c r="K29" s="146"/>
    </row>
    <row r="30" spans="1:11" s="131" customFormat="1" ht="12.75" customHeight="1" x14ac:dyDescent="0.25">
      <c r="A30" s="156"/>
      <c r="B30" s="144"/>
      <c r="C30" s="157"/>
      <c r="D30" s="143"/>
      <c r="E30" s="150"/>
      <c r="F30" s="146"/>
      <c r="G30" s="150">
        <f t="shared" si="0"/>
        <v>0</v>
      </c>
      <c r="H30" s="146"/>
      <c r="I30" s="146"/>
      <c r="J30" s="146"/>
      <c r="K30" s="146"/>
    </row>
    <row r="31" spans="1:11" s="131" customFormat="1" ht="12.75" customHeight="1" x14ac:dyDescent="0.25">
      <c r="A31" s="156"/>
      <c r="B31" s="144"/>
      <c r="C31" s="157"/>
      <c r="D31" s="143"/>
      <c r="E31" s="150"/>
      <c r="F31" s="146"/>
      <c r="G31" s="150">
        <f t="shared" si="0"/>
        <v>0</v>
      </c>
      <c r="H31" s="146"/>
      <c r="I31" s="146"/>
      <c r="J31" s="146"/>
      <c r="K31" s="146"/>
    </row>
    <row r="32" spans="1:11" s="131" customFormat="1" ht="12.75" customHeight="1" x14ac:dyDescent="0.25">
      <c r="A32" s="156"/>
      <c r="B32" s="144"/>
      <c r="C32" s="158"/>
      <c r="D32" s="143"/>
      <c r="E32" s="150"/>
      <c r="F32" s="146"/>
      <c r="G32" s="150">
        <f t="shared" si="0"/>
        <v>0</v>
      </c>
      <c r="H32" s="146"/>
      <c r="I32" s="146"/>
      <c r="J32" s="146"/>
      <c r="K32" s="146"/>
    </row>
    <row r="33" spans="1:11" s="131" customFormat="1" ht="12.75" customHeight="1" x14ac:dyDescent="0.25">
      <c r="A33" s="156"/>
      <c r="B33" s="144"/>
      <c r="C33" s="157"/>
      <c r="D33" s="143"/>
      <c r="E33" s="150"/>
      <c r="F33" s="146"/>
      <c r="G33" s="150">
        <f t="shared" si="0"/>
        <v>0</v>
      </c>
      <c r="H33" s="146"/>
      <c r="I33" s="146"/>
      <c r="J33" s="146"/>
      <c r="K33" s="146"/>
    </row>
    <row r="34" spans="1:11" s="131" customFormat="1" ht="12.75" customHeight="1" x14ac:dyDescent="0.25">
      <c r="A34" s="159"/>
      <c r="B34" s="144"/>
      <c r="C34" s="157"/>
      <c r="D34" s="143"/>
      <c r="E34" s="150"/>
      <c r="F34" s="146"/>
      <c r="G34" s="150">
        <f t="shared" si="0"/>
        <v>0</v>
      </c>
      <c r="H34" s="146"/>
      <c r="I34" s="146"/>
      <c r="J34" s="160"/>
      <c r="K34" s="146"/>
    </row>
    <row r="35" spans="1:11" s="131" customFormat="1" ht="12.75" customHeight="1" x14ac:dyDescent="0.25">
      <c r="A35" s="156"/>
      <c r="B35" s="144"/>
      <c r="C35" s="157"/>
      <c r="D35" s="143"/>
      <c r="E35" s="150"/>
      <c r="F35" s="146"/>
      <c r="G35" s="150">
        <f t="shared" si="0"/>
        <v>0</v>
      </c>
      <c r="H35" s="146"/>
      <c r="I35" s="146"/>
      <c r="J35" s="146"/>
      <c r="K35" s="146"/>
    </row>
    <row r="36" spans="1:11" s="131" customFormat="1" ht="12.75" customHeight="1" x14ac:dyDescent="0.25">
      <c r="A36" s="156"/>
      <c r="B36" s="144"/>
      <c r="C36" s="157"/>
      <c r="D36" s="143"/>
      <c r="E36" s="150"/>
      <c r="F36" s="146"/>
      <c r="G36" s="150">
        <f t="shared" si="0"/>
        <v>0</v>
      </c>
      <c r="H36" s="146"/>
      <c r="I36" s="146"/>
      <c r="J36" s="146"/>
      <c r="K36" s="146"/>
    </row>
    <row r="37" spans="1:11" s="131" customFormat="1" ht="12.75" customHeight="1" x14ac:dyDescent="0.25">
      <c r="A37" s="156"/>
      <c r="B37" s="144"/>
      <c r="C37" s="157"/>
      <c r="D37" s="143"/>
      <c r="E37" s="150"/>
      <c r="F37" s="146"/>
      <c r="G37" s="150">
        <f t="shared" si="0"/>
        <v>0</v>
      </c>
      <c r="H37" s="146"/>
      <c r="I37" s="146"/>
      <c r="J37" s="146"/>
      <c r="K37" s="146"/>
    </row>
    <row r="38" spans="1:11" s="131" customFormat="1" ht="12.75" customHeight="1" x14ac:dyDescent="0.25">
      <c r="A38" s="156"/>
      <c r="B38" s="144"/>
      <c r="C38" s="157"/>
      <c r="D38" s="143"/>
      <c r="E38" s="150"/>
      <c r="F38" s="150"/>
      <c r="G38" s="150"/>
      <c r="H38" s="146"/>
      <c r="I38" s="146"/>
      <c r="J38" s="146"/>
      <c r="K38" s="146"/>
    </row>
    <row r="39" spans="1:11" x14ac:dyDescent="0.25">
      <c r="A39" s="96"/>
      <c r="B39" s="98"/>
      <c r="C39" s="99"/>
      <c r="D39" s="92"/>
      <c r="E39" s="95"/>
      <c r="F39" s="95"/>
      <c r="G39" s="95"/>
      <c r="H39" s="95"/>
      <c r="I39" s="95"/>
      <c r="J39" s="95"/>
      <c r="K39" s="95"/>
    </row>
    <row r="40" spans="1:11" ht="15.75" thickBot="1" x14ac:dyDescent="0.3">
      <c r="A40" s="100"/>
      <c r="B40" s="101"/>
      <c r="C40" s="102" t="s">
        <v>50</v>
      </c>
      <c r="D40" s="103"/>
      <c r="E40" s="104">
        <f>SUM(E13:E39)</f>
        <v>5000000</v>
      </c>
      <c r="F40" s="104">
        <f t="shared" ref="F40:K40" si="1">SUM(F13:F39)</f>
        <v>0</v>
      </c>
      <c r="G40" s="104">
        <f t="shared" si="1"/>
        <v>5000000</v>
      </c>
      <c r="H40" s="104">
        <f t="shared" si="1"/>
        <v>3449528.8799999994</v>
      </c>
      <c r="I40" s="104">
        <f t="shared" si="1"/>
        <v>1858521.07</v>
      </c>
      <c r="J40" s="104">
        <f t="shared" si="1"/>
        <v>1591007.8099999994</v>
      </c>
      <c r="K40" s="104">
        <f t="shared" si="1"/>
        <v>1550471.1200000006</v>
      </c>
    </row>
    <row r="41" spans="1:11" ht="15.75" thickBot="1" x14ac:dyDescent="0.3">
      <c r="A41" s="105"/>
      <c r="B41" s="106"/>
      <c r="C41" s="107"/>
      <c r="D41" s="108"/>
      <c r="E41" s="109"/>
      <c r="F41" s="109"/>
      <c r="G41" s="109"/>
      <c r="H41" s="109"/>
      <c r="I41" s="109"/>
      <c r="J41" s="110"/>
      <c r="K41" s="111"/>
    </row>
    <row r="42" spans="1:11" x14ac:dyDescent="0.25">
      <c r="A42" s="75"/>
      <c r="B42" s="62"/>
      <c r="C42" s="61"/>
      <c r="D42" s="64"/>
      <c r="E42" s="112"/>
      <c r="F42" s="112"/>
      <c r="G42" s="113" t="s">
        <v>51</v>
      </c>
      <c r="H42" s="112"/>
      <c r="I42" s="112"/>
      <c r="J42" s="114"/>
      <c r="K42" s="115">
        <f>E8</f>
        <v>0</v>
      </c>
    </row>
    <row r="43" spans="1:11" ht="27" thickBot="1" x14ac:dyDescent="0.3">
      <c r="A43" s="75"/>
      <c r="B43" s="116"/>
      <c r="C43" s="117" t="s">
        <v>52</v>
      </c>
      <c r="D43" s="64"/>
      <c r="E43" s="112"/>
      <c r="F43" s="112"/>
      <c r="G43" s="113" t="s">
        <v>53</v>
      </c>
      <c r="H43" s="112"/>
      <c r="I43" s="112"/>
      <c r="J43" s="114"/>
      <c r="K43" s="118">
        <f>SUM(K40:K42)</f>
        <v>1550471.1200000006</v>
      </c>
    </row>
    <row r="44" spans="1:11" ht="15.75" thickTop="1" x14ac:dyDescent="0.25">
      <c r="A44" s="75"/>
      <c r="B44" s="62"/>
      <c r="C44" s="119" t="s">
        <v>1</v>
      </c>
      <c r="D44" s="64"/>
      <c r="E44" s="66"/>
      <c r="F44" s="66"/>
      <c r="G44" s="120" t="s">
        <v>54</v>
      </c>
      <c r="H44" s="66"/>
      <c r="I44" s="66"/>
      <c r="J44" s="115">
        <f>E6</f>
        <v>5000000</v>
      </c>
      <c r="K44" s="67"/>
    </row>
    <row r="45" spans="1:11" x14ac:dyDescent="0.25">
      <c r="A45" s="75"/>
      <c r="B45" s="62"/>
      <c r="C45" s="61"/>
      <c r="D45" s="64"/>
      <c r="E45" s="66"/>
      <c r="F45" s="66"/>
      <c r="G45" s="113" t="s">
        <v>55</v>
      </c>
      <c r="H45" s="66"/>
      <c r="I45" s="66"/>
      <c r="J45" s="121">
        <f>H40*-1</f>
        <v>-3449528.8799999994</v>
      </c>
      <c r="K45" s="115">
        <f>SUM(J44:J45)</f>
        <v>1550471.1200000006</v>
      </c>
    </row>
    <row r="46" spans="1:11" ht="15.75" thickBot="1" x14ac:dyDescent="0.3">
      <c r="A46" s="75"/>
      <c r="B46" s="61"/>
      <c r="C46" s="61"/>
      <c r="D46" s="64"/>
      <c r="E46" s="66"/>
      <c r="F46" s="66"/>
      <c r="G46" s="120" t="s">
        <v>56</v>
      </c>
      <c r="H46" s="66"/>
      <c r="I46" s="66"/>
      <c r="J46" s="67"/>
      <c r="K46" s="122">
        <f>K43-K45</f>
        <v>0</v>
      </c>
    </row>
    <row r="47" spans="1:11" ht="15" customHeight="1" thickTop="1" x14ac:dyDescent="0.25"/>
  </sheetData>
  <pageMargins left="0.25" right="0.25" top="1.25" bottom="0.75" header="0.3" footer="0.3"/>
  <pageSetup scale="63" orientation="landscape" r:id="rId1"/>
  <headerFooter alignWithMargins="0">
    <oddHeader xml:space="preserve">&amp;CDepartment of Administrative Services
Major Maintenance 
061T
&amp;A
&amp;D
</oddHeader>
    <oddFooter>&amp;LAcct Codes 0017-335-061T
Reversion 6/30/2027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6213-09BD-4D31-84F8-D965BC19C2CF}">
  <sheetPr codeName="Sheet175">
    <pageSetUpPr fitToPage="1"/>
  </sheetPr>
  <dimension ref="A1:G22"/>
  <sheetViews>
    <sheetView zoomScaleNormal="100" workbookViewId="0">
      <selection activeCell="G13" sqref="G13"/>
    </sheetView>
  </sheetViews>
  <sheetFormatPr defaultColWidth="11.42578125" defaultRowHeight="15" customHeight="1" x14ac:dyDescent="0.25"/>
  <cols>
    <col min="1" max="1" width="3.5703125" customWidth="1"/>
    <col min="2" max="2" width="30.42578125" customWidth="1"/>
    <col min="3" max="3" width="17.42578125" customWidth="1"/>
    <col min="4" max="4" width="17" customWidth="1"/>
    <col min="5" max="5" width="13.42578125" bestFit="1" customWidth="1"/>
    <col min="6" max="6" width="16.42578125" customWidth="1"/>
    <col min="7" max="7" width="16.42578125" bestFit="1" customWidth="1"/>
    <col min="257" max="263" width="11.42578125" customWidth="1"/>
    <col min="513" max="519" width="11.42578125" customWidth="1"/>
    <col min="769" max="775" width="11.42578125" customWidth="1"/>
    <col min="1025" max="1031" width="11.42578125" customWidth="1"/>
    <col min="1281" max="1287" width="11.42578125" customWidth="1"/>
    <col min="1537" max="1543" width="11.42578125" customWidth="1"/>
    <col min="1793" max="1799" width="11.42578125" customWidth="1"/>
    <col min="2049" max="2055" width="11.42578125" customWidth="1"/>
    <col min="2305" max="2311" width="11.42578125" customWidth="1"/>
    <col min="2561" max="2567" width="11.42578125" customWidth="1"/>
    <col min="2817" max="2823" width="11.42578125" customWidth="1"/>
    <col min="3073" max="3079" width="11.42578125" customWidth="1"/>
    <col min="3329" max="3335" width="11.42578125" customWidth="1"/>
    <col min="3585" max="3591" width="11.42578125" customWidth="1"/>
    <col min="3841" max="3847" width="11.42578125" customWidth="1"/>
    <col min="4097" max="4103" width="11.42578125" customWidth="1"/>
    <col min="4353" max="4359" width="11.42578125" customWidth="1"/>
    <col min="4609" max="4615" width="11.42578125" customWidth="1"/>
    <col min="4865" max="4871" width="11.42578125" customWidth="1"/>
    <col min="5121" max="5127" width="11.42578125" customWidth="1"/>
    <col min="5377" max="5383" width="11.42578125" customWidth="1"/>
    <col min="5633" max="5639" width="11.42578125" customWidth="1"/>
    <col min="5889" max="5895" width="11.42578125" customWidth="1"/>
    <col min="6145" max="6151" width="11.42578125" customWidth="1"/>
    <col min="6401" max="6407" width="11.42578125" customWidth="1"/>
    <col min="6657" max="6663" width="11.42578125" customWidth="1"/>
    <col min="6913" max="6919" width="11.42578125" customWidth="1"/>
    <col min="7169" max="7175" width="11.42578125" customWidth="1"/>
    <col min="7425" max="7431" width="11.42578125" customWidth="1"/>
    <col min="7681" max="7687" width="11.42578125" customWidth="1"/>
    <col min="7937" max="7943" width="11.42578125" customWidth="1"/>
    <col min="8193" max="8199" width="11.42578125" customWidth="1"/>
    <col min="8449" max="8455" width="11.42578125" customWidth="1"/>
    <col min="8705" max="8711" width="11.42578125" customWidth="1"/>
    <col min="8961" max="8967" width="11.42578125" customWidth="1"/>
    <col min="9217" max="9223" width="11.42578125" customWidth="1"/>
    <col min="9473" max="9479" width="11.42578125" customWidth="1"/>
    <col min="9729" max="9735" width="11.42578125" customWidth="1"/>
    <col min="9985" max="9991" width="11.42578125" customWidth="1"/>
    <col min="10241" max="10247" width="11.42578125" customWidth="1"/>
    <col min="10497" max="10503" width="11.42578125" customWidth="1"/>
    <col min="10753" max="10759" width="11.42578125" customWidth="1"/>
    <col min="11009" max="11015" width="11.42578125" customWidth="1"/>
    <col min="11265" max="11271" width="11.42578125" customWidth="1"/>
    <col min="11521" max="11527" width="11.42578125" customWidth="1"/>
    <col min="11777" max="11783" width="11.42578125" customWidth="1"/>
    <col min="12033" max="12039" width="11.42578125" customWidth="1"/>
    <col min="12289" max="12295" width="11.42578125" customWidth="1"/>
    <col min="12545" max="12551" width="11.42578125" customWidth="1"/>
    <col min="12801" max="12807" width="11.42578125" customWidth="1"/>
    <col min="13057" max="13063" width="11.42578125" customWidth="1"/>
    <col min="13313" max="13319" width="11.42578125" customWidth="1"/>
    <col min="13569" max="13575" width="11.42578125" customWidth="1"/>
    <col min="13825" max="13831" width="11.42578125" customWidth="1"/>
    <col min="14081" max="14087" width="11.42578125" customWidth="1"/>
    <col min="14337" max="14343" width="11.42578125" customWidth="1"/>
    <col min="14593" max="14599" width="11.42578125" customWidth="1"/>
    <col min="14849" max="14855" width="11.42578125" customWidth="1"/>
    <col min="15105" max="15111" width="11.42578125" customWidth="1"/>
    <col min="15361" max="15367" width="11.42578125" customWidth="1"/>
    <col min="15617" max="15623" width="11.42578125" customWidth="1"/>
    <col min="15873" max="15879" width="11.42578125" customWidth="1"/>
    <col min="16129" max="16135" width="11.42578125" customWidth="1"/>
  </cols>
  <sheetData>
    <row r="1" spans="1:7" ht="24.75" customHeight="1" x14ac:dyDescent="0.25">
      <c r="A1" s="1"/>
      <c r="B1" s="2" t="s">
        <v>57</v>
      </c>
      <c r="C1" s="3"/>
      <c r="D1" s="4"/>
      <c r="E1" s="4"/>
      <c r="F1" s="4"/>
      <c r="G1" s="4"/>
    </row>
    <row r="2" spans="1:7" ht="15.75" x14ac:dyDescent="0.25">
      <c r="A2" s="1"/>
      <c r="B2" s="6" t="s">
        <v>61</v>
      </c>
      <c r="C2" s="5"/>
      <c r="D2" s="4"/>
      <c r="E2" s="4"/>
      <c r="F2" s="4"/>
      <c r="G2" s="4"/>
    </row>
    <row r="3" spans="1:7" ht="15.75" x14ac:dyDescent="0.25">
      <c r="A3" s="1"/>
      <c r="B3" s="7" t="s">
        <v>62</v>
      </c>
      <c r="C3" s="5"/>
      <c r="D3" s="4"/>
      <c r="E3" s="8" t="s">
        <v>64</v>
      </c>
      <c r="F3" s="4"/>
      <c r="G3" s="4"/>
    </row>
    <row r="4" spans="1:7" ht="15.75" x14ac:dyDescent="0.25">
      <c r="A4" s="1"/>
      <c r="B4" s="9" t="s">
        <v>0</v>
      </c>
      <c r="C4" s="10" t="s">
        <v>1</v>
      </c>
      <c r="D4" s="4"/>
      <c r="E4" s="4"/>
      <c r="F4" s="4"/>
      <c r="G4" s="4"/>
    </row>
    <row r="5" spans="1:7" ht="15.75" x14ac:dyDescent="0.25">
      <c r="A5" s="1"/>
      <c r="B5" s="11" t="s">
        <v>65</v>
      </c>
      <c r="C5" s="5"/>
      <c r="D5" s="4"/>
      <c r="E5" s="4"/>
      <c r="F5" s="4"/>
      <c r="G5" s="4"/>
    </row>
    <row r="6" spans="1:7" ht="15.75" x14ac:dyDescent="0.25">
      <c r="A6" s="1"/>
      <c r="B6" s="11" t="s">
        <v>63</v>
      </c>
      <c r="C6" s="12"/>
      <c r="D6" s="13" t="s">
        <v>1</v>
      </c>
      <c r="E6" s="4"/>
      <c r="F6" s="4"/>
      <c r="G6" s="4"/>
    </row>
    <row r="7" spans="1:7" ht="31.5" customHeight="1" thickBot="1" x14ac:dyDescent="0.3">
      <c r="A7" s="1"/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1:7" ht="28.35" customHeight="1" x14ac:dyDescent="0.25">
      <c r="A8" s="1"/>
      <c r="B8" s="1" t="s">
        <v>7</v>
      </c>
      <c r="C8" s="19">
        <f>FINANCIAL!E15</f>
        <v>5000000</v>
      </c>
      <c r="D8" s="20"/>
      <c r="E8" s="20"/>
      <c r="F8" s="20"/>
      <c r="G8" s="21"/>
    </row>
    <row r="9" spans="1:7" s="131" customFormat="1" ht="12.75" customHeight="1" x14ac:dyDescent="0.25">
      <c r="A9" s="161"/>
      <c r="B9" s="162"/>
      <c r="C9" s="163"/>
      <c r="D9" s="164"/>
      <c r="E9" s="164"/>
      <c r="F9" s="164"/>
      <c r="G9" s="165"/>
    </row>
    <row r="10" spans="1:7" s="131" customFormat="1" ht="12.75" customHeight="1" x14ac:dyDescent="0.25">
      <c r="A10" s="161"/>
      <c r="B10" s="162" t="s">
        <v>68</v>
      </c>
      <c r="C10" s="163"/>
      <c r="D10" s="166">
        <f>'#9485.00 Neumann Monson'!D23</f>
        <v>54560</v>
      </c>
      <c r="E10" s="166">
        <f>'#9485.00 Neumann Monson'!F23</f>
        <v>50468</v>
      </c>
      <c r="F10" s="166">
        <f>'#9485.00 Neumann Monson'!H23</f>
        <v>4092</v>
      </c>
      <c r="G10" s="165"/>
    </row>
    <row r="11" spans="1:7" s="131" customFormat="1" ht="12.75" customHeight="1" x14ac:dyDescent="0.25">
      <c r="A11" s="161"/>
      <c r="B11" s="162" t="s">
        <v>8</v>
      </c>
      <c r="C11" s="163"/>
      <c r="D11" s="166">
        <f>'#9485.00 PM TIME'!E34</f>
        <v>60000</v>
      </c>
      <c r="E11" s="166">
        <f>'#9485.00 PM TIME'!G34</f>
        <v>30949.07</v>
      </c>
      <c r="F11" s="166">
        <f>'#9485.00 PM TIME'!I34</f>
        <v>29050.93</v>
      </c>
      <c r="G11" s="165"/>
    </row>
    <row r="12" spans="1:7" s="131" customFormat="1" ht="12.75" customHeight="1" x14ac:dyDescent="0.25">
      <c r="A12" s="161"/>
      <c r="B12" s="162" t="s">
        <v>9</v>
      </c>
      <c r="C12" s="164"/>
      <c r="D12" s="167">
        <f>'#9485.00 Misc'!G41</f>
        <v>103419.33</v>
      </c>
      <c r="E12" s="167">
        <f>'#9485.00 Misc'!G41</f>
        <v>103419.33</v>
      </c>
      <c r="F12" s="166">
        <f>D12-E12</f>
        <v>0</v>
      </c>
      <c r="G12" s="165"/>
    </row>
    <row r="13" spans="1:7" s="131" customFormat="1" ht="12.75" customHeight="1" x14ac:dyDescent="0.25">
      <c r="A13" s="193" t="s">
        <v>172</v>
      </c>
      <c r="B13" s="162" t="s">
        <v>82</v>
      </c>
      <c r="C13" s="164"/>
      <c r="D13" s="167">
        <f>'#9485.00 DCI Group'!D23</f>
        <v>20570.419999999998</v>
      </c>
      <c r="E13" s="167">
        <f>'#9485.00 DCI Group'!F23</f>
        <v>20570.419999999998</v>
      </c>
      <c r="F13" s="166">
        <f>'#9485.00 DCI Group'!H23</f>
        <v>0</v>
      </c>
      <c r="G13" s="165"/>
    </row>
    <row r="14" spans="1:7" s="131" customFormat="1" ht="12.75" customHeight="1" x14ac:dyDescent="0.25">
      <c r="A14" s="161"/>
      <c r="B14" s="162" t="s">
        <v>123</v>
      </c>
      <c r="C14" s="164"/>
      <c r="D14" s="167">
        <f>'#9485.00 Midwest Storage '!D23</f>
        <v>2201964.9699999997</v>
      </c>
      <c r="E14" s="167">
        <f>'#9485.00 Midwest Storage '!F23</f>
        <v>1250909.95</v>
      </c>
      <c r="F14" s="166">
        <f>'#9485.00 Midwest Storage '!H23</f>
        <v>951055.01999999979</v>
      </c>
      <c r="G14" s="165"/>
    </row>
    <row r="15" spans="1:7" s="131" customFormat="1" ht="12.75" customHeight="1" x14ac:dyDescent="0.25">
      <c r="A15" s="161"/>
      <c r="B15" s="162" t="s">
        <v>152</v>
      </c>
      <c r="C15" s="164"/>
      <c r="D15" s="167">
        <f>'#9485.00 GTG Construction'!D23</f>
        <v>245276.12999999998</v>
      </c>
      <c r="E15" s="167">
        <f>'#9485.00 GTG Construction'!F23</f>
        <v>16587</v>
      </c>
      <c r="F15" s="166">
        <f>'#9485.00 GTG Construction'!H23</f>
        <v>228689.12999999998</v>
      </c>
      <c r="G15" s="165"/>
    </row>
    <row r="16" spans="1:7" s="131" customFormat="1" ht="12.75" customHeight="1" x14ac:dyDescent="0.25">
      <c r="A16" s="161"/>
      <c r="B16" s="162" t="s">
        <v>158</v>
      </c>
      <c r="C16" s="164"/>
      <c r="D16" s="167">
        <f>'#9485.00 Waldinger Corp'!D23</f>
        <v>300923.74</v>
      </c>
      <c r="E16" s="167">
        <f>'#9485.00 Waldinger Corp'!F23</f>
        <v>224494.37</v>
      </c>
      <c r="F16" s="166">
        <f>'#9485.00 Waldinger Corp'!H23</f>
        <v>76429.37</v>
      </c>
      <c r="G16" s="165"/>
    </row>
    <row r="17" spans="1:7" s="131" customFormat="1" ht="12.75" customHeight="1" x14ac:dyDescent="0.25">
      <c r="A17" s="161"/>
      <c r="B17" s="162" t="s">
        <v>165</v>
      </c>
      <c r="C17" s="164"/>
      <c r="D17" s="167">
        <f>'#9485.00 JF Ahern'!D23</f>
        <v>8158</v>
      </c>
      <c r="E17" s="167">
        <f>'#9485.00 JF Ahern'!F23</f>
        <v>5973.26</v>
      </c>
      <c r="F17" s="166">
        <f>'#9485.00 JF Ahern'!H23</f>
        <v>2184.7399999999998</v>
      </c>
      <c r="G17" s="165"/>
    </row>
    <row r="18" spans="1:7" s="131" customFormat="1" ht="12.75" customHeight="1" x14ac:dyDescent="0.25">
      <c r="A18" s="161"/>
      <c r="B18" s="162" t="s">
        <v>173</v>
      </c>
      <c r="C18" s="164"/>
      <c r="D18" s="167">
        <f>'#9485.00 DCI Group (2)'!D23</f>
        <v>310847.46999999997</v>
      </c>
      <c r="E18" s="167">
        <f>'#9485.00 DCI Group (2)'!F23</f>
        <v>148410.53</v>
      </c>
      <c r="F18" s="166">
        <f>'#9485.00 DCI Group (2)'!H23</f>
        <v>162436.93999999997</v>
      </c>
      <c r="G18" s="165"/>
    </row>
    <row r="19" spans="1:7" s="131" customFormat="1" ht="12.75" customHeight="1" x14ac:dyDescent="0.25">
      <c r="A19" s="161"/>
      <c r="B19" s="162" t="s">
        <v>198</v>
      </c>
      <c r="C19" s="164"/>
      <c r="D19" s="167">
        <f>'#9485.00 IA Prison Industries'!D19</f>
        <v>143808.82</v>
      </c>
      <c r="E19" s="167">
        <f>'#9485.00 IA Prison Industries'!F19</f>
        <v>6739.1399999999994</v>
      </c>
      <c r="F19" s="166">
        <f>'#9485.00 IA Prison Industries'!H19</f>
        <v>137069.68</v>
      </c>
      <c r="G19" s="165"/>
    </row>
    <row r="20" spans="1:7" s="131" customFormat="1" ht="12.75" customHeight="1" x14ac:dyDescent="0.25">
      <c r="A20" s="161"/>
      <c r="B20" s="162"/>
      <c r="C20" s="164"/>
      <c r="D20" s="167"/>
      <c r="E20" s="167"/>
      <c r="F20" s="166"/>
      <c r="G20" s="165"/>
    </row>
    <row r="21" spans="1:7" ht="24" customHeight="1" thickBot="1" x14ac:dyDescent="0.3">
      <c r="A21" s="22"/>
      <c r="B21" s="23" t="s">
        <v>10</v>
      </c>
      <c r="C21" s="24">
        <f>SUM(C8:C20)</f>
        <v>5000000</v>
      </c>
      <c r="D21" s="24">
        <f>SUM(D8:D20)</f>
        <v>3449528.8799999994</v>
      </c>
      <c r="E21" s="24">
        <f>SUM(E8:E20)</f>
        <v>1858521.07</v>
      </c>
      <c r="F21" s="24">
        <f>SUM(D21-E21)</f>
        <v>1591007.8099999994</v>
      </c>
      <c r="G21" s="24">
        <f>C8-D21</f>
        <v>1550471.1200000006</v>
      </c>
    </row>
    <row r="22" spans="1:7" ht="15" customHeight="1" thickTop="1" x14ac:dyDescent="0.25"/>
  </sheetData>
  <pageMargins left="0.25" right="0.25" top="1.1334375000000001" bottom="0.75" header="0.09" footer="0.3"/>
  <pageSetup scale="88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1C09-B22E-424F-8DDE-193BE8E67B71}">
  <sheetPr codeName="Sheet176">
    <pageSetUpPr fitToPage="1"/>
  </sheetPr>
  <dimension ref="A1:I30"/>
  <sheetViews>
    <sheetView zoomScaleNormal="100" workbookViewId="0">
      <selection activeCell="M19" sqref="M19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68</v>
      </c>
      <c r="B4" s="28"/>
      <c r="C4" s="29"/>
      <c r="D4" s="30" t="s">
        <v>70</v>
      </c>
      <c r="E4" s="25"/>
      <c r="F4" s="25"/>
      <c r="G4" s="25"/>
      <c r="H4" s="26"/>
      <c r="I4" s="26"/>
    </row>
    <row r="5" spans="1:9" ht="15.75" x14ac:dyDescent="0.25">
      <c r="A5" s="31" t="s">
        <v>69</v>
      </c>
      <c r="B5" s="32"/>
      <c r="C5" s="33"/>
      <c r="D5" s="34" t="s">
        <v>71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72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 t="s">
        <v>1</v>
      </c>
    </row>
    <row r="9" spans="1:9" s="131" customFormat="1" ht="12.75" customHeight="1" x14ac:dyDescent="0.25">
      <c r="A9" s="127" t="s">
        <v>78</v>
      </c>
      <c r="B9" s="125">
        <v>45874</v>
      </c>
      <c r="C9" s="135" t="s">
        <v>73</v>
      </c>
      <c r="D9" s="136">
        <v>54560</v>
      </c>
      <c r="E9" s="137">
        <f>D9</f>
        <v>54560</v>
      </c>
      <c r="F9" s="138"/>
      <c r="G9" s="138"/>
      <c r="H9" s="138">
        <f>E9</f>
        <v>54560</v>
      </c>
      <c r="I9" s="139"/>
    </row>
    <row r="10" spans="1:9" s="131" customFormat="1" ht="12.75" customHeight="1" x14ac:dyDescent="0.25">
      <c r="A10" s="127" t="s">
        <v>101</v>
      </c>
      <c r="B10" s="140">
        <v>45913</v>
      </c>
      <c r="C10" s="135" t="s">
        <v>102</v>
      </c>
      <c r="D10" s="137"/>
      <c r="E10" s="137">
        <f t="shared" ref="E10:E21" si="0">E9+D10</f>
        <v>54560</v>
      </c>
      <c r="F10" s="129">
        <v>22506</v>
      </c>
      <c r="G10" s="138">
        <f t="shared" ref="G10:G21" si="1">G9+F10</f>
        <v>22506</v>
      </c>
      <c r="H10" s="138">
        <f t="shared" ref="H10:H21" si="2">H9-F10+D10</f>
        <v>32054</v>
      </c>
      <c r="I10" s="139"/>
    </row>
    <row r="11" spans="1:9" s="131" customFormat="1" ht="12.75" customHeight="1" x14ac:dyDescent="0.25">
      <c r="A11" s="127" t="s">
        <v>197</v>
      </c>
      <c r="B11" s="125">
        <v>46055</v>
      </c>
      <c r="C11" s="135" t="s">
        <v>150</v>
      </c>
      <c r="D11" s="137"/>
      <c r="E11" s="137">
        <f t="shared" si="0"/>
        <v>54560</v>
      </c>
      <c r="F11" s="129">
        <v>18632.240000000002</v>
      </c>
      <c r="G11" s="138">
        <f t="shared" si="1"/>
        <v>41138.240000000005</v>
      </c>
      <c r="H11" s="138">
        <f t="shared" si="2"/>
        <v>13421.759999999998</v>
      </c>
      <c r="I11" s="139"/>
    </row>
    <row r="12" spans="1:9" s="131" customFormat="1" ht="12.75" customHeight="1" x14ac:dyDescent="0.25">
      <c r="A12" s="127" t="s">
        <v>231</v>
      </c>
      <c r="B12" s="125">
        <v>46091</v>
      </c>
      <c r="C12" s="135" t="s">
        <v>178</v>
      </c>
      <c r="D12" s="137"/>
      <c r="E12" s="137">
        <f t="shared" si="0"/>
        <v>54560</v>
      </c>
      <c r="F12" s="129">
        <v>2455.1999999999998</v>
      </c>
      <c r="G12" s="138">
        <f t="shared" si="1"/>
        <v>43593.440000000002</v>
      </c>
      <c r="H12" s="138">
        <f t="shared" si="2"/>
        <v>10966.559999999998</v>
      </c>
      <c r="I12" s="139"/>
    </row>
    <row r="13" spans="1:9" s="131" customFormat="1" ht="12.75" customHeight="1" x14ac:dyDescent="0.25">
      <c r="A13" s="127" t="s">
        <v>267</v>
      </c>
      <c r="B13" s="125">
        <v>46149</v>
      </c>
      <c r="C13" s="135" t="s">
        <v>268</v>
      </c>
      <c r="D13" s="137"/>
      <c r="E13" s="137">
        <f t="shared" si="0"/>
        <v>54560</v>
      </c>
      <c r="F13" s="129">
        <v>2455.1999999999998</v>
      </c>
      <c r="G13" s="138">
        <f t="shared" si="1"/>
        <v>46048.639999999999</v>
      </c>
      <c r="H13" s="138">
        <f t="shared" si="2"/>
        <v>8511.3599999999969</v>
      </c>
      <c r="I13" s="139"/>
    </row>
    <row r="14" spans="1:9" s="131" customFormat="1" ht="12.75" customHeight="1" x14ac:dyDescent="0.25">
      <c r="A14" s="127" t="s">
        <v>282</v>
      </c>
      <c r="B14" s="125">
        <v>46176</v>
      </c>
      <c r="C14" s="135" t="s">
        <v>283</v>
      </c>
      <c r="D14" s="137"/>
      <c r="E14" s="137">
        <f t="shared" si="0"/>
        <v>54560</v>
      </c>
      <c r="F14" s="129">
        <v>4419.3599999999997</v>
      </c>
      <c r="G14" s="138">
        <f t="shared" si="1"/>
        <v>50468</v>
      </c>
      <c r="H14" s="138">
        <f t="shared" si="2"/>
        <v>4091.9999999999973</v>
      </c>
      <c r="I14" s="139"/>
    </row>
    <row r="15" spans="1:9" s="131" customFormat="1" ht="12.75" customHeight="1" x14ac:dyDescent="0.25">
      <c r="A15" s="127"/>
      <c r="B15" s="125"/>
      <c r="C15" s="135"/>
      <c r="D15" s="137"/>
      <c r="E15" s="137">
        <f t="shared" si="0"/>
        <v>54560</v>
      </c>
      <c r="F15" s="141"/>
      <c r="G15" s="138">
        <f t="shared" si="1"/>
        <v>50468</v>
      </c>
      <c r="H15" s="138">
        <f t="shared" si="2"/>
        <v>4091.9999999999973</v>
      </c>
      <c r="I15" s="139"/>
    </row>
    <row r="16" spans="1:9" s="131" customFormat="1" ht="12.75" customHeight="1" x14ac:dyDescent="0.25">
      <c r="A16" s="127"/>
      <c r="B16" s="125"/>
      <c r="C16" s="135"/>
      <c r="D16" s="137"/>
      <c r="E16" s="137">
        <f t="shared" si="0"/>
        <v>54560</v>
      </c>
      <c r="F16" s="141"/>
      <c r="G16" s="138">
        <f t="shared" si="1"/>
        <v>50468</v>
      </c>
      <c r="H16" s="138">
        <f t="shared" si="2"/>
        <v>4091.9999999999973</v>
      </c>
      <c r="I16" s="139"/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54560</v>
      </c>
      <c r="F17" s="141"/>
      <c r="G17" s="138">
        <f t="shared" si="1"/>
        <v>50468</v>
      </c>
      <c r="H17" s="138">
        <f t="shared" si="2"/>
        <v>4091.9999999999973</v>
      </c>
      <c r="I17" s="139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54560</v>
      </c>
      <c r="F18" s="141"/>
      <c r="G18" s="138">
        <f t="shared" si="1"/>
        <v>50468</v>
      </c>
      <c r="H18" s="138">
        <f t="shared" si="2"/>
        <v>4091.9999999999973</v>
      </c>
      <c r="I18" s="139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54560</v>
      </c>
      <c r="F19" s="138"/>
      <c r="G19" s="138">
        <f t="shared" si="1"/>
        <v>50468</v>
      </c>
      <c r="H19" s="138">
        <f t="shared" si="2"/>
        <v>4091.9999999999973</v>
      </c>
      <c r="I19" s="139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54560</v>
      </c>
      <c r="F20" s="138"/>
      <c r="G20" s="138">
        <f t="shared" si="1"/>
        <v>50468</v>
      </c>
      <c r="H20" s="138">
        <f t="shared" si="2"/>
        <v>4091.9999999999973</v>
      </c>
      <c r="I20" s="139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54560</v>
      </c>
      <c r="F21" s="138"/>
      <c r="G21" s="138">
        <f t="shared" si="1"/>
        <v>50468</v>
      </c>
      <c r="H21" s="138">
        <f t="shared" si="2"/>
        <v>4091.9999999999973</v>
      </c>
      <c r="I21" s="139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54560</v>
      </c>
      <c r="E23" s="171"/>
      <c r="F23" s="171">
        <f>SUM(F9:F22)</f>
        <v>50468</v>
      </c>
      <c r="G23" s="171"/>
      <c r="H23" s="171">
        <f>D23-F23</f>
        <v>4092</v>
      </c>
      <c r="I23" s="139"/>
    </row>
    <row r="24" spans="1:9" s="131" customFormat="1" ht="12.75" customHeight="1" thickTop="1" x14ac:dyDescent="0.25">
      <c r="A24" s="127"/>
      <c r="B24" s="135"/>
      <c r="C24" s="168"/>
      <c r="D24" s="138"/>
      <c r="E24" s="138"/>
      <c r="F24" s="138"/>
      <c r="G24" s="138"/>
      <c r="H24" s="138"/>
      <c r="I24" s="139"/>
    </row>
    <row r="25" spans="1:9" s="131" customFormat="1" ht="12.75" customHeight="1" x14ac:dyDescent="0.25">
      <c r="A25" s="127"/>
      <c r="B25" s="135"/>
      <c r="C25" s="168"/>
      <c r="D25" s="138"/>
      <c r="E25" s="138"/>
      <c r="F25" s="138"/>
      <c r="G25" s="138"/>
      <c r="H25" s="138"/>
      <c r="I25" s="139"/>
    </row>
    <row r="26" spans="1:9" s="131" customFormat="1" ht="12.75" customHeight="1" x14ac:dyDescent="0.25">
      <c r="A26" s="127"/>
      <c r="B26" s="135"/>
      <c r="C26" s="168" t="s">
        <v>75</v>
      </c>
      <c r="D26" s="138">
        <v>30008</v>
      </c>
      <c r="E26" s="138"/>
      <c r="F26" s="138">
        <f>22506+7502</f>
        <v>30008</v>
      </c>
      <c r="G26" s="138"/>
      <c r="H26" s="138">
        <f t="shared" ref="H26:H28" si="3">D26-F26</f>
        <v>0</v>
      </c>
      <c r="I26" s="139"/>
    </row>
    <row r="27" spans="1:9" s="131" customFormat="1" ht="12.75" customHeight="1" x14ac:dyDescent="0.25">
      <c r="A27" s="127"/>
      <c r="B27" s="135"/>
      <c r="C27" s="168" t="s">
        <v>76</v>
      </c>
      <c r="D27" s="138">
        <v>8184</v>
      </c>
      <c r="E27" s="138"/>
      <c r="F27" s="138">
        <f>8184</f>
        <v>8184</v>
      </c>
      <c r="G27" s="138"/>
      <c r="H27" s="138">
        <f t="shared" si="3"/>
        <v>0</v>
      </c>
      <c r="I27" s="139"/>
    </row>
    <row r="28" spans="1:9" s="131" customFormat="1" ht="12.75" customHeight="1" x14ac:dyDescent="0.25">
      <c r="A28" s="127"/>
      <c r="B28" s="135"/>
      <c r="C28" s="168" t="s">
        <v>77</v>
      </c>
      <c r="D28" s="172">
        <v>16368</v>
      </c>
      <c r="E28" s="138"/>
      <c r="F28" s="138">
        <f>2946.24+2455.2+2455.2+4419.36</f>
        <v>12276</v>
      </c>
      <c r="G28" s="138"/>
      <c r="H28" s="172">
        <f t="shared" si="3"/>
        <v>4092</v>
      </c>
      <c r="I28" s="139"/>
    </row>
    <row r="29" spans="1:9" s="131" customFormat="1" ht="12.75" customHeight="1" thickBot="1" x14ac:dyDescent="0.3">
      <c r="A29" s="127"/>
      <c r="B29" s="135"/>
      <c r="C29" s="173" t="s">
        <v>74</v>
      </c>
      <c r="D29" s="171">
        <f>SUM(D26:D28)</f>
        <v>54560</v>
      </c>
      <c r="E29" s="174"/>
      <c r="F29" s="171">
        <f>SUM(F26:F28)</f>
        <v>50468</v>
      </c>
      <c r="G29" s="174"/>
      <c r="H29" s="171">
        <f>SUM(H26:H28)</f>
        <v>4092</v>
      </c>
      <c r="I29" s="139"/>
    </row>
    <row r="30" spans="1:9" s="131" customFormat="1" ht="12.75" customHeight="1" thickTop="1" x14ac:dyDescent="0.25"/>
  </sheetData>
  <pageMargins left="0.25" right="0.25" top="0.95" bottom="0.75" header="0.09" footer="0.3"/>
  <pageSetup scale="75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2786-6298-4399-BB48-5E5531EFC162}">
  <sheetPr codeName="Sheet177">
    <pageSetUpPr fitToPage="1"/>
  </sheetPr>
  <dimension ref="A1:J35"/>
  <sheetViews>
    <sheetView topLeftCell="A18" zoomScaleNormal="100" workbookViewId="0">
      <selection activeCell="G38" sqref="G38"/>
    </sheetView>
  </sheetViews>
  <sheetFormatPr defaultColWidth="11.42578125" defaultRowHeight="15" customHeight="1" x14ac:dyDescent="0.25"/>
  <cols>
    <col min="1" max="1" width="24.5703125" customWidth="1"/>
    <col min="2" max="3" width="9.42578125" customWidth="1"/>
    <col min="4" max="4" width="37.140625" customWidth="1"/>
    <col min="5" max="5" width="12.5703125" customWidth="1"/>
    <col min="6" max="6" width="13.5703125" customWidth="1"/>
    <col min="7" max="7" width="12.42578125" customWidth="1"/>
    <col min="8" max="8" width="10.5703125" customWidth="1"/>
    <col min="9" max="9" width="15" customWidth="1"/>
    <col min="257" max="265" width="11.42578125" customWidth="1"/>
    <col min="513" max="521" width="11.42578125" customWidth="1"/>
    <col min="769" max="777" width="11.42578125" customWidth="1"/>
    <col min="1025" max="1033" width="11.42578125" customWidth="1"/>
    <col min="1281" max="1289" width="11.42578125" customWidth="1"/>
    <col min="1537" max="1545" width="11.42578125" customWidth="1"/>
    <col min="1793" max="1801" width="11.42578125" customWidth="1"/>
    <col min="2049" max="2057" width="11.42578125" customWidth="1"/>
    <col min="2305" max="2313" width="11.42578125" customWidth="1"/>
    <col min="2561" max="2569" width="11.42578125" customWidth="1"/>
    <col min="2817" max="2825" width="11.42578125" customWidth="1"/>
    <col min="3073" max="3081" width="11.42578125" customWidth="1"/>
    <col min="3329" max="3337" width="11.42578125" customWidth="1"/>
    <col min="3585" max="3593" width="11.42578125" customWidth="1"/>
    <col min="3841" max="3849" width="11.42578125" customWidth="1"/>
    <col min="4097" max="4105" width="11.42578125" customWidth="1"/>
    <col min="4353" max="4361" width="11.42578125" customWidth="1"/>
    <col min="4609" max="4617" width="11.42578125" customWidth="1"/>
    <col min="4865" max="4873" width="11.42578125" customWidth="1"/>
    <col min="5121" max="5129" width="11.42578125" customWidth="1"/>
    <col min="5377" max="5385" width="11.42578125" customWidth="1"/>
    <col min="5633" max="5641" width="11.42578125" customWidth="1"/>
    <col min="5889" max="5897" width="11.42578125" customWidth="1"/>
    <col min="6145" max="6153" width="11.42578125" customWidth="1"/>
    <col min="6401" max="6409" width="11.42578125" customWidth="1"/>
    <col min="6657" max="6665" width="11.42578125" customWidth="1"/>
    <col min="6913" max="6921" width="11.42578125" customWidth="1"/>
    <col min="7169" max="7177" width="11.42578125" customWidth="1"/>
    <col min="7425" max="7433" width="11.42578125" customWidth="1"/>
    <col min="7681" max="7689" width="11.42578125" customWidth="1"/>
    <col min="7937" max="7945" width="11.42578125" customWidth="1"/>
    <col min="8193" max="8201" width="11.42578125" customWidth="1"/>
    <col min="8449" max="8457" width="11.42578125" customWidth="1"/>
    <col min="8705" max="8713" width="11.42578125" customWidth="1"/>
    <col min="8961" max="8969" width="11.42578125" customWidth="1"/>
    <col min="9217" max="9225" width="11.42578125" customWidth="1"/>
    <col min="9473" max="9481" width="11.42578125" customWidth="1"/>
    <col min="9729" max="9737" width="11.42578125" customWidth="1"/>
    <col min="9985" max="9993" width="11.42578125" customWidth="1"/>
    <col min="10241" max="10249" width="11.42578125" customWidth="1"/>
    <col min="10497" max="10505" width="11.42578125" customWidth="1"/>
    <col min="10753" max="10761" width="11.42578125" customWidth="1"/>
    <col min="11009" max="11017" width="11.42578125" customWidth="1"/>
    <col min="11265" max="11273" width="11.42578125" customWidth="1"/>
    <col min="11521" max="11529" width="11.42578125" customWidth="1"/>
    <col min="11777" max="11785" width="11.42578125" customWidth="1"/>
    <col min="12033" max="12041" width="11.42578125" customWidth="1"/>
    <col min="12289" max="12297" width="11.42578125" customWidth="1"/>
    <col min="12545" max="12553" width="11.42578125" customWidth="1"/>
    <col min="12801" max="12809" width="11.42578125" customWidth="1"/>
    <col min="13057" max="13065" width="11.42578125" customWidth="1"/>
    <col min="13313" max="13321" width="11.42578125" customWidth="1"/>
    <col min="13569" max="13577" width="11.42578125" customWidth="1"/>
    <col min="13825" max="13833" width="11.42578125" customWidth="1"/>
    <col min="14081" max="14089" width="11.42578125" customWidth="1"/>
    <col min="14337" max="14345" width="11.42578125" customWidth="1"/>
    <col min="14593" max="14601" width="11.42578125" customWidth="1"/>
    <col min="14849" max="14857" width="11.42578125" customWidth="1"/>
    <col min="15105" max="15113" width="11.42578125" customWidth="1"/>
    <col min="15361" max="15369" width="11.42578125" customWidth="1"/>
    <col min="15617" max="15625" width="11.42578125" customWidth="1"/>
    <col min="15873" max="15881" width="11.42578125" customWidth="1"/>
    <col min="16129" max="16137" width="11.42578125" customWidth="1"/>
  </cols>
  <sheetData>
    <row r="1" spans="1:10" ht="24.75" customHeight="1" x14ac:dyDescent="0.25">
      <c r="A1" s="2" t="str">
        <f>'RECAP #9485.00'!B1</f>
        <v>DAS SHB Archives Storage Renovation</v>
      </c>
      <c r="B1" s="3"/>
      <c r="C1" s="3"/>
      <c r="D1" s="4"/>
      <c r="E1" s="4"/>
      <c r="F1" s="4"/>
      <c r="G1" s="25"/>
      <c r="H1" s="25"/>
      <c r="I1" s="26"/>
      <c r="J1" s="26"/>
    </row>
    <row r="2" spans="1:10" ht="15.75" x14ac:dyDescent="0.25">
      <c r="A2" s="6" t="str">
        <f>'RECAP #9485.00'!B2</f>
        <v>Project # 9485.00</v>
      </c>
      <c r="B2" s="5"/>
      <c r="C2" s="5"/>
      <c r="D2" s="4"/>
      <c r="E2" s="4"/>
      <c r="F2" s="4"/>
      <c r="G2" s="25"/>
      <c r="H2" s="25"/>
      <c r="I2" s="26"/>
      <c r="J2" s="26"/>
    </row>
    <row r="3" spans="1:10" ht="15.75" x14ac:dyDescent="0.25">
      <c r="A3" s="7" t="str">
        <f>'RECAP #9485.00'!B3</f>
        <v>Program code 948500</v>
      </c>
      <c r="B3" s="5"/>
      <c r="C3" s="5"/>
      <c r="D3" s="4"/>
      <c r="E3" s="8" t="str">
        <f>'RECAP #9485.00'!E3</f>
        <v>Major Program 3E01</v>
      </c>
      <c r="F3" s="4"/>
      <c r="G3" s="25"/>
      <c r="H3" s="25"/>
      <c r="I3" s="26"/>
      <c r="J3" s="26"/>
    </row>
    <row r="4" spans="1:10" ht="15.75" x14ac:dyDescent="0.25">
      <c r="A4" s="27" t="s">
        <v>8</v>
      </c>
      <c r="B4" s="28"/>
      <c r="C4" s="28"/>
      <c r="D4" s="29"/>
      <c r="E4" s="30" t="s">
        <v>20</v>
      </c>
      <c r="F4" s="25"/>
      <c r="G4" s="25"/>
      <c r="H4" s="25"/>
      <c r="I4" s="26"/>
      <c r="J4" s="26"/>
    </row>
    <row r="5" spans="1:10" ht="15.75" x14ac:dyDescent="0.25">
      <c r="A5" s="11"/>
      <c r="B5" s="32"/>
      <c r="C5" s="32"/>
      <c r="D5" s="33"/>
      <c r="E5" s="34"/>
      <c r="F5" s="35"/>
      <c r="G5" s="36"/>
      <c r="H5" s="36"/>
      <c r="I5" s="32"/>
      <c r="J5" s="26"/>
    </row>
    <row r="6" spans="1:10" ht="15.75" x14ac:dyDescent="0.25">
      <c r="A6" s="31" t="s">
        <v>66</v>
      </c>
      <c r="B6" s="11"/>
      <c r="C6" s="11"/>
      <c r="D6" s="37"/>
      <c r="E6" s="34" t="s">
        <v>122</v>
      </c>
      <c r="F6" s="39"/>
      <c r="G6" s="40"/>
      <c r="H6" s="36"/>
      <c r="I6" s="32"/>
      <c r="J6" s="26"/>
    </row>
    <row r="7" spans="1:10" ht="15.75" x14ac:dyDescent="0.25">
      <c r="A7" s="11" t="str">
        <f>'RECAP #9485.00'!B6</f>
        <v>Project Manager - Brandon A.</v>
      </c>
      <c r="B7" s="41"/>
      <c r="C7" s="41"/>
      <c r="D7" s="41"/>
      <c r="E7" s="40" t="s">
        <v>1</v>
      </c>
      <c r="F7" s="40"/>
      <c r="G7" s="40"/>
      <c r="H7" s="36"/>
      <c r="I7" s="32"/>
      <c r="J7" s="26" t="s">
        <v>1</v>
      </c>
    </row>
    <row r="8" spans="1:10" ht="32.25" thickBot="1" x14ac:dyDescent="0.3">
      <c r="A8" s="42" t="s">
        <v>11</v>
      </c>
      <c r="B8" s="43" t="s">
        <v>12</v>
      </c>
      <c r="C8" s="53" t="s">
        <v>22</v>
      </c>
      <c r="D8" s="44" t="s">
        <v>23</v>
      </c>
      <c r="E8" s="45" t="s">
        <v>14</v>
      </c>
      <c r="F8" s="45" t="s">
        <v>15</v>
      </c>
      <c r="G8" s="45" t="s">
        <v>16</v>
      </c>
      <c r="H8" s="45" t="s">
        <v>17</v>
      </c>
      <c r="I8" s="45" t="s">
        <v>18</v>
      </c>
      <c r="J8" s="26" t="s">
        <v>1</v>
      </c>
    </row>
    <row r="9" spans="1:10" s="131" customFormat="1" ht="12.75" customHeight="1" x14ac:dyDescent="0.25">
      <c r="A9" s="132"/>
      <c r="B9" s="125"/>
      <c r="C9" s="125"/>
      <c r="D9" s="168" t="s">
        <v>24</v>
      </c>
      <c r="E9" s="136">
        <v>60000</v>
      </c>
      <c r="F9" s="137">
        <f>E9</f>
        <v>60000</v>
      </c>
      <c r="G9" s="138"/>
      <c r="H9" s="138"/>
      <c r="I9" s="138">
        <f>F9</f>
        <v>60000</v>
      </c>
      <c r="J9" s="139"/>
    </row>
    <row r="10" spans="1:10" s="131" customFormat="1" ht="12.75" customHeight="1" x14ac:dyDescent="0.25">
      <c r="A10" s="124" t="s">
        <v>79</v>
      </c>
      <c r="B10" s="125">
        <v>45876</v>
      </c>
      <c r="C10" s="126">
        <v>2507</v>
      </c>
      <c r="D10" s="175" t="s">
        <v>80</v>
      </c>
      <c r="E10" s="137"/>
      <c r="F10" s="137">
        <f t="shared" ref="F10:F32" si="0">F9+E10</f>
        <v>60000</v>
      </c>
      <c r="G10" s="129">
        <f>53.86+77.29</f>
        <v>131.15</v>
      </c>
      <c r="H10" s="138">
        <f t="shared" ref="H10:H32" si="1">H9+G10</f>
        <v>131.15</v>
      </c>
      <c r="I10" s="138">
        <f t="shared" ref="I10:I32" si="2">I9-G10+E10</f>
        <v>59868.85</v>
      </c>
      <c r="J10" s="139"/>
    </row>
    <row r="11" spans="1:10" s="131" customFormat="1" ht="12.75" customHeight="1" x14ac:dyDescent="0.25">
      <c r="A11" s="124" t="s">
        <v>79</v>
      </c>
      <c r="B11" s="125">
        <v>45876</v>
      </c>
      <c r="C11" s="126">
        <v>9500</v>
      </c>
      <c r="D11" s="176" t="s">
        <v>81</v>
      </c>
      <c r="E11" s="137"/>
      <c r="F11" s="137">
        <f t="shared" si="0"/>
        <v>60000</v>
      </c>
      <c r="G11" s="129">
        <f>91.5+1348.6</f>
        <v>1440.1</v>
      </c>
      <c r="H11" s="138">
        <f t="shared" si="1"/>
        <v>1571.25</v>
      </c>
      <c r="I11" s="138">
        <f t="shared" si="2"/>
        <v>58428.75</v>
      </c>
      <c r="J11" s="139"/>
    </row>
    <row r="12" spans="1:10" s="131" customFormat="1" ht="12.75" customHeight="1" x14ac:dyDescent="0.25">
      <c r="A12" s="124" t="s">
        <v>103</v>
      </c>
      <c r="B12" s="125">
        <v>45908</v>
      </c>
      <c r="C12" s="126">
        <v>2507</v>
      </c>
      <c r="D12" s="175" t="s">
        <v>104</v>
      </c>
      <c r="F12" s="137">
        <f t="shared" si="0"/>
        <v>60000</v>
      </c>
      <c r="G12" s="129">
        <f>157.12+226.5</f>
        <v>383.62</v>
      </c>
      <c r="H12" s="138">
        <f t="shared" si="1"/>
        <v>1954.87</v>
      </c>
      <c r="I12" s="138">
        <f t="shared" si="2"/>
        <v>58045.13</v>
      </c>
      <c r="J12" s="139"/>
    </row>
    <row r="13" spans="1:10" s="131" customFormat="1" ht="12.75" customHeight="1" x14ac:dyDescent="0.25">
      <c r="A13" s="124" t="s">
        <v>103</v>
      </c>
      <c r="B13" s="125">
        <v>45908</v>
      </c>
      <c r="C13" s="126">
        <v>9500</v>
      </c>
      <c r="D13" s="176" t="s">
        <v>105</v>
      </c>
      <c r="F13" s="137">
        <f t="shared" si="0"/>
        <v>60000</v>
      </c>
      <c r="G13" s="129">
        <f>179+2774.2</f>
        <v>2953.2</v>
      </c>
      <c r="H13" s="138">
        <f t="shared" si="1"/>
        <v>4908.07</v>
      </c>
      <c r="I13" s="138">
        <f t="shared" si="2"/>
        <v>55091.93</v>
      </c>
      <c r="J13" s="139"/>
    </row>
    <row r="14" spans="1:10" s="131" customFormat="1" ht="12.75" customHeight="1" x14ac:dyDescent="0.25">
      <c r="A14" s="124" t="s">
        <v>110</v>
      </c>
      <c r="B14" s="125">
        <v>45937</v>
      </c>
      <c r="C14" s="126" t="s">
        <v>111</v>
      </c>
      <c r="D14" s="175" t="s">
        <v>112</v>
      </c>
      <c r="E14" s="137"/>
      <c r="F14" s="137">
        <f t="shared" si="0"/>
        <v>60000</v>
      </c>
      <c r="G14" s="129">
        <v>793.19</v>
      </c>
      <c r="H14" s="138">
        <f t="shared" si="1"/>
        <v>5701.26</v>
      </c>
      <c r="I14" s="138">
        <f t="shared" si="2"/>
        <v>54298.74</v>
      </c>
      <c r="J14" s="139"/>
    </row>
    <row r="15" spans="1:10" s="131" customFormat="1" ht="12.75" customHeight="1" x14ac:dyDescent="0.25">
      <c r="A15" s="124" t="s">
        <v>110</v>
      </c>
      <c r="B15" s="125">
        <v>45937</v>
      </c>
      <c r="C15" s="126">
        <v>9500</v>
      </c>
      <c r="D15" s="176" t="s">
        <v>113</v>
      </c>
      <c r="E15" s="137"/>
      <c r="F15" s="137">
        <f t="shared" si="0"/>
        <v>60000</v>
      </c>
      <c r="G15" s="129">
        <v>4075.6</v>
      </c>
      <c r="H15" s="138">
        <f t="shared" si="1"/>
        <v>9776.86</v>
      </c>
      <c r="I15" s="138">
        <f t="shared" si="2"/>
        <v>50223.14</v>
      </c>
      <c r="J15" s="139"/>
    </row>
    <row r="16" spans="1:10" s="131" customFormat="1" ht="12.75" customHeight="1" x14ac:dyDescent="0.25">
      <c r="A16" s="124" t="s">
        <v>130</v>
      </c>
      <c r="B16" s="125">
        <v>45968</v>
      </c>
      <c r="C16" s="126" t="s">
        <v>111</v>
      </c>
      <c r="D16" s="175" t="s">
        <v>131</v>
      </c>
      <c r="E16" s="137"/>
      <c r="F16" s="137">
        <f t="shared" si="0"/>
        <v>60000</v>
      </c>
      <c r="G16" s="129">
        <v>55.09</v>
      </c>
      <c r="H16" s="138">
        <f t="shared" si="1"/>
        <v>9831.9500000000007</v>
      </c>
      <c r="I16" s="138">
        <f t="shared" si="2"/>
        <v>50168.05</v>
      </c>
      <c r="J16" s="139"/>
    </row>
    <row r="17" spans="1:10" s="131" customFormat="1" ht="12.75" customHeight="1" x14ac:dyDescent="0.25">
      <c r="A17" s="124" t="s">
        <v>130</v>
      </c>
      <c r="B17" s="125">
        <v>45968</v>
      </c>
      <c r="C17" s="126">
        <v>9500</v>
      </c>
      <c r="D17" s="176" t="s">
        <v>132</v>
      </c>
      <c r="E17" s="137"/>
      <c r="F17" s="137">
        <f t="shared" si="0"/>
        <v>60000</v>
      </c>
      <c r="G17" s="129">
        <v>2513.1999999999998</v>
      </c>
      <c r="H17" s="138">
        <f t="shared" si="1"/>
        <v>12345.150000000001</v>
      </c>
      <c r="I17" s="138">
        <f t="shared" si="2"/>
        <v>47654.850000000006</v>
      </c>
      <c r="J17" s="139"/>
    </row>
    <row r="18" spans="1:10" s="131" customFormat="1" ht="12.75" customHeight="1" x14ac:dyDescent="0.2">
      <c r="A18" s="187" t="s">
        <v>162</v>
      </c>
      <c r="B18" s="188">
        <v>45996</v>
      </c>
      <c r="C18" s="189" t="s">
        <v>111</v>
      </c>
      <c r="D18" s="190" t="s">
        <v>163</v>
      </c>
      <c r="E18" s="137"/>
      <c r="F18" s="137">
        <f t="shared" si="0"/>
        <v>60000</v>
      </c>
      <c r="G18" s="129">
        <v>607.13</v>
      </c>
      <c r="H18" s="138">
        <f t="shared" si="1"/>
        <v>12952.28</v>
      </c>
      <c r="I18" s="138">
        <f t="shared" si="2"/>
        <v>47047.720000000008</v>
      </c>
      <c r="J18" s="139"/>
    </row>
    <row r="19" spans="1:10" s="131" customFormat="1" ht="12.75" customHeight="1" x14ac:dyDescent="0.2">
      <c r="A19" s="187" t="s">
        <v>162</v>
      </c>
      <c r="B19" s="188">
        <v>45996</v>
      </c>
      <c r="C19" s="191">
        <v>9500</v>
      </c>
      <c r="D19" s="192" t="s">
        <v>164</v>
      </c>
      <c r="E19" s="137"/>
      <c r="F19" s="137">
        <f t="shared" si="0"/>
        <v>60000</v>
      </c>
      <c r="G19" s="129">
        <v>2770.2</v>
      </c>
      <c r="H19" s="138">
        <f t="shared" si="1"/>
        <v>15722.48</v>
      </c>
      <c r="I19" s="138">
        <f t="shared" si="2"/>
        <v>44277.520000000011</v>
      </c>
      <c r="J19" s="139"/>
    </row>
    <row r="20" spans="1:10" s="131" customFormat="1" ht="12.75" customHeight="1" x14ac:dyDescent="0.2">
      <c r="A20" s="187" t="s">
        <v>183</v>
      </c>
      <c r="B20" s="188">
        <v>46030</v>
      </c>
      <c r="C20" s="189" t="s">
        <v>111</v>
      </c>
      <c r="D20" s="190" t="s">
        <v>184</v>
      </c>
      <c r="E20" s="137"/>
      <c r="F20" s="137">
        <f t="shared" si="0"/>
        <v>60000</v>
      </c>
      <c r="G20" s="129">
        <f>96.14+98.71</f>
        <v>194.85</v>
      </c>
      <c r="H20" s="138">
        <f t="shared" si="1"/>
        <v>15917.33</v>
      </c>
      <c r="I20" s="138">
        <f t="shared" si="2"/>
        <v>44082.670000000013</v>
      </c>
      <c r="J20" s="139"/>
    </row>
    <row r="21" spans="1:10" s="131" customFormat="1" ht="12.75" customHeight="1" x14ac:dyDescent="0.2">
      <c r="A21" s="187" t="s">
        <v>183</v>
      </c>
      <c r="B21" s="188">
        <v>46030</v>
      </c>
      <c r="C21" s="191">
        <v>9500</v>
      </c>
      <c r="D21" s="192" t="s">
        <v>185</v>
      </c>
      <c r="E21" s="137"/>
      <c r="F21" s="137">
        <f t="shared" si="0"/>
        <v>60000</v>
      </c>
      <c r="G21" s="129">
        <f>131.5+2079</f>
        <v>2210.5</v>
      </c>
      <c r="H21" s="138">
        <f t="shared" si="1"/>
        <v>18127.830000000002</v>
      </c>
      <c r="I21" s="138">
        <f t="shared" si="2"/>
        <v>41872.170000000013</v>
      </c>
      <c r="J21" s="139"/>
    </row>
    <row r="22" spans="1:10" s="131" customFormat="1" ht="12.75" customHeight="1" x14ac:dyDescent="0.2">
      <c r="A22" s="187" t="s">
        <v>211</v>
      </c>
      <c r="B22" s="188">
        <v>46062</v>
      </c>
      <c r="C22" s="189" t="s">
        <v>111</v>
      </c>
      <c r="D22" s="190" t="s">
        <v>212</v>
      </c>
      <c r="E22" s="137"/>
      <c r="F22" s="137">
        <f t="shared" si="0"/>
        <v>60000</v>
      </c>
      <c r="G22" s="129">
        <v>278.33999999999997</v>
      </c>
      <c r="H22" s="138">
        <f t="shared" si="1"/>
        <v>18406.170000000002</v>
      </c>
      <c r="I22" s="138">
        <f t="shared" si="2"/>
        <v>41593.830000000016</v>
      </c>
      <c r="J22" s="139"/>
    </row>
    <row r="23" spans="1:10" s="131" customFormat="1" ht="12.75" customHeight="1" x14ac:dyDescent="0.2">
      <c r="A23" s="187" t="s">
        <v>211</v>
      </c>
      <c r="B23" s="188">
        <v>46062</v>
      </c>
      <c r="C23" s="191">
        <v>9500</v>
      </c>
      <c r="D23" s="192" t="s">
        <v>213</v>
      </c>
      <c r="E23" s="137"/>
      <c r="F23" s="137">
        <f t="shared" si="0"/>
        <v>60000</v>
      </c>
      <c r="G23" s="129">
        <v>3459.4</v>
      </c>
      <c r="H23" s="138">
        <f t="shared" si="1"/>
        <v>21865.570000000003</v>
      </c>
      <c r="I23" s="138">
        <f t="shared" si="2"/>
        <v>38134.430000000015</v>
      </c>
      <c r="J23" s="139"/>
    </row>
    <row r="24" spans="1:10" s="131" customFormat="1" ht="12.75" customHeight="1" x14ac:dyDescent="0.2">
      <c r="A24" s="187" t="s">
        <v>226</v>
      </c>
      <c r="B24" s="188">
        <v>46090</v>
      </c>
      <c r="C24" s="189" t="s">
        <v>111</v>
      </c>
      <c r="D24" s="190" t="s">
        <v>227</v>
      </c>
      <c r="E24" s="137"/>
      <c r="F24" s="137">
        <f t="shared" si="0"/>
        <v>60000</v>
      </c>
      <c r="G24" s="129">
        <f>95.7+83.41</f>
        <v>179.11</v>
      </c>
      <c r="H24" s="138">
        <f t="shared" si="1"/>
        <v>22044.680000000004</v>
      </c>
      <c r="I24" s="138">
        <f t="shared" si="2"/>
        <v>37955.320000000014</v>
      </c>
      <c r="J24" s="139"/>
    </row>
    <row r="25" spans="1:10" s="131" customFormat="1" ht="12.75" customHeight="1" x14ac:dyDescent="0.2">
      <c r="A25" s="187" t="s">
        <v>226</v>
      </c>
      <c r="B25" s="188">
        <v>46090</v>
      </c>
      <c r="C25" s="191">
        <v>9500</v>
      </c>
      <c r="D25" s="192" t="s">
        <v>228</v>
      </c>
      <c r="E25" s="137"/>
      <c r="F25" s="137">
        <f t="shared" si="0"/>
        <v>60000</v>
      </c>
      <c r="G25" s="129">
        <v>2065.6</v>
      </c>
      <c r="H25" s="138">
        <f t="shared" si="1"/>
        <v>24110.280000000002</v>
      </c>
      <c r="I25" s="138">
        <f t="shared" si="2"/>
        <v>35889.720000000016</v>
      </c>
      <c r="J25" s="139"/>
    </row>
    <row r="26" spans="1:10" s="131" customFormat="1" ht="12.75" customHeight="1" x14ac:dyDescent="0.2">
      <c r="A26" s="187" t="s">
        <v>246</v>
      </c>
      <c r="B26" s="188">
        <v>46118</v>
      </c>
      <c r="C26" s="189" t="s">
        <v>111</v>
      </c>
      <c r="D26" s="190" t="s">
        <v>251</v>
      </c>
      <c r="E26" s="137"/>
      <c r="F26" s="137">
        <f t="shared" si="0"/>
        <v>60000</v>
      </c>
      <c r="G26" s="129">
        <v>232.65</v>
      </c>
      <c r="H26" s="138">
        <f t="shared" si="1"/>
        <v>24342.930000000004</v>
      </c>
      <c r="I26" s="138">
        <f t="shared" si="2"/>
        <v>35657.070000000014</v>
      </c>
      <c r="J26" s="139"/>
    </row>
    <row r="27" spans="1:10" s="131" customFormat="1" ht="12.75" customHeight="1" x14ac:dyDescent="0.2">
      <c r="A27" s="187" t="s">
        <v>246</v>
      </c>
      <c r="B27" s="188">
        <v>46118</v>
      </c>
      <c r="C27" s="191">
        <v>9500</v>
      </c>
      <c r="D27" s="192" t="s">
        <v>252</v>
      </c>
      <c r="E27" s="137"/>
      <c r="F27" s="137">
        <f t="shared" si="0"/>
        <v>60000</v>
      </c>
      <c r="G27" s="129">
        <v>1904.1</v>
      </c>
      <c r="H27" s="138">
        <f t="shared" si="1"/>
        <v>26247.030000000002</v>
      </c>
      <c r="I27" s="138">
        <f t="shared" si="2"/>
        <v>33752.970000000016</v>
      </c>
      <c r="J27" s="139"/>
    </row>
    <row r="28" spans="1:10" s="131" customFormat="1" ht="12.75" customHeight="1" x14ac:dyDescent="0.2">
      <c r="A28" s="187" t="s">
        <v>271</v>
      </c>
      <c r="B28" s="188">
        <v>46149</v>
      </c>
      <c r="C28" s="189" t="s">
        <v>111</v>
      </c>
      <c r="D28" s="190" t="s">
        <v>272</v>
      </c>
      <c r="E28" s="137"/>
      <c r="F28" s="137">
        <f t="shared" si="0"/>
        <v>60000</v>
      </c>
      <c r="G28" s="129">
        <v>254.07</v>
      </c>
      <c r="H28" s="138">
        <f t="shared" si="1"/>
        <v>26501.100000000002</v>
      </c>
      <c r="I28" s="138">
        <f t="shared" si="2"/>
        <v>33498.900000000016</v>
      </c>
      <c r="J28" s="139"/>
    </row>
    <row r="29" spans="1:10" s="131" customFormat="1" ht="12.75" customHeight="1" x14ac:dyDescent="0.2">
      <c r="A29" s="187" t="s">
        <v>271</v>
      </c>
      <c r="B29" s="188">
        <v>46149</v>
      </c>
      <c r="C29" s="191">
        <v>9500</v>
      </c>
      <c r="D29" s="192" t="s">
        <v>273</v>
      </c>
      <c r="E29" s="137"/>
      <c r="F29" s="137">
        <f t="shared" si="0"/>
        <v>60000</v>
      </c>
      <c r="G29" s="129">
        <v>2651.1</v>
      </c>
      <c r="H29" s="138">
        <f t="shared" si="1"/>
        <v>29152.2</v>
      </c>
      <c r="I29" s="138">
        <f t="shared" si="2"/>
        <v>30847.800000000017</v>
      </c>
      <c r="J29" s="139"/>
    </row>
    <row r="30" spans="1:10" s="131" customFormat="1" ht="12.75" customHeight="1" x14ac:dyDescent="0.2">
      <c r="A30" s="187" t="s">
        <v>288</v>
      </c>
      <c r="B30" s="188">
        <v>46181</v>
      </c>
      <c r="C30" s="189" t="s">
        <v>111</v>
      </c>
      <c r="D30" s="190" t="s">
        <v>289</v>
      </c>
      <c r="E30" s="137"/>
      <c r="F30" s="137">
        <f t="shared" si="0"/>
        <v>60000</v>
      </c>
      <c r="G30" s="129">
        <v>135.66999999999999</v>
      </c>
      <c r="H30" s="138">
        <f t="shared" si="1"/>
        <v>29287.87</v>
      </c>
      <c r="I30" s="138">
        <f t="shared" si="2"/>
        <v>30712.130000000019</v>
      </c>
      <c r="J30" s="139"/>
    </row>
    <row r="31" spans="1:10" s="131" customFormat="1" ht="12.75" customHeight="1" x14ac:dyDescent="0.2">
      <c r="A31" s="187" t="s">
        <v>288</v>
      </c>
      <c r="B31" s="188">
        <v>46181</v>
      </c>
      <c r="C31" s="191">
        <v>9500</v>
      </c>
      <c r="D31" s="192" t="s">
        <v>290</v>
      </c>
      <c r="E31" s="137"/>
      <c r="F31" s="137">
        <f t="shared" si="0"/>
        <v>60000</v>
      </c>
      <c r="G31" s="129">
        <v>1661.2</v>
      </c>
      <c r="H31" s="138">
        <f t="shared" si="1"/>
        <v>30949.07</v>
      </c>
      <c r="I31" s="138">
        <f t="shared" si="2"/>
        <v>29050.930000000018</v>
      </c>
      <c r="J31" s="139"/>
    </row>
    <row r="32" spans="1:10" s="131" customFormat="1" x14ac:dyDescent="0.2">
      <c r="A32" s="187"/>
      <c r="B32" s="188"/>
      <c r="C32" s="191"/>
      <c r="D32" s="192"/>
      <c r="E32" s="137"/>
      <c r="F32" s="137">
        <f t="shared" si="0"/>
        <v>60000</v>
      </c>
      <c r="G32" s="129"/>
      <c r="H32" s="138">
        <f t="shared" si="1"/>
        <v>30949.07</v>
      </c>
      <c r="I32" s="138">
        <f t="shared" si="2"/>
        <v>29050.930000000018</v>
      </c>
      <c r="J32" s="139"/>
    </row>
    <row r="33" spans="1:10" s="131" customFormat="1" ht="12.75" customHeight="1" x14ac:dyDescent="0.25">
      <c r="A33" s="127"/>
      <c r="B33" s="135"/>
      <c r="C33" s="126"/>
      <c r="D33" s="168"/>
      <c r="E33" s="138"/>
      <c r="F33" s="138"/>
      <c r="G33" s="138"/>
      <c r="H33" s="138"/>
      <c r="I33" s="138"/>
      <c r="J33" s="139"/>
    </row>
    <row r="34" spans="1:10" ht="15.75" thickBot="1" x14ac:dyDescent="0.3">
      <c r="A34" s="51"/>
      <c r="B34" s="48"/>
      <c r="C34" s="123"/>
      <c r="D34" s="49" t="s">
        <v>19</v>
      </c>
      <c r="E34" s="50">
        <f>SUM(E9:E33)</f>
        <v>60000</v>
      </c>
      <c r="F34" s="50"/>
      <c r="G34" s="50">
        <f>SUM(G9:G33)</f>
        <v>30949.07</v>
      </c>
      <c r="H34" s="50"/>
      <c r="I34" s="50">
        <f>E34-G34</f>
        <v>29050.93</v>
      </c>
      <c r="J34" s="46"/>
    </row>
    <row r="35" spans="1:10" ht="15" customHeight="1" thickTop="1" x14ac:dyDescent="0.25"/>
  </sheetData>
  <pageMargins left="0.25" right="0.25" top="0.95" bottom="0.75" header="0.09" footer="0.3"/>
  <pageSetup scale="65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597A-6E53-47D4-9CE4-09E4FB820458}">
  <sheetPr codeName="Sheet178">
    <pageSetUpPr fitToPage="1"/>
  </sheetPr>
  <dimension ref="A1:H42"/>
  <sheetViews>
    <sheetView topLeftCell="A10" zoomScaleNormal="100" workbookViewId="0">
      <selection activeCell="J48" sqref="J48"/>
    </sheetView>
  </sheetViews>
  <sheetFormatPr defaultColWidth="11.42578125" defaultRowHeight="15" customHeight="1" x14ac:dyDescent="0.25"/>
  <cols>
    <col min="1" max="1" width="23" customWidth="1"/>
    <col min="2" max="2" width="11" customWidth="1"/>
    <col min="3" max="3" width="8.5703125" customWidth="1"/>
    <col min="4" max="4" width="11.42578125" customWidth="1"/>
    <col min="5" max="5" width="38.42578125" customWidth="1"/>
    <col min="6" max="6" width="28" bestFit="1" customWidth="1"/>
    <col min="7" max="7" width="12.42578125" customWidth="1"/>
    <col min="8" max="8" width="15.42578125" customWidth="1"/>
    <col min="257" max="259" width="11.42578125" customWidth="1"/>
    <col min="261" max="264" width="11.42578125" customWidth="1"/>
    <col min="513" max="515" width="11.42578125" customWidth="1"/>
    <col min="517" max="520" width="11.42578125" customWidth="1"/>
    <col min="769" max="771" width="11.42578125" customWidth="1"/>
    <col min="773" max="776" width="11.42578125" customWidth="1"/>
    <col min="1025" max="1027" width="11.42578125" customWidth="1"/>
    <col min="1029" max="1032" width="11.42578125" customWidth="1"/>
    <col min="1281" max="1283" width="11.42578125" customWidth="1"/>
    <col min="1285" max="1288" width="11.42578125" customWidth="1"/>
    <col min="1537" max="1539" width="11.42578125" customWidth="1"/>
    <col min="1541" max="1544" width="11.42578125" customWidth="1"/>
    <col min="1793" max="1795" width="11.42578125" customWidth="1"/>
    <col min="1797" max="1800" width="11.42578125" customWidth="1"/>
    <col min="2049" max="2051" width="11.42578125" customWidth="1"/>
    <col min="2053" max="2056" width="11.42578125" customWidth="1"/>
    <col min="2305" max="2307" width="11.42578125" customWidth="1"/>
    <col min="2309" max="2312" width="11.42578125" customWidth="1"/>
    <col min="2561" max="2563" width="11.42578125" customWidth="1"/>
    <col min="2565" max="2568" width="11.42578125" customWidth="1"/>
    <col min="2817" max="2819" width="11.42578125" customWidth="1"/>
    <col min="2821" max="2824" width="11.42578125" customWidth="1"/>
    <col min="3073" max="3075" width="11.42578125" customWidth="1"/>
    <col min="3077" max="3080" width="11.42578125" customWidth="1"/>
    <col min="3329" max="3331" width="11.42578125" customWidth="1"/>
    <col min="3333" max="3336" width="11.42578125" customWidth="1"/>
    <col min="3585" max="3587" width="11.42578125" customWidth="1"/>
    <col min="3589" max="3592" width="11.42578125" customWidth="1"/>
    <col min="3841" max="3843" width="11.42578125" customWidth="1"/>
    <col min="3845" max="3848" width="11.42578125" customWidth="1"/>
    <col min="4097" max="4099" width="11.42578125" customWidth="1"/>
    <col min="4101" max="4104" width="11.42578125" customWidth="1"/>
    <col min="4353" max="4355" width="11.42578125" customWidth="1"/>
    <col min="4357" max="4360" width="11.42578125" customWidth="1"/>
    <col min="4609" max="4611" width="11.42578125" customWidth="1"/>
    <col min="4613" max="4616" width="11.42578125" customWidth="1"/>
    <col min="4865" max="4867" width="11.42578125" customWidth="1"/>
    <col min="4869" max="4872" width="11.42578125" customWidth="1"/>
    <col min="5121" max="5123" width="11.42578125" customWidth="1"/>
    <col min="5125" max="5128" width="11.42578125" customWidth="1"/>
    <col min="5377" max="5379" width="11.42578125" customWidth="1"/>
    <col min="5381" max="5384" width="11.42578125" customWidth="1"/>
    <col min="5633" max="5635" width="11.42578125" customWidth="1"/>
    <col min="5637" max="5640" width="11.42578125" customWidth="1"/>
    <col min="5889" max="5891" width="11.42578125" customWidth="1"/>
    <col min="5893" max="5896" width="11.42578125" customWidth="1"/>
    <col min="6145" max="6147" width="11.42578125" customWidth="1"/>
    <col min="6149" max="6152" width="11.42578125" customWidth="1"/>
    <col min="6401" max="6403" width="11.42578125" customWidth="1"/>
    <col min="6405" max="6408" width="11.42578125" customWidth="1"/>
    <col min="6657" max="6659" width="11.42578125" customWidth="1"/>
    <col min="6661" max="6664" width="11.42578125" customWidth="1"/>
    <col min="6913" max="6915" width="11.42578125" customWidth="1"/>
    <col min="6917" max="6920" width="11.42578125" customWidth="1"/>
    <col min="7169" max="7171" width="11.42578125" customWidth="1"/>
    <col min="7173" max="7176" width="11.42578125" customWidth="1"/>
    <col min="7425" max="7427" width="11.42578125" customWidth="1"/>
    <col min="7429" max="7432" width="11.42578125" customWidth="1"/>
    <col min="7681" max="7683" width="11.42578125" customWidth="1"/>
    <col min="7685" max="7688" width="11.42578125" customWidth="1"/>
    <col min="7937" max="7939" width="11.42578125" customWidth="1"/>
    <col min="7941" max="7944" width="11.42578125" customWidth="1"/>
    <col min="8193" max="8195" width="11.42578125" customWidth="1"/>
    <col min="8197" max="8200" width="11.42578125" customWidth="1"/>
    <col min="8449" max="8451" width="11.42578125" customWidth="1"/>
    <col min="8453" max="8456" width="11.42578125" customWidth="1"/>
    <col min="8705" max="8707" width="11.42578125" customWidth="1"/>
    <col min="8709" max="8712" width="11.42578125" customWidth="1"/>
    <col min="8961" max="8963" width="11.42578125" customWidth="1"/>
    <col min="8965" max="8968" width="11.42578125" customWidth="1"/>
    <col min="9217" max="9219" width="11.42578125" customWidth="1"/>
    <col min="9221" max="9224" width="11.42578125" customWidth="1"/>
    <col min="9473" max="9475" width="11.42578125" customWidth="1"/>
    <col min="9477" max="9480" width="11.42578125" customWidth="1"/>
    <col min="9729" max="9731" width="11.42578125" customWidth="1"/>
    <col min="9733" max="9736" width="11.42578125" customWidth="1"/>
    <col min="9985" max="9987" width="11.42578125" customWidth="1"/>
    <col min="9989" max="9992" width="11.42578125" customWidth="1"/>
    <col min="10241" max="10243" width="11.42578125" customWidth="1"/>
    <col min="10245" max="10248" width="11.42578125" customWidth="1"/>
    <col min="10497" max="10499" width="11.42578125" customWidth="1"/>
    <col min="10501" max="10504" width="11.42578125" customWidth="1"/>
    <col min="10753" max="10755" width="11.42578125" customWidth="1"/>
    <col min="10757" max="10760" width="11.42578125" customWidth="1"/>
    <col min="11009" max="11011" width="11.42578125" customWidth="1"/>
    <col min="11013" max="11016" width="11.42578125" customWidth="1"/>
    <col min="11265" max="11267" width="11.42578125" customWidth="1"/>
    <col min="11269" max="11272" width="11.42578125" customWidth="1"/>
    <col min="11521" max="11523" width="11.42578125" customWidth="1"/>
    <col min="11525" max="11528" width="11.42578125" customWidth="1"/>
    <col min="11777" max="11779" width="11.42578125" customWidth="1"/>
    <col min="11781" max="11784" width="11.42578125" customWidth="1"/>
    <col min="12033" max="12035" width="11.42578125" customWidth="1"/>
    <col min="12037" max="12040" width="11.42578125" customWidth="1"/>
    <col min="12289" max="12291" width="11.42578125" customWidth="1"/>
    <col min="12293" max="12296" width="11.42578125" customWidth="1"/>
    <col min="12545" max="12547" width="11.42578125" customWidth="1"/>
    <col min="12549" max="12552" width="11.42578125" customWidth="1"/>
    <col min="12801" max="12803" width="11.42578125" customWidth="1"/>
    <col min="12805" max="12808" width="11.42578125" customWidth="1"/>
    <col min="13057" max="13059" width="11.42578125" customWidth="1"/>
    <col min="13061" max="13064" width="11.42578125" customWidth="1"/>
    <col min="13313" max="13315" width="11.42578125" customWidth="1"/>
    <col min="13317" max="13320" width="11.42578125" customWidth="1"/>
    <col min="13569" max="13571" width="11.42578125" customWidth="1"/>
    <col min="13573" max="13576" width="11.42578125" customWidth="1"/>
    <col min="13825" max="13827" width="11.42578125" customWidth="1"/>
    <col min="13829" max="13832" width="11.42578125" customWidth="1"/>
    <col min="14081" max="14083" width="11.42578125" customWidth="1"/>
    <col min="14085" max="14088" width="11.42578125" customWidth="1"/>
    <col min="14337" max="14339" width="11.42578125" customWidth="1"/>
    <col min="14341" max="14344" width="11.42578125" customWidth="1"/>
    <col min="14593" max="14595" width="11.42578125" customWidth="1"/>
    <col min="14597" max="14600" width="11.42578125" customWidth="1"/>
    <col min="14849" max="14851" width="11.42578125" customWidth="1"/>
    <col min="14853" max="14856" width="11.42578125" customWidth="1"/>
    <col min="15105" max="15107" width="11.42578125" customWidth="1"/>
    <col min="15109" max="15112" width="11.42578125" customWidth="1"/>
    <col min="15361" max="15363" width="11.42578125" customWidth="1"/>
    <col min="15365" max="15368" width="11.42578125" customWidth="1"/>
    <col min="15617" max="15619" width="11.42578125" customWidth="1"/>
    <col min="15621" max="15624" width="11.42578125" customWidth="1"/>
    <col min="15873" max="15875" width="11.42578125" customWidth="1"/>
    <col min="15877" max="15880" width="11.42578125" customWidth="1"/>
    <col min="16129" max="16131" width="11.42578125" customWidth="1"/>
    <col min="16133" max="16136" width="11.42578125" customWidth="1"/>
  </cols>
  <sheetData>
    <row r="1" spans="1:8" ht="24.75" customHeight="1" x14ac:dyDescent="0.25">
      <c r="A1" s="2" t="str">
        <f>'RECAP #9485.00'!B1</f>
        <v>DAS SHB Archives Storage Renovation</v>
      </c>
      <c r="B1" s="3"/>
      <c r="C1" s="3"/>
      <c r="D1" s="3"/>
      <c r="E1" s="4"/>
      <c r="F1" s="4"/>
      <c r="G1" s="4"/>
      <c r="H1" s="25"/>
    </row>
    <row r="2" spans="1:8" ht="15.75" x14ac:dyDescent="0.25">
      <c r="A2" s="6" t="str">
        <f>'RECAP #9485.00'!B2</f>
        <v>Project # 9485.00</v>
      </c>
      <c r="B2" s="5"/>
      <c r="C2" s="5"/>
      <c r="D2" s="5"/>
      <c r="E2" s="4"/>
      <c r="F2" s="4"/>
      <c r="G2" s="4"/>
      <c r="H2" s="25"/>
    </row>
    <row r="3" spans="1:8" ht="15.75" x14ac:dyDescent="0.25">
      <c r="A3" s="7" t="str">
        <f>'RECAP #9485.00'!B3</f>
        <v>Program code 948500</v>
      </c>
      <c r="B3" s="5"/>
      <c r="C3" s="5"/>
      <c r="D3" s="5"/>
      <c r="E3" s="8" t="str">
        <f>'RECAP #9485.00'!E3</f>
        <v>Major Program 3E01</v>
      </c>
      <c r="F3" s="5"/>
      <c r="G3" s="4"/>
      <c r="H3" s="25"/>
    </row>
    <row r="4" spans="1:8" ht="15.75" x14ac:dyDescent="0.25">
      <c r="A4" s="54" t="s">
        <v>25</v>
      </c>
      <c r="B4" s="55"/>
      <c r="C4" s="55"/>
      <c r="D4" s="55"/>
      <c r="E4" s="30"/>
      <c r="F4" s="5"/>
      <c r="G4" s="25"/>
      <c r="H4" s="25"/>
    </row>
    <row r="5" spans="1:8" ht="15.75" x14ac:dyDescent="0.25">
      <c r="A5" s="11"/>
      <c r="B5" s="32"/>
      <c r="C5" s="32"/>
      <c r="D5" s="32"/>
      <c r="E5" s="56" t="s">
        <v>26</v>
      </c>
      <c r="F5" s="5"/>
      <c r="G5" s="35"/>
      <c r="H5" s="36"/>
    </row>
    <row r="6" spans="1:8" ht="15.75" x14ac:dyDescent="0.25">
      <c r="A6" s="31" t="s">
        <v>67</v>
      </c>
      <c r="B6" s="11"/>
      <c r="C6" s="11"/>
      <c r="D6" s="11"/>
      <c r="E6" s="8" t="s">
        <v>121</v>
      </c>
      <c r="F6" s="32"/>
      <c r="G6" s="35"/>
      <c r="H6" s="36"/>
    </row>
    <row r="7" spans="1:8" ht="15.75" x14ac:dyDescent="0.25">
      <c r="A7" s="11" t="str">
        <f>'RECAP #9485.00'!B6</f>
        <v>Project Manager - Brandon A.</v>
      </c>
      <c r="B7" s="41"/>
      <c r="C7" s="41"/>
      <c r="D7" s="41"/>
      <c r="E7" s="41"/>
      <c r="F7" s="5"/>
      <c r="G7" s="36"/>
      <c r="H7" s="36"/>
    </row>
    <row r="8" spans="1:8" ht="32.25" thickBot="1" x14ac:dyDescent="0.3">
      <c r="A8" s="42" t="s">
        <v>27</v>
      </c>
      <c r="B8" s="43" t="s">
        <v>12</v>
      </c>
      <c r="C8" s="53" t="s">
        <v>22</v>
      </c>
      <c r="D8" s="53" t="s">
        <v>23</v>
      </c>
      <c r="E8" s="44" t="s">
        <v>13</v>
      </c>
      <c r="F8" s="45" t="s">
        <v>28</v>
      </c>
      <c r="G8" s="45" t="s">
        <v>16</v>
      </c>
      <c r="H8" s="45" t="s">
        <v>17</v>
      </c>
    </row>
    <row r="9" spans="1:8" s="131" customFormat="1" ht="14.25" customHeight="1" x14ac:dyDescent="0.25">
      <c r="A9" s="124" t="s">
        <v>103</v>
      </c>
      <c r="B9" s="125">
        <v>45908</v>
      </c>
      <c r="C9" s="126">
        <v>2507</v>
      </c>
      <c r="D9" s="127"/>
      <c r="E9" s="124" t="s">
        <v>262</v>
      </c>
      <c r="F9" s="128" t="s">
        <v>106</v>
      </c>
      <c r="G9" s="129">
        <v>166.25</v>
      </c>
      <c r="H9" s="130">
        <f>G9</f>
        <v>166.25</v>
      </c>
    </row>
    <row r="10" spans="1:8" s="131" customFormat="1" ht="12.75" customHeight="1" x14ac:dyDescent="0.25">
      <c r="A10" s="124" t="s">
        <v>110</v>
      </c>
      <c r="B10" s="125">
        <v>45937</v>
      </c>
      <c r="C10" s="132" t="s">
        <v>111</v>
      </c>
      <c r="D10" s="125"/>
      <c r="E10" s="133" t="s">
        <v>134</v>
      </c>
      <c r="F10" s="128" t="s">
        <v>128</v>
      </c>
      <c r="G10" s="129">
        <v>855</v>
      </c>
      <c r="H10" s="130">
        <f>H9+G10</f>
        <v>1021.25</v>
      </c>
    </row>
    <row r="11" spans="1:8" s="131" customFormat="1" ht="12.75" customHeight="1" x14ac:dyDescent="0.25">
      <c r="A11" s="124" t="s">
        <v>116</v>
      </c>
      <c r="B11" s="125">
        <v>45939</v>
      </c>
      <c r="C11" s="132">
        <v>9255</v>
      </c>
      <c r="D11" s="125" t="s">
        <v>119</v>
      </c>
      <c r="E11" s="133" t="s">
        <v>114</v>
      </c>
      <c r="F11" s="134" t="s">
        <v>115</v>
      </c>
      <c r="G11" s="129">
        <v>236.1</v>
      </c>
      <c r="H11" s="130">
        <f t="shared" ref="H11:H39" si="0">H10+G11</f>
        <v>1257.3499999999999</v>
      </c>
    </row>
    <row r="12" spans="1:8" s="131" customFormat="1" ht="12.75" customHeight="1" x14ac:dyDescent="0.25">
      <c r="A12" s="124" t="s">
        <v>141</v>
      </c>
      <c r="B12" s="125">
        <v>45968</v>
      </c>
      <c r="C12" s="132">
        <v>9500</v>
      </c>
      <c r="D12" s="125" t="s">
        <v>119</v>
      </c>
      <c r="E12" s="133" t="s">
        <v>129</v>
      </c>
      <c r="F12" s="134" t="s">
        <v>102</v>
      </c>
      <c r="G12" s="129">
        <v>3750</v>
      </c>
      <c r="H12" s="130">
        <f t="shared" si="0"/>
        <v>5007.3500000000004</v>
      </c>
    </row>
    <row r="13" spans="1:8" s="131" customFormat="1" ht="12.75" customHeight="1" x14ac:dyDescent="0.25">
      <c r="A13" s="124" t="s">
        <v>130</v>
      </c>
      <c r="B13" s="125">
        <v>45968</v>
      </c>
      <c r="C13" s="132" t="s">
        <v>111</v>
      </c>
      <c r="D13" s="125"/>
      <c r="E13" s="124" t="s">
        <v>263</v>
      </c>
      <c r="F13" s="128" t="s">
        <v>133</v>
      </c>
      <c r="G13" s="129">
        <v>1615</v>
      </c>
      <c r="H13" s="130">
        <f t="shared" si="0"/>
        <v>6622.35</v>
      </c>
    </row>
    <row r="14" spans="1:8" s="131" customFormat="1" ht="12.75" customHeight="1" x14ac:dyDescent="0.25">
      <c r="A14" s="124" t="s">
        <v>130</v>
      </c>
      <c r="B14" s="125">
        <v>45968</v>
      </c>
      <c r="C14" s="132" t="s">
        <v>111</v>
      </c>
      <c r="D14" s="125"/>
      <c r="E14" s="124" t="s">
        <v>264</v>
      </c>
      <c r="F14" s="128" t="s">
        <v>133</v>
      </c>
      <c r="G14" s="129">
        <v>247.67</v>
      </c>
      <c r="H14" s="130">
        <f t="shared" si="0"/>
        <v>6870.02</v>
      </c>
    </row>
    <row r="15" spans="1:8" s="131" customFormat="1" ht="12.75" customHeight="1" x14ac:dyDescent="0.25">
      <c r="A15" s="124" t="s">
        <v>137</v>
      </c>
      <c r="B15" s="125">
        <v>45973</v>
      </c>
      <c r="C15" s="132" t="s">
        <v>138</v>
      </c>
      <c r="D15" s="125" t="s">
        <v>119</v>
      </c>
      <c r="E15" s="133" t="s">
        <v>135</v>
      </c>
      <c r="F15" s="134" t="s">
        <v>136</v>
      </c>
      <c r="G15" s="129">
        <v>117</v>
      </c>
      <c r="H15" s="130">
        <f t="shared" si="0"/>
        <v>6987.02</v>
      </c>
    </row>
    <row r="16" spans="1:8" s="131" customFormat="1" ht="12.75" customHeight="1" x14ac:dyDescent="0.25">
      <c r="A16" s="124" t="s">
        <v>140</v>
      </c>
      <c r="B16" s="125">
        <v>45974</v>
      </c>
      <c r="C16" s="132">
        <v>9500</v>
      </c>
      <c r="D16" s="125" t="s">
        <v>119</v>
      </c>
      <c r="E16" s="133" t="s">
        <v>157</v>
      </c>
      <c r="F16" s="134" t="s">
        <v>139</v>
      </c>
      <c r="G16" s="129">
        <v>1000</v>
      </c>
      <c r="H16" s="130">
        <f t="shared" si="0"/>
        <v>7987.02</v>
      </c>
    </row>
    <row r="17" spans="1:8" s="131" customFormat="1" ht="12.75" customHeight="1" x14ac:dyDescent="0.25">
      <c r="A17" s="127" t="s">
        <v>143</v>
      </c>
      <c r="B17" s="125">
        <v>45974</v>
      </c>
      <c r="C17" s="132">
        <v>9500</v>
      </c>
      <c r="D17" s="125" t="s">
        <v>119</v>
      </c>
      <c r="E17" s="133" t="s">
        <v>142</v>
      </c>
      <c r="F17" s="134" t="s">
        <v>144</v>
      </c>
      <c r="G17" s="129">
        <v>8362.5</v>
      </c>
      <c r="H17" s="130">
        <f t="shared" si="0"/>
        <v>16349.52</v>
      </c>
    </row>
    <row r="18" spans="1:8" s="131" customFormat="1" ht="12.75" customHeight="1" x14ac:dyDescent="0.25">
      <c r="A18" s="127" t="s">
        <v>149</v>
      </c>
      <c r="B18" s="125">
        <v>45986</v>
      </c>
      <c r="C18" s="132">
        <v>9500</v>
      </c>
      <c r="D18" s="125" t="s">
        <v>119</v>
      </c>
      <c r="E18" s="133" t="s">
        <v>148</v>
      </c>
      <c r="F18" s="134" t="s">
        <v>147</v>
      </c>
      <c r="G18" s="129">
        <v>322.60000000000002</v>
      </c>
      <c r="H18" s="130">
        <f t="shared" si="0"/>
        <v>16672.12</v>
      </c>
    </row>
    <row r="19" spans="1:8" s="131" customFormat="1" ht="12.75" customHeight="1" x14ac:dyDescent="0.25">
      <c r="A19" s="127" t="s">
        <v>151</v>
      </c>
      <c r="B19" s="125">
        <v>45995</v>
      </c>
      <c r="C19" s="132">
        <v>9500</v>
      </c>
      <c r="D19" s="125" t="s">
        <v>119</v>
      </c>
      <c r="E19" s="133" t="s">
        <v>129</v>
      </c>
      <c r="F19" s="134" t="s">
        <v>150</v>
      </c>
      <c r="G19" s="129">
        <v>3750</v>
      </c>
      <c r="H19" s="130">
        <f t="shared" si="0"/>
        <v>20422.12</v>
      </c>
    </row>
    <row r="20" spans="1:8" s="131" customFormat="1" ht="12.75" customHeight="1" x14ac:dyDescent="0.25">
      <c r="A20" s="127" t="s">
        <v>156</v>
      </c>
      <c r="B20" s="125">
        <v>46003</v>
      </c>
      <c r="C20" s="132">
        <v>9500</v>
      </c>
      <c r="D20" s="125" t="s">
        <v>119</v>
      </c>
      <c r="E20" s="133" t="s">
        <v>157</v>
      </c>
      <c r="F20" s="134" t="s">
        <v>150</v>
      </c>
      <c r="G20" s="129">
        <v>1000</v>
      </c>
      <c r="H20" s="130">
        <f t="shared" si="0"/>
        <v>21422.12</v>
      </c>
    </row>
    <row r="21" spans="1:8" s="131" customFormat="1" ht="12.75" customHeight="1" x14ac:dyDescent="0.25">
      <c r="A21" s="127" t="s">
        <v>177</v>
      </c>
      <c r="B21" s="125">
        <v>46024</v>
      </c>
      <c r="C21" s="132">
        <v>9500</v>
      </c>
      <c r="D21" s="125" t="s">
        <v>119</v>
      </c>
      <c r="E21" s="133" t="s">
        <v>129</v>
      </c>
      <c r="F21" s="134" t="s">
        <v>178</v>
      </c>
      <c r="G21" s="129">
        <v>3750</v>
      </c>
      <c r="H21" s="130">
        <f t="shared" si="0"/>
        <v>25172.12</v>
      </c>
    </row>
    <row r="22" spans="1:8" s="131" customFormat="1" ht="12.75" customHeight="1" x14ac:dyDescent="0.25">
      <c r="A22" s="127" t="s">
        <v>179</v>
      </c>
      <c r="B22" s="125">
        <v>46031</v>
      </c>
      <c r="C22" s="132" t="s">
        <v>180</v>
      </c>
      <c r="D22" s="125" t="s">
        <v>119</v>
      </c>
      <c r="E22" s="133" t="s">
        <v>181</v>
      </c>
      <c r="F22" s="134" t="s">
        <v>182</v>
      </c>
      <c r="G22" s="129">
        <v>503.22</v>
      </c>
      <c r="H22" s="130">
        <f t="shared" si="0"/>
        <v>25675.34</v>
      </c>
    </row>
    <row r="23" spans="1:8" s="131" customFormat="1" ht="12.75" customHeight="1" x14ac:dyDescent="0.2">
      <c r="A23" s="187" t="s">
        <v>183</v>
      </c>
      <c r="B23" s="188">
        <v>46030</v>
      </c>
      <c r="C23" s="189" t="s">
        <v>111</v>
      </c>
      <c r="D23" s="125"/>
      <c r="E23" s="133" t="s">
        <v>187</v>
      </c>
      <c r="F23" s="134" t="s">
        <v>186</v>
      </c>
      <c r="G23" s="129">
        <v>1068.75</v>
      </c>
      <c r="H23" s="130">
        <f t="shared" si="0"/>
        <v>26744.09</v>
      </c>
    </row>
    <row r="24" spans="1:8" s="131" customFormat="1" ht="12.75" customHeight="1" x14ac:dyDescent="0.25">
      <c r="A24" s="127" t="s">
        <v>194</v>
      </c>
      <c r="B24" s="125">
        <v>46051</v>
      </c>
      <c r="C24" s="132" t="s">
        <v>180</v>
      </c>
      <c r="D24" s="125" t="s">
        <v>119</v>
      </c>
      <c r="E24" s="133" t="s">
        <v>193</v>
      </c>
      <c r="F24" s="134" t="s">
        <v>192</v>
      </c>
      <c r="G24" s="129">
        <v>1592</v>
      </c>
      <c r="H24" s="130">
        <f t="shared" si="0"/>
        <v>28336.09</v>
      </c>
    </row>
    <row r="25" spans="1:8" s="131" customFormat="1" ht="12.75" customHeight="1" x14ac:dyDescent="0.25">
      <c r="A25" s="127" t="s">
        <v>195</v>
      </c>
      <c r="B25" s="125">
        <v>46051</v>
      </c>
      <c r="C25" s="132">
        <v>9500</v>
      </c>
      <c r="D25" s="125" t="s">
        <v>119</v>
      </c>
      <c r="E25" s="133" t="s">
        <v>129</v>
      </c>
      <c r="F25" s="134" t="s">
        <v>196</v>
      </c>
      <c r="G25" s="129">
        <v>3750</v>
      </c>
      <c r="H25" s="130">
        <f t="shared" si="0"/>
        <v>32086.09</v>
      </c>
    </row>
    <row r="26" spans="1:8" s="131" customFormat="1" ht="12.75" customHeight="1" x14ac:dyDescent="0.25">
      <c r="A26" s="127" t="s">
        <v>206</v>
      </c>
      <c r="B26" s="125">
        <v>46058</v>
      </c>
      <c r="C26" s="132">
        <v>9500</v>
      </c>
      <c r="D26" s="125" t="s">
        <v>119</v>
      </c>
      <c r="E26" s="133" t="s">
        <v>205</v>
      </c>
      <c r="F26" s="134" t="s">
        <v>204</v>
      </c>
      <c r="G26" s="129">
        <v>2518</v>
      </c>
      <c r="H26" s="130">
        <f t="shared" si="0"/>
        <v>34604.089999999997</v>
      </c>
    </row>
    <row r="27" spans="1:8" s="131" customFormat="1" ht="12.75" customHeight="1" x14ac:dyDescent="0.25">
      <c r="A27" s="127" t="s">
        <v>215</v>
      </c>
      <c r="B27" s="125">
        <v>46069</v>
      </c>
      <c r="C27" s="132">
        <v>9500</v>
      </c>
      <c r="D27" s="125" t="s">
        <v>119</v>
      </c>
      <c r="E27" s="133" t="s">
        <v>142</v>
      </c>
      <c r="F27" s="133" t="s">
        <v>214</v>
      </c>
      <c r="G27" s="129">
        <v>21554.5</v>
      </c>
      <c r="H27" s="130">
        <f t="shared" si="0"/>
        <v>56158.59</v>
      </c>
    </row>
    <row r="28" spans="1:8" s="131" customFormat="1" ht="12.75" customHeight="1" x14ac:dyDescent="0.2">
      <c r="A28" s="187" t="s">
        <v>226</v>
      </c>
      <c r="B28" s="125">
        <v>46090</v>
      </c>
      <c r="C28" s="132" t="s">
        <v>111</v>
      </c>
      <c r="D28" s="125"/>
      <c r="E28" s="133" t="s">
        <v>229</v>
      </c>
      <c r="F28" s="134" t="s">
        <v>230</v>
      </c>
      <c r="G28" s="129">
        <v>285</v>
      </c>
      <c r="H28" s="130">
        <f t="shared" si="0"/>
        <v>56443.59</v>
      </c>
    </row>
    <row r="29" spans="1:8" s="131" customFormat="1" ht="12.75" customHeight="1" x14ac:dyDescent="0.25">
      <c r="A29" s="127" t="s">
        <v>232</v>
      </c>
      <c r="B29" s="125">
        <v>46097</v>
      </c>
      <c r="C29" s="132">
        <v>9500</v>
      </c>
      <c r="D29" s="125" t="s">
        <v>119</v>
      </c>
      <c r="E29" s="133" t="s">
        <v>142</v>
      </c>
      <c r="F29" s="133" t="s">
        <v>233</v>
      </c>
      <c r="G29" s="129">
        <v>28553.3</v>
      </c>
      <c r="H29" s="130">
        <f t="shared" si="0"/>
        <v>84996.89</v>
      </c>
    </row>
    <row r="30" spans="1:8" s="131" customFormat="1" ht="12.75" customHeight="1" x14ac:dyDescent="0.25">
      <c r="A30" s="127" t="s">
        <v>237</v>
      </c>
      <c r="B30" s="125">
        <v>46101</v>
      </c>
      <c r="C30" s="132">
        <v>9500</v>
      </c>
      <c r="D30" s="125" t="s">
        <v>119</v>
      </c>
      <c r="E30" s="133" t="s">
        <v>129</v>
      </c>
      <c r="F30" s="133" t="s">
        <v>236</v>
      </c>
      <c r="G30" s="129">
        <v>7500</v>
      </c>
      <c r="H30" s="130">
        <f t="shared" si="0"/>
        <v>92496.89</v>
      </c>
    </row>
    <row r="31" spans="1:8" s="131" customFormat="1" ht="12.75" customHeight="1" x14ac:dyDescent="0.25">
      <c r="A31" s="127" t="s">
        <v>241</v>
      </c>
      <c r="B31" s="125">
        <v>46104</v>
      </c>
      <c r="C31" s="132">
        <v>9500</v>
      </c>
      <c r="D31" s="125" t="s">
        <v>119</v>
      </c>
      <c r="E31" s="133" t="s">
        <v>242</v>
      </c>
      <c r="F31" s="133" t="s">
        <v>240</v>
      </c>
      <c r="G31" s="129">
        <v>4750</v>
      </c>
      <c r="H31" s="130">
        <f t="shared" si="0"/>
        <v>97246.89</v>
      </c>
    </row>
    <row r="32" spans="1:8" s="131" customFormat="1" ht="12.75" customHeight="1" x14ac:dyDescent="0.25">
      <c r="A32" s="127" t="s">
        <v>245</v>
      </c>
      <c r="B32" s="125">
        <v>46104</v>
      </c>
      <c r="C32" s="132" t="s">
        <v>180</v>
      </c>
      <c r="D32" s="125" t="s">
        <v>119</v>
      </c>
      <c r="E32" s="133" t="s">
        <v>244</v>
      </c>
      <c r="F32" s="133" t="s">
        <v>243</v>
      </c>
      <c r="G32" s="129">
        <v>5177.5</v>
      </c>
      <c r="H32" s="130">
        <f t="shared" si="0"/>
        <v>102424.39</v>
      </c>
    </row>
    <row r="33" spans="1:8" s="131" customFormat="1" ht="12.75" customHeight="1" x14ac:dyDescent="0.25">
      <c r="A33" s="187" t="s">
        <v>246</v>
      </c>
      <c r="B33" s="188">
        <v>46118</v>
      </c>
      <c r="C33" s="189" t="s">
        <v>111</v>
      </c>
      <c r="D33" s="125"/>
      <c r="E33" t="s">
        <v>247</v>
      </c>
      <c r="F33" s="133" t="s">
        <v>248</v>
      </c>
      <c r="G33" s="129">
        <v>361.77</v>
      </c>
      <c r="H33" s="130">
        <f t="shared" si="0"/>
        <v>102786.16</v>
      </c>
    </row>
    <row r="34" spans="1:8" s="131" customFormat="1" ht="12.75" customHeight="1" x14ac:dyDescent="0.25">
      <c r="A34" s="187" t="s">
        <v>246</v>
      </c>
      <c r="B34" s="188">
        <v>46118</v>
      </c>
      <c r="C34" s="189" t="s">
        <v>111</v>
      </c>
      <c r="D34" s="125"/>
      <c r="E34" t="s">
        <v>249</v>
      </c>
      <c r="F34" s="133" t="s">
        <v>248</v>
      </c>
      <c r="G34" s="129">
        <v>148.30000000000001</v>
      </c>
      <c r="H34" s="130">
        <f t="shared" si="0"/>
        <v>102934.46</v>
      </c>
    </row>
    <row r="35" spans="1:8" s="131" customFormat="1" ht="12.75" customHeight="1" x14ac:dyDescent="0.25">
      <c r="A35" s="187" t="s">
        <v>246</v>
      </c>
      <c r="B35" s="188">
        <v>46118</v>
      </c>
      <c r="C35" s="189" t="s">
        <v>111</v>
      </c>
      <c r="D35" s="125"/>
      <c r="E35" t="s">
        <v>250</v>
      </c>
      <c r="F35" s="133" t="s">
        <v>248</v>
      </c>
      <c r="G35" s="129">
        <v>142.5</v>
      </c>
      <c r="H35" s="130">
        <f t="shared" si="0"/>
        <v>103076.96</v>
      </c>
    </row>
    <row r="36" spans="1:8" s="131" customFormat="1" ht="12.75" customHeight="1" x14ac:dyDescent="0.25">
      <c r="A36" s="187" t="s">
        <v>271</v>
      </c>
      <c r="B36" s="188">
        <v>46149</v>
      </c>
      <c r="C36" s="189" t="s">
        <v>111</v>
      </c>
      <c r="D36" s="125"/>
      <c r="E36" t="s">
        <v>274</v>
      </c>
      <c r="F36" s="133" t="s">
        <v>275</v>
      </c>
      <c r="G36" s="129">
        <v>342.37</v>
      </c>
      <c r="H36" s="130">
        <f t="shared" si="0"/>
        <v>103419.33</v>
      </c>
    </row>
    <row r="37" spans="1:8" s="131" customFormat="1" ht="12.75" customHeight="1" x14ac:dyDescent="0.2">
      <c r="A37" s="187"/>
      <c r="B37" s="188"/>
      <c r="C37" s="132"/>
      <c r="D37" s="125"/>
      <c r="E37" s="135"/>
      <c r="F37" s="133"/>
      <c r="G37" s="233"/>
      <c r="H37" s="130">
        <f t="shared" si="0"/>
        <v>103419.33</v>
      </c>
    </row>
    <row r="38" spans="1:8" s="131" customFormat="1" ht="12.75" customHeight="1" x14ac:dyDescent="0.2">
      <c r="A38" s="187"/>
      <c r="B38" s="188"/>
      <c r="C38" s="132"/>
      <c r="D38" s="125"/>
      <c r="E38" s="133"/>
      <c r="F38" s="133"/>
      <c r="G38" s="141"/>
      <c r="H38" s="130">
        <f t="shared" si="0"/>
        <v>103419.33</v>
      </c>
    </row>
    <row r="39" spans="1:8" s="131" customFormat="1" ht="12.75" customHeight="1" x14ac:dyDescent="0.2">
      <c r="A39" s="187"/>
      <c r="B39" s="188"/>
      <c r="C39" s="132"/>
      <c r="D39" s="125"/>
      <c r="E39" s="133"/>
      <c r="F39" s="133"/>
      <c r="G39" s="141"/>
      <c r="H39" s="130">
        <f t="shared" si="0"/>
        <v>103419.33</v>
      </c>
    </row>
    <row r="40" spans="1:8" x14ac:dyDescent="0.25">
      <c r="A40" s="51"/>
      <c r="B40" s="47"/>
      <c r="C40" s="47"/>
      <c r="D40" s="47"/>
      <c r="E40" s="35"/>
      <c r="F40" s="52"/>
      <c r="G40" s="35"/>
      <c r="H40" s="52"/>
    </row>
    <row r="41" spans="1:8" ht="15.75" thickBot="1" x14ac:dyDescent="0.3">
      <c r="A41" s="57"/>
      <c r="B41" s="58"/>
      <c r="C41" s="58"/>
      <c r="D41" s="58"/>
      <c r="E41" s="59" t="s">
        <v>19</v>
      </c>
      <c r="F41" s="60"/>
      <c r="G41" s="50">
        <f>SUM(G9:G40)</f>
        <v>103419.33</v>
      </c>
      <c r="H41" s="60"/>
    </row>
    <row r="42" spans="1:8" ht="15" customHeight="1" thickTop="1" x14ac:dyDescent="0.25"/>
  </sheetData>
  <pageMargins left="0.25" right="0.25" top="0.95" bottom="0.75" header="0.09" footer="0.3"/>
  <pageSetup scale="68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F917-E3D0-4A67-8499-DDC660757D8E}">
  <sheetPr>
    <tabColor rgb="FF0070C0"/>
    <pageSetUpPr fitToPage="1"/>
  </sheetPr>
  <dimension ref="A1:I59"/>
  <sheetViews>
    <sheetView zoomScaleNormal="100" workbookViewId="0">
      <selection activeCell="E16" sqref="E16"/>
    </sheetView>
  </sheetViews>
  <sheetFormatPr defaultColWidth="11.42578125" defaultRowHeight="15" customHeight="1" x14ac:dyDescent="0.25"/>
  <cols>
    <col min="1" max="1" width="24.5703125" style="197" customWidth="1"/>
    <col min="2" max="2" width="9.42578125" style="197" customWidth="1"/>
    <col min="3" max="3" width="25" style="197" bestFit="1" customWidth="1"/>
    <col min="4" max="4" width="14.42578125" style="197" customWidth="1"/>
    <col min="5" max="5" width="13.5703125" style="197" customWidth="1"/>
    <col min="6" max="6" width="12.42578125" style="197" customWidth="1"/>
    <col min="7" max="7" width="10.5703125" style="197" customWidth="1"/>
    <col min="8" max="8" width="14.42578125" style="197" customWidth="1"/>
    <col min="9" max="9" width="7" style="197" customWidth="1"/>
    <col min="10" max="256" width="11.42578125" style="197"/>
    <col min="257" max="264" width="11.42578125" style="197" customWidth="1"/>
    <col min="265" max="512" width="11.42578125" style="197"/>
    <col min="513" max="520" width="11.42578125" style="197" customWidth="1"/>
    <col min="521" max="768" width="11.42578125" style="197"/>
    <col min="769" max="776" width="11.42578125" style="197" customWidth="1"/>
    <col min="777" max="1024" width="11.42578125" style="197"/>
    <col min="1025" max="1032" width="11.42578125" style="197" customWidth="1"/>
    <col min="1033" max="1280" width="11.42578125" style="197"/>
    <col min="1281" max="1288" width="11.42578125" style="197" customWidth="1"/>
    <col min="1289" max="1536" width="11.42578125" style="197"/>
    <col min="1537" max="1544" width="11.42578125" style="197" customWidth="1"/>
    <col min="1545" max="1792" width="11.42578125" style="197"/>
    <col min="1793" max="1800" width="11.42578125" style="197" customWidth="1"/>
    <col min="1801" max="2048" width="11.42578125" style="197"/>
    <col min="2049" max="2056" width="11.42578125" style="197" customWidth="1"/>
    <col min="2057" max="2304" width="11.42578125" style="197"/>
    <col min="2305" max="2312" width="11.42578125" style="197" customWidth="1"/>
    <col min="2313" max="2560" width="11.42578125" style="197"/>
    <col min="2561" max="2568" width="11.42578125" style="197" customWidth="1"/>
    <col min="2569" max="2816" width="11.42578125" style="197"/>
    <col min="2817" max="2824" width="11.42578125" style="197" customWidth="1"/>
    <col min="2825" max="3072" width="11.42578125" style="197"/>
    <col min="3073" max="3080" width="11.42578125" style="197" customWidth="1"/>
    <col min="3081" max="3328" width="11.42578125" style="197"/>
    <col min="3329" max="3336" width="11.42578125" style="197" customWidth="1"/>
    <col min="3337" max="3584" width="11.42578125" style="197"/>
    <col min="3585" max="3592" width="11.42578125" style="197" customWidth="1"/>
    <col min="3593" max="3840" width="11.42578125" style="197"/>
    <col min="3841" max="3848" width="11.42578125" style="197" customWidth="1"/>
    <col min="3849" max="4096" width="11.42578125" style="197"/>
    <col min="4097" max="4104" width="11.42578125" style="197" customWidth="1"/>
    <col min="4105" max="4352" width="11.42578125" style="197"/>
    <col min="4353" max="4360" width="11.42578125" style="197" customWidth="1"/>
    <col min="4361" max="4608" width="11.42578125" style="197"/>
    <col min="4609" max="4616" width="11.42578125" style="197" customWidth="1"/>
    <col min="4617" max="4864" width="11.42578125" style="197"/>
    <col min="4865" max="4872" width="11.42578125" style="197" customWidth="1"/>
    <col min="4873" max="5120" width="11.42578125" style="197"/>
    <col min="5121" max="5128" width="11.42578125" style="197" customWidth="1"/>
    <col min="5129" max="5376" width="11.42578125" style="197"/>
    <col min="5377" max="5384" width="11.42578125" style="197" customWidth="1"/>
    <col min="5385" max="5632" width="11.42578125" style="197"/>
    <col min="5633" max="5640" width="11.42578125" style="197" customWidth="1"/>
    <col min="5641" max="5888" width="11.42578125" style="197"/>
    <col min="5889" max="5896" width="11.42578125" style="197" customWidth="1"/>
    <col min="5897" max="6144" width="11.42578125" style="197"/>
    <col min="6145" max="6152" width="11.42578125" style="197" customWidth="1"/>
    <col min="6153" max="6400" width="11.42578125" style="197"/>
    <col min="6401" max="6408" width="11.42578125" style="197" customWidth="1"/>
    <col min="6409" max="6656" width="11.42578125" style="197"/>
    <col min="6657" max="6664" width="11.42578125" style="197" customWidth="1"/>
    <col min="6665" max="6912" width="11.42578125" style="197"/>
    <col min="6913" max="6920" width="11.42578125" style="197" customWidth="1"/>
    <col min="6921" max="7168" width="11.42578125" style="197"/>
    <col min="7169" max="7176" width="11.42578125" style="197" customWidth="1"/>
    <col min="7177" max="7424" width="11.42578125" style="197"/>
    <col min="7425" max="7432" width="11.42578125" style="197" customWidth="1"/>
    <col min="7433" max="7680" width="11.42578125" style="197"/>
    <col min="7681" max="7688" width="11.42578125" style="197" customWidth="1"/>
    <col min="7689" max="7936" width="11.42578125" style="197"/>
    <col min="7937" max="7944" width="11.42578125" style="197" customWidth="1"/>
    <col min="7945" max="8192" width="11.42578125" style="197"/>
    <col min="8193" max="8200" width="11.42578125" style="197" customWidth="1"/>
    <col min="8201" max="8448" width="11.42578125" style="197"/>
    <col min="8449" max="8456" width="11.42578125" style="197" customWidth="1"/>
    <col min="8457" max="8704" width="11.42578125" style="197"/>
    <col min="8705" max="8712" width="11.42578125" style="197" customWidth="1"/>
    <col min="8713" max="8960" width="11.42578125" style="197"/>
    <col min="8961" max="8968" width="11.42578125" style="197" customWidth="1"/>
    <col min="8969" max="9216" width="11.42578125" style="197"/>
    <col min="9217" max="9224" width="11.42578125" style="197" customWidth="1"/>
    <col min="9225" max="9472" width="11.42578125" style="197"/>
    <col min="9473" max="9480" width="11.42578125" style="197" customWidth="1"/>
    <col min="9481" max="9728" width="11.42578125" style="197"/>
    <col min="9729" max="9736" width="11.42578125" style="197" customWidth="1"/>
    <col min="9737" max="9984" width="11.42578125" style="197"/>
    <col min="9985" max="9992" width="11.42578125" style="197" customWidth="1"/>
    <col min="9993" max="10240" width="11.42578125" style="197"/>
    <col min="10241" max="10248" width="11.42578125" style="197" customWidth="1"/>
    <col min="10249" max="10496" width="11.42578125" style="197"/>
    <col min="10497" max="10504" width="11.42578125" style="197" customWidth="1"/>
    <col min="10505" max="10752" width="11.42578125" style="197"/>
    <col min="10753" max="10760" width="11.42578125" style="197" customWidth="1"/>
    <col min="10761" max="11008" width="11.42578125" style="197"/>
    <col min="11009" max="11016" width="11.42578125" style="197" customWidth="1"/>
    <col min="11017" max="11264" width="11.42578125" style="197"/>
    <col min="11265" max="11272" width="11.42578125" style="197" customWidth="1"/>
    <col min="11273" max="11520" width="11.42578125" style="197"/>
    <col min="11521" max="11528" width="11.42578125" style="197" customWidth="1"/>
    <col min="11529" max="11776" width="11.42578125" style="197"/>
    <col min="11777" max="11784" width="11.42578125" style="197" customWidth="1"/>
    <col min="11785" max="12032" width="11.42578125" style="197"/>
    <col min="12033" max="12040" width="11.42578125" style="197" customWidth="1"/>
    <col min="12041" max="12288" width="11.42578125" style="197"/>
    <col min="12289" max="12296" width="11.42578125" style="197" customWidth="1"/>
    <col min="12297" max="12544" width="11.42578125" style="197"/>
    <col min="12545" max="12552" width="11.42578125" style="197" customWidth="1"/>
    <col min="12553" max="12800" width="11.42578125" style="197"/>
    <col min="12801" max="12808" width="11.42578125" style="197" customWidth="1"/>
    <col min="12809" max="13056" width="11.42578125" style="197"/>
    <col min="13057" max="13064" width="11.42578125" style="197" customWidth="1"/>
    <col min="13065" max="13312" width="11.42578125" style="197"/>
    <col min="13313" max="13320" width="11.42578125" style="197" customWidth="1"/>
    <col min="13321" max="13568" width="11.42578125" style="197"/>
    <col min="13569" max="13576" width="11.42578125" style="197" customWidth="1"/>
    <col min="13577" max="13824" width="11.42578125" style="197"/>
    <col min="13825" max="13832" width="11.42578125" style="197" customWidth="1"/>
    <col min="13833" max="14080" width="11.42578125" style="197"/>
    <col min="14081" max="14088" width="11.42578125" style="197" customWidth="1"/>
    <col min="14089" max="14336" width="11.42578125" style="197"/>
    <col min="14337" max="14344" width="11.42578125" style="197" customWidth="1"/>
    <col min="14345" max="14592" width="11.42578125" style="197"/>
    <col min="14593" max="14600" width="11.42578125" style="197" customWidth="1"/>
    <col min="14601" max="14848" width="11.42578125" style="197"/>
    <col min="14849" max="14856" width="11.42578125" style="197" customWidth="1"/>
    <col min="14857" max="15104" width="11.42578125" style="197"/>
    <col min="15105" max="15112" width="11.42578125" style="197" customWidth="1"/>
    <col min="15113" max="15360" width="11.42578125" style="197"/>
    <col min="15361" max="15368" width="11.42578125" style="197" customWidth="1"/>
    <col min="15369" max="15616" width="11.42578125" style="197"/>
    <col min="15617" max="15624" width="11.42578125" style="197" customWidth="1"/>
    <col min="15625" max="15872" width="11.42578125" style="197"/>
    <col min="15873" max="15880" width="11.42578125" style="197" customWidth="1"/>
    <col min="15881" max="16128" width="11.42578125" style="197"/>
    <col min="16129" max="16136" width="11.42578125" style="197" customWidth="1"/>
    <col min="16137" max="16384" width="11.42578125" style="197"/>
  </cols>
  <sheetData>
    <row r="1" spans="1:9" ht="24.75" customHeight="1" x14ac:dyDescent="0.25">
      <c r="A1" s="27" t="str">
        <f>'RECAP #9485.00'!B1</f>
        <v>DAS SHB Archives Storage Renovation</v>
      </c>
      <c r="B1" s="27"/>
      <c r="C1" s="194"/>
      <c r="D1" s="194"/>
      <c r="E1" s="194"/>
      <c r="F1" s="195"/>
      <c r="G1" s="195"/>
      <c r="H1" s="196"/>
      <c r="I1" s="196"/>
    </row>
    <row r="2" spans="1:9" ht="15.75" x14ac:dyDescent="0.25">
      <c r="A2" s="28" t="str">
        <f>'RECAP #9485.00'!B2</f>
        <v>Project # 9485.00</v>
      </c>
      <c r="B2" s="198"/>
      <c r="C2" s="194"/>
      <c r="D2" s="194"/>
      <c r="E2" s="194"/>
      <c r="F2" s="195"/>
      <c r="G2" s="195"/>
      <c r="H2" s="196"/>
      <c r="I2" s="196"/>
    </row>
    <row r="3" spans="1:9" ht="15.75" x14ac:dyDescent="0.25">
      <c r="A3" s="199" t="str">
        <f>'RECAP #9485.00'!B3</f>
        <v>Program code 948500</v>
      </c>
      <c r="B3" s="198"/>
      <c r="C3" s="194"/>
      <c r="D3" s="200" t="str">
        <f>'RECAP #9485.00'!E3</f>
        <v>Major Program 3E01</v>
      </c>
      <c r="E3" s="194"/>
      <c r="F3" s="195"/>
      <c r="G3" s="195"/>
      <c r="H3" s="196"/>
      <c r="I3" s="196"/>
    </row>
    <row r="4" spans="1:9" ht="15.75" x14ac:dyDescent="0.25">
      <c r="A4" s="27" t="s">
        <v>82</v>
      </c>
      <c r="B4" s="28"/>
      <c r="C4" s="196"/>
      <c r="D4" s="201" t="s">
        <v>86</v>
      </c>
      <c r="E4" s="195"/>
      <c r="F4" s="195"/>
      <c r="G4" s="195"/>
      <c r="H4" s="196"/>
      <c r="I4" s="196"/>
    </row>
    <row r="5" spans="1:9" ht="15.75" x14ac:dyDescent="0.25">
      <c r="A5" s="202" t="s">
        <v>83</v>
      </c>
      <c r="B5" s="196"/>
      <c r="C5" s="203"/>
      <c r="D5" s="34" t="s">
        <v>84</v>
      </c>
      <c r="E5" s="39"/>
      <c r="F5" s="195"/>
      <c r="G5" s="195"/>
      <c r="H5" s="196"/>
      <c r="I5" s="196"/>
    </row>
    <row r="6" spans="1:9" ht="15.75" x14ac:dyDescent="0.25">
      <c r="A6" s="28" t="str">
        <f>'RECAP #9485.00'!B6</f>
        <v>Project Manager - Brandon A.</v>
      </c>
      <c r="B6" s="28"/>
      <c r="C6" s="204"/>
      <c r="D6" s="205" t="s">
        <v>85</v>
      </c>
      <c r="E6" s="39"/>
      <c r="F6" s="40"/>
      <c r="G6" s="195"/>
      <c r="H6" s="196"/>
      <c r="I6" s="196"/>
    </row>
    <row r="7" spans="1:9" ht="15.75" x14ac:dyDescent="0.25">
      <c r="A7" s="196"/>
      <c r="B7" s="206"/>
      <c r="C7" s="206"/>
      <c r="D7" s="196"/>
      <c r="E7" s="40"/>
      <c r="F7" s="40"/>
      <c r="G7" s="195"/>
      <c r="H7" s="196"/>
      <c r="I7" s="196" t="s">
        <v>1</v>
      </c>
    </row>
    <row r="8" spans="1:9" ht="32.25" thickBot="1" x14ac:dyDescent="0.3">
      <c r="A8" s="207" t="s">
        <v>11</v>
      </c>
      <c r="B8" s="208" t="s">
        <v>12</v>
      </c>
      <c r="C8" s="209" t="s">
        <v>13</v>
      </c>
      <c r="D8" s="210" t="s">
        <v>14</v>
      </c>
      <c r="E8" s="210" t="s">
        <v>15</v>
      </c>
      <c r="F8" s="210" t="s">
        <v>16</v>
      </c>
      <c r="G8" s="210" t="s">
        <v>17</v>
      </c>
      <c r="H8" s="210" t="s">
        <v>18</v>
      </c>
      <c r="I8" s="196" t="s">
        <v>1</v>
      </c>
    </row>
    <row r="9" spans="1:9" s="218" customFormat="1" ht="12.75" customHeight="1" x14ac:dyDescent="0.25">
      <c r="A9" s="211" t="s">
        <v>87</v>
      </c>
      <c r="B9" s="212">
        <v>45881</v>
      </c>
      <c r="C9" s="213" t="s">
        <v>73</v>
      </c>
      <c r="D9" s="214">
        <v>24141.07</v>
      </c>
      <c r="E9" s="215">
        <f>D9</f>
        <v>24141.07</v>
      </c>
      <c r="F9" s="216"/>
      <c r="G9" s="216"/>
      <c r="H9" s="216">
        <f>E9</f>
        <v>24141.07</v>
      </c>
      <c r="I9" s="217"/>
    </row>
    <row r="10" spans="1:9" s="218" customFormat="1" ht="12.75" customHeight="1" x14ac:dyDescent="0.25">
      <c r="A10" s="211" t="s">
        <v>107</v>
      </c>
      <c r="B10" s="219" t="s">
        <v>108</v>
      </c>
      <c r="C10" s="213" t="s">
        <v>109</v>
      </c>
      <c r="D10" s="215"/>
      <c r="E10" s="215">
        <f t="shared" ref="E10:E21" si="0">E9+D10</f>
        <v>24141.07</v>
      </c>
      <c r="F10" s="220">
        <v>2821.53</v>
      </c>
      <c r="G10" s="216">
        <f t="shared" ref="G10:G21" si="1">G9+F10</f>
        <v>2821.53</v>
      </c>
      <c r="H10" s="216">
        <f t="shared" ref="H10:H21" si="2">H9-F10+D10</f>
        <v>21319.54</v>
      </c>
      <c r="I10" s="217"/>
    </row>
    <row r="11" spans="1:9" s="218" customFormat="1" ht="12.75" customHeight="1" x14ac:dyDescent="0.25">
      <c r="A11" s="211" t="s">
        <v>117</v>
      </c>
      <c r="B11" s="212">
        <v>45938</v>
      </c>
      <c r="C11" s="213" t="s">
        <v>118</v>
      </c>
      <c r="D11" s="215"/>
      <c r="E11" s="215">
        <f t="shared" si="0"/>
        <v>24141.07</v>
      </c>
      <c r="F11" s="220">
        <v>6365.8</v>
      </c>
      <c r="G11" s="216">
        <f t="shared" si="1"/>
        <v>9187.33</v>
      </c>
      <c r="H11" s="216">
        <f t="shared" si="2"/>
        <v>14953.740000000002</v>
      </c>
      <c r="I11" s="217"/>
    </row>
    <row r="12" spans="1:9" s="218" customFormat="1" ht="12.75" customHeight="1" x14ac:dyDescent="0.25">
      <c r="A12" s="211" t="s">
        <v>145</v>
      </c>
      <c r="B12" s="212">
        <v>45979</v>
      </c>
      <c r="C12" s="213" t="s">
        <v>146</v>
      </c>
      <c r="D12" s="215"/>
      <c r="E12" s="215">
        <f t="shared" si="0"/>
        <v>24141.07</v>
      </c>
      <c r="F12" s="220">
        <v>5960.6</v>
      </c>
      <c r="G12" s="216">
        <f t="shared" si="1"/>
        <v>15147.93</v>
      </c>
      <c r="H12" s="216">
        <f t="shared" si="2"/>
        <v>8993.1400000000012</v>
      </c>
      <c r="I12" s="217"/>
    </row>
    <row r="13" spans="1:9" s="218" customFormat="1" ht="12.75" customHeight="1" x14ac:dyDescent="0.25">
      <c r="A13" s="211" t="s">
        <v>169</v>
      </c>
      <c r="B13" s="212">
        <v>46013</v>
      </c>
      <c r="C13" s="213" t="s">
        <v>170</v>
      </c>
      <c r="D13" s="221">
        <v>-3570.65</v>
      </c>
      <c r="E13" s="215">
        <f t="shared" si="0"/>
        <v>20570.419999999998</v>
      </c>
      <c r="F13" s="220">
        <v>5422.49</v>
      </c>
      <c r="G13" s="216">
        <f t="shared" si="1"/>
        <v>20570.419999999998</v>
      </c>
      <c r="H13" s="216">
        <f t="shared" si="2"/>
        <v>0</v>
      </c>
      <c r="I13" s="217"/>
    </row>
    <row r="14" spans="1:9" s="218" customFormat="1" ht="12.75" customHeight="1" x14ac:dyDescent="0.25">
      <c r="A14" s="211"/>
      <c r="B14" s="212"/>
      <c r="C14" s="213"/>
      <c r="D14" s="215"/>
      <c r="E14" s="215">
        <f t="shared" si="0"/>
        <v>20570.419999999998</v>
      </c>
      <c r="F14" s="216"/>
      <c r="G14" s="216">
        <f t="shared" si="1"/>
        <v>20570.419999999998</v>
      </c>
      <c r="H14" s="216">
        <f t="shared" si="2"/>
        <v>0</v>
      </c>
      <c r="I14" s="217"/>
    </row>
    <row r="15" spans="1:9" s="218" customFormat="1" ht="12.75" customHeight="1" x14ac:dyDescent="0.25">
      <c r="A15" s="211"/>
      <c r="B15" s="212"/>
      <c r="C15" s="213"/>
      <c r="D15" s="215"/>
      <c r="E15" s="215">
        <f t="shared" si="0"/>
        <v>20570.419999999998</v>
      </c>
      <c r="F15" s="220"/>
      <c r="G15" s="216">
        <f t="shared" si="1"/>
        <v>20570.419999999998</v>
      </c>
      <c r="H15" s="216">
        <f t="shared" si="2"/>
        <v>0</v>
      </c>
      <c r="I15" s="217"/>
    </row>
    <row r="16" spans="1:9" s="218" customFormat="1" ht="12.75" customHeight="1" x14ac:dyDescent="0.25">
      <c r="A16" s="211"/>
      <c r="B16" s="212"/>
      <c r="C16" s="213"/>
      <c r="D16" s="215"/>
      <c r="E16" s="215">
        <f t="shared" si="0"/>
        <v>20570.419999999998</v>
      </c>
      <c r="F16" s="220"/>
      <c r="G16" s="216">
        <f t="shared" si="1"/>
        <v>20570.419999999998</v>
      </c>
      <c r="H16" s="216">
        <f t="shared" si="2"/>
        <v>0</v>
      </c>
      <c r="I16" s="217"/>
    </row>
    <row r="17" spans="1:9" s="218" customFormat="1" ht="12.75" customHeight="1" x14ac:dyDescent="0.25">
      <c r="A17" s="211"/>
      <c r="B17" s="212"/>
      <c r="C17" s="213"/>
      <c r="D17" s="215"/>
      <c r="E17" s="215">
        <f t="shared" si="0"/>
        <v>20570.419999999998</v>
      </c>
      <c r="F17" s="220"/>
      <c r="G17" s="216">
        <f t="shared" si="1"/>
        <v>20570.419999999998</v>
      </c>
      <c r="H17" s="216">
        <f t="shared" si="2"/>
        <v>0</v>
      </c>
      <c r="I17" s="217"/>
    </row>
    <row r="18" spans="1:9" s="218" customFormat="1" ht="12.75" customHeight="1" x14ac:dyDescent="0.25">
      <c r="A18" s="211"/>
      <c r="B18" s="212"/>
      <c r="C18" s="213"/>
      <c r="D18" s="215"/>
      <c r="E18" s="215">
        <f t="shared" si="0"/>
        <v>20570.419999999998</v>
      </c>
      <c r="F18" s="220"/>
      <c r="G18" s="216">
        <f t="shared" si="1"/>
        <v>20570.419999999998</v>
      </c>
      <c r="H18" s="216">
        <f t="shared" si="2"/>
        <v>0</v>
      </c>
      <c r="I18" s="217"/>
    </row>
    <row r="19" spans="1:9" s="218" customFormat="1" ht="12.75" customHeight="1" x14ac:dyDescent="0.25">
      <c r="A19" s="211"/>
      <c r="B19" s="212"/>
      <c r="C19" s="213"/>
      <c r="D19" s="215"/>
      <c r="E19" s="215">
        <f t="shared" si="0"/>
        <v>20570.419999999998</v>
      </c>
      <c r="F19" s="216"/>
      <c r="G19" s="216">
        <f t="shared" si="1"/>
        <v>20570.419999999998</v>
      </c>
      <c r="H19" s="216">
        <f t="shared" si="2"/>
        <v>0</v>
      </c>
      <c r="I19" s="217"/>
    </row>
    <row r="20" spans="1:9" s="218" customFormat="1" ht="12.75" customHeight="1" x14ac:dyDescent="0.25">
      <c r="A20" s="211"/>
      <c r="B20" s="212"/>
      <c r="C20" s="213"/>
      <c r="D20" s="215"/>
      <c r="E20" s="215">
        <f t="shared" si="0"/>
        <v>20570.419999999998</v>
      </c>
      <c r="F20" s="216"/>
      <c r="G20" s="216">
        <f t="shared" si="1"/>
        <v>20570.419999999998</v>
      </c>
      <c r="H20" s="216">
        <f t="shared" si="2"/>
        <v>0</v>
      </c>
      <c r="I20" s="217"/>
    </row>
    <row r="21" spans="1:9" s="218" customFormat="1" ht="12.75" customHeight="1" x14ac:dyDescent="0.25">
      <c r="A21" s="211"/>
      <c r="B21" s="212"/>
      <c r="C21" s="222"/>
      <c r="D21" s="215"/>
      <c r="E21" s="215">
        <f t="shared" si="0"/>
        <v>20570.419999999998</v>
      </c>
      <c r="F21" s="216"/>
      <c r="G21" s="216">
        <f t="shared" si="1"/>
        <v>20570.419999999998</v>
      </c>
      <c r="H21" s="216">
        <f t="shared" si="2"/>
        <v>0</v>
      </c>
      <c r="I21" s="217"/>
    </row>
    <row r="22" spans="1:9" s="218" customFormat="1" ht="12.75" customHeight="1" x14ac:dyDescent="0.25">
      <c r="A22" s="211"/>
      <c r="B22" s="213"/>
      <c r="C22" s="223"/>
      <c r="D22" s="216"/>
      <c r="E22" s="216"/>
      <c r="F22" s="216"/>
      <c r="G22" s="216"/>
      <c r="H22" s="216"/>
      <c r="I22" s="217"/>
    </row>
    <row r="23" spans="1:9" s="218" customFormat="1" ht="12.75" customHeight="1" thickBot="1" x14ac:dyDescent="0.3">
      <c r="A23" s="211"/>
      <c r="B23" s="224"/>
      <c r="C23" s="225" t="s">
        <v>19</v>
      </c>
      <c r="D23" s="226">
        <f>SUM(D9:D22)</f>
        <v>20570.419999999998</v>
      </c>
      <c r="E23" s="226"/>
      <c r="F23" s="226">
        <f>SUM(F9:F22)</f>
        <v>20570.419999999998</v>
      </c>
      <c r="G23" s="226"/>
      <c r="H23" s="226">
        <f>D23-F23</f>
        <v>0</v>
      </c>
      <c r="I23" s="227" t="s">
        <v>171</v>
      </c>
    </row>
    <row r="24" spans="1:9" s="218" customFormat="1" ht="12.75" customHeight="1" thickTop="1" x14ac:dyDescent="0.25">
      <c r="A24" s="211"/>
      <c r="B24" s="213"/>
      <c r="C24" s="223"/>
      <c r="D24" s="216"/>
      <c r="E24" s="216"/>
      <c r="F24" s="216"/>
      <c r="G24" s="216"/>
      <c r="H24" s="216"/>
      <c r="I24" s="217"/>
    </row>
    <row r="25" spans="1:9" s="218" customFormat="1" ht="12.75" customHeight="1" x14ac:dyDescent="0.25">
      <c r="A25" s="211"/>
      <c r="B25" s="213"/>
      <c r="C25" s="223"/>
      <c r="D25" s="216"/>
      <c r="E25" s="216"/>
      <c r="F25" s="216"/>
      <c r="G25" s="216"/>
      <c r="H25" s="216"/>
      <c r="I25" s="217"/>
    </row>
    <row r="26" spans="1:9" s="218" customFormat="1" ht="12.75" customHeight="1" x14ac:dyDescent="0.25">
      <c r="A26" s="211"/>
      <c r="B26" s="213"/>
      <c r="C26" s="223" t="s">
        <v>88</v>
      </c>
      <c r="D26" s="216">
        <f>19141.07-22.65</f>
        <v>19118.419999999998</v>
      </c>
      <c r="E26" s="216"/>
      <c r="F26" s="216">
        <f>2821.53+6365.8+4508.6+5422.49</f>
        <v>19118.419999999998</v>
      </c>
      <c r="G26" s="216"/>
      <c r="H26" s="216">
        <f t="shared" ref="H26:H27" si="3">D26-F26</f>
        <v>0</v>
      </c>
      <c r="I26" s="217"/>
    </row>
    <row r="27" spans="1:9" s="218" customFormat="1" ht="12.75" customHeight="1" x14ac:dyDescent="0.25">
      <c r="A27" s="211"/>
      <c r="B27" s="213"/>
      <c r="C27" s="223" t="s">
        <v>89</v>
      </c>
      <c r="D27" s="216">
        <f>5000-3548</f>
        <v>1452</v>
      </c>
      <c r="E27" s="216"/>
      <c r="F27" s="216">
        <f>1452</f>
        <v>1452</v>
      </c>
      <c r="G27" s="216"/>
      <c r="H27" s="216">
        <f t="shared" si="3"/>
        <v>0</v>
      </c>
      <c r="I27" s="217"/>
    </row>
    <row r="28" spans="1:9" s="218" customFormat="1" ht="12.75" customHeight="1" thickBot="1" x14ac:dyDescent="0.3">
      <c r="A28" s="211"/>
      <c r="B28" s="213"/>
      <c r="C28" s="228" t="s">
        <v>74</v>
      </c>
      <c r="D28" s="226">
        <f>SUM(D26:D27)</f>
        <v>20570.419999999998</v>
      </c>
      <c r="E28" s="229"/>
      <c r="F28" s="226">
        <f>SUM(F26:F27)</f>
        <v>20570.419999999998</v>
      </c>
      <c r="G28" s="229"/>
      <c r="H28" s="226">
        <f>SUM(H26:H27)</f>
        <v>0</v>
      </c>
      <c r="I28" s="217"/>
    </row>
    <row r="29" spans="1:9" s="218" customFormat="1" ht="12.75" customHeight="1" thickTop="1" x14ac:dyDescent="0.25"/>
    <row r="30" spans="1:9" s="218" customFormat="1" ht="12.75" customHeight="1" x14ac:dyDescent="0.25"/>
    <row r="31" spans="1:9" ht="12.75" customHeight="1" x14ac:dyDescent="0.25"/>
    <row r="32" spans="1:9" ht="12.75" customHeight="1" x14ac:dyDescent="0.25"/>
    <row r="33" s="197" customFormat="1" ht="12.75" customHeight="1" x14ac:dyDescent="0.25"/>
    <row r="34" s="197" customFormat="1" ht="12.75" customHeight="1" x14ac:dyDescent="0.25"/>
    <row r="35" s="197" customFormat="1" ht="12.75" customHeight="1" x14ac:dyDescent="0.25"/>
    <row r="36" s="197" customFormat="1" ht="12.75" customHeight="1" x14ac:dyDescent="0.25"/>
    <row r="37" s="197" customFormat="1" ht="12.75" customHeight="1" x14ac:dyDescent="0.25"/>
    <row r="38" s="197" customFormat="1" ht="12.75" customHeight="1" x14ac:dyDescent="0.25"/>
    <row r="39" s="197" customFormat="1" ht="12.75" customHeight="1" x14ac:dyDescent="0.25"/>
    <row r="40" s="197" customFormat="1" ht="12.75" customHeight="1" x14ac:dyDescent="0.25"/>
    <row r="41" s="197" customFormat="1" ht="12.75" customHeight="1" x14ac:dyDescent="0.25"/>
    <row r="42" s="197" customFormat="1" ht="12.75" customHeight="1" x14ac:dyDescent="0.25"/>
    <row r="43" s="197" customFormat="1" ht="12.75" customHeight="1" x14ac:dyDescent="0.25"/>
    <row r="44" s="197" customFormat="1" ht="12.75" customHeight="1" x14ac:dyDescent="0.25"/>
    <row r="45" s="197" customFormat="1" ht="12.75" customHeight="1" x14ac:dyDescent="0.25"/>
    <row r="46" s="197" customFormat="1" ht="12.75" customHeight="1" x14ac:dyDescent="0.25"/>
    <row r="47" s="197" customFormat="1" ht="12.75" customHeight="1" x14ac:dyDescent="0.25"/>
    <row r="48" s="197" customFormat="1" ht="12.75" customHeight="1" x14ac:dyDescent="0.25"/>
    <row r="49" s="197" customFormat="1" ht="12.75" customHeight="1" x14ac:dyDescent="0.25"/>
    <row r="50" s="197" customFormat="1" ht="12.75" customHeight="1" x14ac:dyDescent="0.25"/>
    <row r="51" s="197" customFormat="1" ht="12.75" customHeight="1" x14ac:dyDescent="0.25"/>
    <row r="52" s="197" customFormat="1" ht="12.75" customHeight="1" x14ac:dyDescent="0.25"/>
    <row r="53" s="197" customFormat="1" ht="12.75" customHeight="1" x14ac:dyDescent="0.25"/>
    <row r="54" s="197" customFormat="1" ht="12.75" customHeight="1" x14ac:dyDescent="0.25"/>
    <row r="55" s="197" customFormat="1" ht="12.75" customHeight="1" x14ac:dyDescent="0.25"/>
    <row r="56" s="197" customFormat="1" ht="12.75" customHeight="1" x14ac:dyDescent="0.25"/>
    <row r="57" s="197" customFormat="1" ht="12.75" customHeight="1" x14ac:dyDescent="0.25"/>
    <row r="58" s="197" customFormat="1" ht="12.75" customHeight="1" x14ac:dyDescent="0.25"/>
    <row r="59" s="197" customFormat="1" ht="12.75" customHeight="1" x14ac:dyDescent="0.25"/>
  </sheetData>
  <pageMargins left="0.25" right="0.25" top="0.95" bottom="0.75" header="0.09" footer="0.3"/>
  <pageSetup scale="77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A9D0-2EAF-4C20-A2D2-346A18F9FF0A}">
  <sheetPr>
    <pageSetUpPr fitToPage="1"/>
  </sheetPr>
  <dimension ref="A1:I27"/>
  <sheetViews>
    <sheetView topLeftCell="A3" zoomScaleNormal="100" workbookViewId="0">
      <selection activeCell="K28" sqref="K28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5.28515625" customWidth="1"/>
    <col min="7" max="7" width="14" customWidth="1"/>
    <col min="8" max="8" width="14.42578125" customWidth="1"/>
    <col min="9" max="9" width="13.140625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123</v>
      </c>
      <c r="B4" s="28"/>
      <c r="C4" s="29"/>
      <c r="D4" s="30" t="s">
        <v>124</v>
      </c>
      <c r="E4" s="25"/>
      <c r="F4" s="25"/>
      <c r="G4" s="25"/>
      <c r="H4" s="26"/>
      <c r="I4" s="26"/>
    </row>
    <row r="5" spans="1:9" ht="15.75" x14ac:dyDescent="0.25">
      <c r="A5" s="31" t="s">
        <v>83</v>
      </c>
      <c r="B5" s="32"/>
      <c r="C5" s="33"/>
      <c r="D5" s="34" t="s">
        <v>125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126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10" t="s">
        <v>190</v>
      </c>
    </row>
    <row r="9" spans="1:9" s="131" customFormat="1" ht="12.75" customHeight="1" x14ac:dyDescent="0.25">
      <c r="A9" s="127" t="s">
        <v>127</v>
      </c>
      <c r="B9" s="125">
        <v>45960</v>
      </c>
      <c r="C9" s="135" t="s">
        <v>73</v>
      </c>
      <c r="D9" s="136">
        <v>2185430.2999999998</v>
      </c>
      <c r="E9" s="137">
        <f>D9</f>
        <v>2185430.2999999998</v>
      </c>
      <c r="F9" s="138"/>
      <c r="G9" s="138"/>
      <c r="H9" s="138">
        <f>E9</f>
        <v>2185430.2999999998</v>
      </c>
      <c r="I9" s="139"/>
    </row>
    <row r="10" spans="1:9" s="131" customFormat="1" ht="12.75" customHeight="1" x14ac:dyDescent="0.25">
      <c r="A10" s="127" t="s">
        <v>127</v>
      </c>
      <c r="B10" s="140">
        <v>46006</v>
      </c>
      <c r="C10" s="135" t="s">
        <v>161</v>
      </c>
      <c r="D10" s="136">
        <v>16534.669999999998</v>
      </c>
      <c r="E10" s="137">
        <f t="shared" ref="E10:E21" si="0">E9+D10</f>
        <v>2201964.9699999997</v>
      </c>
      <c r="F10" s="129"/>
      <c r="G10" s="138">
        <f t="shared" ref="G10:G21" si="1">G9+F10</f>
        <v>0</v>
      </c>
      <c r="H10" s="138">
        <f t="shared" ref="H10:H21" si="2">H9-F10+D10</f>
        <v>2201964.9699999997</v>
      </c>
      <c r="I10" s="139"/>
    </row>
    <row r="11" spans="1:9" s="131" customFormat="1" ht="12.75" customHeight="1" x14ac:dyDescent="0.25">
      <c r="A11" s="127" t="s">
        <v>224</v>
      </c>
      <c r="B11" s="125">
        <v>46085</v>
      </c>
      <c r="C11" s="135" t="s">
        <v>225</v>
      </c>
      <c r="D11" s="137"/>
      <c r="E11" s="137">
        <f t="shared" si="0"/>
        <v>2201964.9699999997</v>
      </c>
      <c r="F11" s="129">
        <v>100221.91</v>
      </c>
      <c r="G11" s="138">
        <f t="shared" si="1"/>
        <v>100221.91</v>
      </c>
      <c r="H11" s="138">
        <f t="shared" si="2"/>
        <v>2101743.0599999996</v>
      </c>
      <c r="I11" s="231">
        <v>3099.65</v>
      </c>
    </row>
    <row r="12" spans="1:9" s="131" customFormat="1" ht="12.75" customHeight="1" x14ac:dyDescent="0.25">
      <c r="A12" s="127" t="s">
        <v>234</v>
      </c>
      <c r="B12" s="125">
        <v>46100</v>
      </c>
      <c r="C12" s="135" t="s">
        <v>235</v>
      </c>
      <c r="D12" s="137"/>
      <c r="E12" s="137">
        <f t="shared" si="0"/>
        <v>2201964.9699999997</v>
      </c>
      <c r="F12" s="129">
        <v>28596.41</v>
      </c>
      <c r="G12" s="138">
        <f t="shared" si="1"/>
        <v>128818.32</v>
      </c>
      <c r="H12" s="138">
        <f t="shared" si="2"/>
        <v>2073146.6499999997</v>
      </c>
      <c r="I12" s="231">
        <f>I11+884.43</f>
        <v>3984.08</v>
      </c>
    </row>
    <row r="13" spans="1:9" s="131" customFormat="1" ht="12.75" customHeight="1" x14ac:dyDescent="0.25">
      <c r="A13" s="127" t="s">
        <v>280</v>
      </c>
      <c r="B13" s="125">
        <v>46175</v>
      </c>
      <c r="C13" s="135" t="s">
        <v>281</v>
      </c>
      <c r="D13" s="137"/>
      <c r="E13" s="137">
        <f t="shared" si="0"/>
        <v>2201964.9699999997</v>
      </c>
      <c r="F13" s="129">
        <v>130645.19</v>
      </c>
      <c r="G13" s="138">
        <f t="shared" si="1"/>
        <v>259463.51</v>
      </c>
      <c r="H13" s="138">
        <f t="shared" si="2"/>
        <v>1942501.4599999997</v>
      </c>
      <c r="I13" s="231">
        <f>I12+4040.58</f>
        <v>8024.66</v>
      </c>
    </row>
    <row r="14" spans="1:9" s="131" customFormat="1" ht="12.75" customHeight="1" x14ac:dyDescent="0.25">
      <c r="A14" s="127" t="s">
        <v>293</v>
      </c>
      <c r="B14" s="125">
        <v>46188</v>
      </c>
      <c r="C14" s="135" t="s">
        <v>294</v>
      </c>
      <c r="D14" s="137"/>
      <c r="E14" s="137">
        <f t="shared" si="0"/>
        <v>2201964.9699999997</v>
      </c>
      <c r="F14" s="129">
        <v>783737.77</v>
      </c>
      <c r="G14" s="138">
        <f t="shared" si="1"/>
        <v>1043201.28</v>
      </c>
      <c r="H14" s="138">
        <f t="shared" si="2"/>
        <v>1158763.6899999997</v>
      </c>
      <c r="I14" s="231">
        <f>I13+24239.31</f>
        <v>32263.97</v>
      </c>
    </row>
    <row r="15" spans="1:9" s="131" customFormat="1" ht="12.75" customHeight="1" x14ac:dyDescent="0.25">
      <c r="A15" s="127" t="s">
        <v>297</v>
      </c>
      <c r="B15" s="125">
        <v>46203</v>
      </c>
      <c r="C15" s="135" t="s">
        <v>298</v>
      </c>
      <c r="D15" s="137"/>
      <c r="E15" s="137">
        <f t="shared" si="0"/>
        <v>2201964.9699999997</v>
      </c>
      <c r="F15" s="129">
        <v>207708.67</v>
      </c>
      <c r="G15" s="138">
        <f t="shared" si="1"/>
        <v>1250909.95</v>
      </c>
      <c r="H15" s="138">
        <f t="shared" si="2"/>
        <v>951055.01999999967</v>
      </c>
      <c r="I15" s="231">
        <f>I14+6423.97</f>
        <v>38687.94</v>
      </c>
    </row>
    <row r="16" spans="1:9" s="131" customFormat="1" ht="12.75" customHeight="1" x14ac:dyDescent="0.25">
      <c r="A16" s="127"/>
      <c r="B16" s="125"/>
      <c r="C16" s="135"/>
      <c r="D16" s="137"/>
      <c r="E16" s="137">
        <f t="shared" si="0"/>
        <v>2201964.9699999997</v>
      </c>
      <c r="F16" s="141"/>
      <c r="G16" s="138">
        <f t="shared" si="1"/>
        <v>1250909.95</v>
      </c>
      <c r="H16" s="138">
        <f t="shared" si="2"/>
        <v>951055.01999999967</v>
      </c>
      <c r="I16" s="231"/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2201964.9699999997</v>
      </c>
      <c r="F17" s="141"/>
      <c r="G17" s="138">
        <f t="shared" si="1"/>
        <v>1250909.95</v>
      </c>
      <c r="H17" s="138">
        <f t="shared" si="2"/>
        <v>951055.01999999967</v>
      </c>
      <c r="I17" s="231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2201964.9699999997</v>
      </c>
      <c r="F18" s="141"/>
      <c r="G18" s="138">
        <f t="shared" si="1"/>
        <v>1250909.95</v>
      </c>
      <c r="H18" s="138">
        <f t="shared" si="2"/>
        <v>951055.01999999967</v>
      </c>
      <c r="I18" s="231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2201964.9699999997</v>
      </c>
      <c r="F19" s="138"/>
      <c r="G19" s="138">
        <f t="shared" si="1"/>
        <v>1250909.95</v>
      </c>
      <c r="H19" s="138">
        <f t="shared" si="2"/>
        <v>951055.01999999967</v>
      </c>
      <c r="I19" s="231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2201964.9699999997</v>
      </c>
      <c r="F20" s="138"/>
      <c r="G20" s="138">
        <f t="shared" si="1"/>
        <v>1250909.95</v>
      </c>
      <c r="H20" s="138">
        <f t="shared" si="2"/>
        <v>951055.01999999967</v>
      </c>
      <c r="I20" s="231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2201964.9699999997</v>
      </c>
      <c r="F21" s="138"/>
      <c r="G21" s="138">
        <f t="shared" si="1"/>
        <v>1250909.95</v>
      </c>
      <c r="H21" s="138">
        <f t="shared" si="2"/>
        <v>951055.01999999967</v>
      </c>
      <c r="I21" s="231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2201964.9699999997</v>
      </c>
      <c r="E23" s="171"/>
      <c r="F23" s="171">
        <f>SUM(F9:F22)</f>
        <v>1250909.95</v>
      </c>
      <c r="G23" s="171"/>
      <c r="H23" s="171">
        <f>D23-F23</f>
        <v>951055.01999999979</v>
      </c>
      <c r="I23" s="139"/>
    </row>
    <row r="24" spans="1:9" s="131" customFormat="1" ht="12.75" customHeight="1" thickTop="1" x14ac:dyDescent="0.25"/>
    <row r="25" spans="1:9" s="131" customFormat="1" ht="12.75" customHeight="1" x14ac:dyDescent="0.25"/>
    <row r="27" spans="1:9" ht="15" customHeight="1" x14ac:dyDescent="0.25">
      <c r="A27" s="197" t="s">
        <v>191</v>
      </c>
    </row>
  </sheetData>
  <pageMargins left="0.25" right="0.25" top="0.95" bottom="0.75" header="0.09" footer="0.3"/>
  <pageSetup scale="70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3B50-001B-4B0A-BCF0-5ACBC513D93A}">
  <sheetPr>
    <pageSetUpPr fitToPage="1"/>
  </sheetPr>
  <dimension ref="A1:I26"/>
  <sheetViews>
    <sheetView topLeftCell="A8" zoomScaleNormal="100" workbookViewId="0">
      <selection activeCell="C27" sqref="C27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9" max="9" width="12.42578125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152</v>
      </c>
      <c r="B4" s="28"/>
      <c r="C4" s="29"/>
      <c r="D4" s="30" t="s">
        <v>153</v>
      </c>
      <c r="E4" s="25"/>
      <c r="F4" s="25"/>
      <c r="G4" s="25"/>
      <c r="H4" s="26"/>
      <c r="I4" s="26"/>
    </row>
    <row r="5" spans="1:9" ht="15.75" x14ac:dyDescent="0.25">
      <c r="A5" s="31" t="s">
        <v>83</v>
      </c>
      <c r="B5" s="32"/>
      <c r="C5" s="33"/>
      <c r="D5" s="34" t="s">
        <v>154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126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10" t="s">
        <v>190</v>
      </c>
    </row>
    <row r="9" spans="1:9" s="131" customFormat="1" ht="12.75" customHeight="1" x14ac:dyDescent="0.25">
      <c r="A9" s="127" t="s">
        <v>155</v>
      </c>
      <c r="B9" s="125">
        <v>45995</v>
      </c>
      <c r="C9" s="135" t="s">
        <v>73</v>
      </c>
      <c r="D9" s="136">
        <v>233000</v>
      </c>
      <c r="E9" s="137">
        <f>D9</f>
        <v>233000</v>
      </c>
      <c r="F9" s="138"/>
      <c r="G9" s="138"/>
      <c r="H9" s="138">
        <f>E9</f>
        <v>233000</v>
      </c>
      <c r="I9" s="139"/>
    </row>
    <row r="10" spans="1:9" s="131" customFormat="1" ht="12.75" customHeight="1" x14ac:dyDescent="0.25">
      <c r="A10" s="127" t="s">
        <v>155</v>
      </c>
      <c r="B10" s="140">
        <v>46020</v>
      </c>
      <c r="C10" s="135" t="s">
        <v>161</v>
      </c>
      <c r="D10" s="136">
        <v>10169.25</v>
      </c>
      <c r="E10" s="137">
        <f t="shared" ref="E10:E21" si="0">E9+D10</f>
        <v>243169.25</v>
      </c>
      <c r="F10" s="129"/>
      <c r="G10" s="138">
        <f t="shared" ref="G10:G21" si="1">G9+F10</f>
        <v>0</v>
      </c>
      <c r="H10" s="138">
        <f t="shared" ref="H10:H21" si="2">H9-F10+D10</f>
        <v>243169.25</v>
      </c>
      <c r="I10" s="139"/>
    </row>
    <row r="11" spans="1:9" s="131" customFormat="1" ht="12.75" customHeight="1" x14ac:dyDescent="0.25">
      <c r="A11" s="127" t="s">
        <v>188</v>
      </c>
      <c r="B11" s="125">
        <v>46045</v>
      </c>
      <c r="C11" s="135" t="s">
        <v>189</v>
      </c>
      <c r="D11" s="137"/>
      <c r="E11" s="137">
        <f t="shared" si="0"/>
        <v>243169.25</v>
      </c>
      <c r="F11" s="129">
        <v>6693</v>
      </c>
      <c r="G11" s="138">
        <f t="shared" si="1"/>
        <v>6693</v>
      </c>
      <c r="H11" s="138">
        <f t="shared" si="2"/>
        <v>236476.25</v>
      </c>
      <c r="I11" s="231">
        <v>207</v>
      </c>
    </row>
    <row r="12" spans="1:9" s="131" customFormat="1" ht="12.75" customHeight="1" x14ac:dyDescent="0.25">
      <c r="A12" s="127" t="s">
        <v>155</v>
      </c>
      <c r="B12" s="125">
        <v>46076</v>
      </c>
      <c r="C12" s="135" t="s">
        <v>218</v>
      </c>
      <c r="D12" s="136">
        <v>253.31</v>
      </c>
      <c r="E12" s="137">
        <f t="shared" si="0"/>
        <v>243422.56</v>
      </c>
      <c r="F12" s="141"/>
      <c r="G12" s="138">
        <f t="shared" si="1"/>
        <v>6693</v>
      </c>
      <c r="H12" s="138">
        <f t="shared" si="2"/>
        <v>236729.56</v>
      </c>
      <c r="I12" s="231"/>
    </row>
    <row r="13" spans="1:9" s="131" customFormat="1" ht="12.75" customHeight="1" x14ac:dyDescent="0.25">
      <c r="A13" s="127" t="s">
        <v>219</v>
      </c>
      <c r="B13" s="125">
        <v>46077</v>
      </c>
      <c r="C13" s="135" t="s">
        <v>220</v>
      </c>
      <c r="D13" s="137"/>
      <c r="E13" s="137">
        <f t="shared" si="0"/>
        <v>243422.56</v>
      </c>
      <c r="F13" s="129">
        <v>1940</v>
      </c>
      <c r="G13" s="138">
        <f t="shared" si="1"/>
        <v>8633</v>
      </c>
      <c r="H13" s="138">
        <f t="shared" si="2"/>
        <v>234789.56</v>
      </c>
      <c r="I13" s="231">
        <f>I11+60</f>
        <v>267</v>
      </c>
    </row>
    <row r="14" spans="1:9" s="131" customFormat="1" ht="12.75" customHeight="1" x14ac:dyDescent="0.25">
      <c r="A14" s="127" t="s">
        <v>155</v>
      </c>
      <c r="B14" s="125">
        <v>46084</v>
      </c>
      <c r="C14" s="135" t="s">
        <v>221</v>
      </c>
      <c r="D14" s="136">
        <v>778.58</v>
      </c>
      <c r="E14" s="137">
        <f t="shared" si="0"/>
        <v>244201.13999999998</v>
      </c>
      <c r="F14" s="138"/>
      <c r="G14" s="138">
        <f t="shared" si="1"/>
        <v>8633</v>
      </c>
      <c r="H14" s="138">
        <f t="shared" si="2"/>
        <v>235568.13999999998</v>
      </c>
      <c r="I14" s="231"/>
    </row>
    <row r="15" spans="1:9" s="131" customFormat="1" ht="12.75" customHeight="1" x14ac:dyDescent="0.25">
      <c r="A15" s="127" t="s">
        <v>260</v>
      </c>
      <c r="B15" s="125">
        <v>46141</v>
      </c>
      <c r="C15" s="135" t="s">
        <v>261</v>
      </c>
      <c r="D15" s="137"/>
      <c r="E15" s="137">
        <f t="shared" si="0"/>
        <v>244201.13999999998</v>
      </c>
      <c r="F15" s="129">
        <v>7954</v>
      </c>
      <c r="G15" s="138">
        <f t="shared" si="1"/>
        <v>16587</v>
      </c>
      <c r="H15" s="138">
        <f t="shared" si="2"/>
        <v>227614.13999999998</v>
      </c>
      <c r="I15" s="231">
        <f>I13+246</f>
        <v>513</v>
      </c>
    </row>
    <row r="16" spans="1:9" s="131" customFormat="1" ht="12.75" customHeight="1" x14ac:dyDescent="0.25">
      <c r="A16" s="127" t="s">
        <v>155</v>
      </c>
      <c r="B16" s="125">
        <v>46148</v>
      </c>
      <c r="C16" s="135" t="s">
        <v>265</v>
      </c>
      <c r="D16" s="234">
        <v>-489.51</v>
      </c>
      <c r="E16" s="137">
        <f t="shared" si="0"/>
        <v>243711.62999999998</v>
      </c>
      <c r="F16" s="141"/>
      <c r="G16" s="138">
        <f t="shared" si="1"/>
        <v>16587</v>
      </c>
      <c r="H16" s="138">
        <f t="shared" si="2"/>
        <v>227124.62999999998</v>
      </c>
      <c r="I16" s="231"/>
    </row>
    <row r="17" spans="1:9" s="131" customFormat="1" ht="12.75" customHeight="1" x14ac:dyDescent="0.25">
      <c r="A17" s="127" t="s">
        <v>155</v>
      </c>
      <c r="B17" s="125">
        <v>46178</v>
      </c>
      <c r="C17" s="135" t="s">
        <v>286</v>
      </c>
      <c r="D17" s="136">
        <v>1564.5</v>
      </c>
      <c r="E17" s="137">
        <f t="shared" si="0"/>
        <v>245276.12999999998</v>
      </c>
      <c r="F17" s="141"/>
      <c r="G17" s="138">
        <f t="shared" si="1"/>
        <v>16587</v>
      </c>
      <c r="H17" s="138">
        <f t="shared" si="2"/>
        <v>228689.12999999998</v>
      </c>
      <c r="I17" s="231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245276.12999999998</v>
      </c>
      <c r="F18" s="141"/>
      <c r="G18" s="138">
        <f t="shared" si="1"/>
        <v>16587</v>
      </c>
      <c r="H18" s="138">
        <f t="shared" si="2"/>
        <v>228689.12999999998</v>
      </c>
      <c r="I18" s="231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245276.12999999998</v>
      </c>
      <c r="F19" s="138"/>
      <c r="G19" s="138">
        <f t="shared" si="1"/>
        <v>16587</v>
      </c>
      <c r="H19" s="138">
        <f t="shared" si="2"/>
        <v>228689.12999999998</v>
      </c>
      <c r="I19" s="231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245276.12999999998</v>
      </c>
      <c r="F20" s="138"/>
      <c r="G20" s="138">
        <f t="shared" si="1"/>
        <v>16587</v>
      </c>
      <c r="H20" s="138">
        <f t="shared" si="2"/>
        <v>228689.12999999998</v>
      </c>
      <c r="I20" s="231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245276.12999999998</v>
      </c>
      <c r="F21" s="138"/>
      <c r="G21" s="138">
        <f t="shared" si="1"/>
        <v>16587</v>
      </c>
      <c r="H21" s="138">
        <f t="shared" si="2"/>
        <v>228689.12999999998</v>
      </c>
      <c r="I21" s="231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245276.12999999998</v>
      </c>
      <c r="E23" s="171"/>
      <c r="F23" s="171">
        <f>SUM(F9:F22)</f>
        <v>16587</v>
      </c>
      <c r="G23" s="171"/>
      <c r="H23" s="171">
        <f>D23-F23</f>
        <v>228689.12999999998</v>
      </c>
      <c r="I23" s="232"/>
    </row>
    <row r="24" spans="1:9" s="131" customFormat="1" ht="12.75" customHeight="1" thickTop="1" x14ac:dyDescent="0.25"/>
    <row r="25" spans="1:9" s="131" customFormat="1" ht="12.75" customHeight="1" x14ac:dyDescent="0.25"/>
    <row r="26" spans="1:9" ht="15" customHeight="1" x14ac:dyDescent="0.25">
      <c r="A26" s="197" t="s">
        <v>191</v>
      </c>
    </row>
  </sheetData>
  <pageMargins left="0.25" right="0.25" top="0.95" bottom="0.75" header="0.09" footer="0.3"/>
  <pageSetup scale="74" orientation="portrait" r:id="rId1"/>
  <headerFooter alignWithMargins="0">
    <oddHeader>&amp;CDepartment of Administrative Services
Major Maintenance 
061T
&amp;A
&amp;D</oddHeader>
    <oddFooter>&amp;LAcct Codes 0017-335-061T
Reversion 6/30/2027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Language</vt:lpstr>
      <vt:lpstr>FINANCIAL</vt:lpstr>
      <vt:lpstr>RECAP #9485.00</vt:lpstr>
      <vt:lpstr>#9485.00 Neumann Monson</vt:lpstr>
      <vt:lpstr>#9485.00 PM TIME</vt:lpstr>
      <vt:lpstr>#9485.00 Misc</vt:lpstr>
      <vt:lpstr>#9485.00 DCI Group</vt:lpstr>
      <vt:lpstr>#9485.00 Midwest Storage </vt:lpstr>
      <vt:lpstr>#9485.00 GTG Construction</vt:lpstr>
      <vt:lpstr>#9485.00 Waldinger Corp</vt:lpstr>
      <vt:lpstr>#9485.00 JF Ahern</vt:lpstr>
      <vt:lpstr>#9485.00 DCI Group (2)</vt:lpstr>
      <vt:lpstr>#9485.00 IA Prison Industries</vt:lpstr>
      <vt:lpstr>RECAP #XXXX.XX</vt:lpstr>
      <vt:lpstr>#XXXX.XX Vendor A</vt:lpstr>
      <vt:lpstr>#XXXX.XX PM TIME</vt:lpstr>
      <vt:lpstr>#XXXX.XX Misc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2026-07-01T16:11:04Z</cp:lastPrinted>
  <dcterms:created xsi:type="dcterms:W3CDTF">2015-06-05T18:17:20Z</dcterms:created>
  <dcterms:modified xsi:type="dcterms:W3CDTF">2026-07-01T16:11:19Z</dcterms:modified>
</cp:coreProperties>
</file>