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N:\DAS Shared Perm\GSE Infrastructure\MM FY26 0017-MM26\"/>
    </mc:Choice>
  </mc:AlternateContent>
  <xr:revisionPtr revIDLastSave="0" documentId="13_ncr:1_{79401BFD-78EE-4303-9A7E-2FB29A9B093D}" xr6:coauthVersionLast="47" xr6:coauthVersionMax="47" xr10:uidLastSave="{00000000-0000-0000-0000-000000000000}"/>
  <bookViews>
    <workbookView xWindow="-120" yWindow="-120" windowWidth="29040" windowHeight="15720" tabRatio="896" firstSheet="1" activeTab="1" xr2:uid="{00000000-000D-0000-FFFF-FFFF00000000}"/>
  </bookViews>
  <sheets>
    <sheet name="Language" sheetId="17" r:id="rId1"/>
    <sheet name="FINANCIAL" sheetId="6" r:id="rId2"/>
    <sheet name="RECAP #9997.26" sheetId="7" r:id="rId3"/>
    <sheet name="#9997.26 PM TIME " sheetId="8" r:id="rId4"/>
    <sheet name="RECAP #9440.01" sheetId="126" r:id="rId5"/>
    <sheet name="#9440.01 DCI Group" sheetId="127" r:id="rId6"/>
    <sheet name="#9440.01 PM TIME " sheetId="128" r:id="rId7"/>
    <sheet name="#9440.01 Misc " sheetId="129" r:id="rId8"/>
    <sheet name="#9440.01 OPN Architects" sheetId="159" r:id="rId9"/>
    <sheet name="RECAP #9455.00" sheetId="112" r:id="rId10"/>
    <sheet name="#9455.00 McKinnis Roofing" sheetId="113" r:id="rId11"/>
    <sheet name="#9455.00 PM TIME " sheetId="114" r:id="rId12"/>
    <sheet name="#9455.00 Misc" sheetId="115" r:id="rId13"/>
    <sheet name="#9455.00 Samuels Group" sheetId="125" r:id="rId14"/>
    <sheet name="RECAP #9483.00" sheetId="9" r:id="rId15"/>
    <sheet name="#9483.00 DCI Group" sheetId="10" r:id="rId16"/>
    <sheet name="#9483.00 PM TIME" sheetId="11" r:id="rId17"/>
    <sheet name="#9483.00 Misc" sheetId="12" r:id="rId18"/>
    <sheet name="#9483.00 Genesis Architectural" sheetId="110" r:id="rId19"/>
    <sheet name="RECAP #9484.00" sheetId="2" r:id="rId20"/>
    <sheet name="#9484.00 DCI Group" sheetId="3" r:id="rId21"/>
    <sheet name="#9484.00 PM TIME" sheetId="4" r:id="rId22"/>
    <sheet name="#9484.00 Misc" sheetId="5" r:id="rId23"/>
    <sheet name="#9484.00 OPN Architects" sheetId="22" r:id="rId24"/>
    <sheet name="#9484.00 GTG Construction" sheetId="117" r:id="rId25"/>
    <sheet name="#9484.00 Schumacher Elevator" sheetId="120" r:id="rId26"/>
    <sheet name="#9484.00 DCI Group (2)" sheetId="154" r:id="rId27"/>
    <sheet name="RECAP #9491.00" sheetId="18" r:id="rId28"/>
    <sheet name="#9491.00 DCI Group" sheetId="109" r:id="rId29"/>
    <sheet name="#9491.00 PM TIME " sheetId="20" r:id="rId30"/>
    <sheet name="#9491.00 Misc " sheetId="21" r:id="rId31"/>
    <sheet name="#9491.00 KCL Engineering" sheetId="19" r:id="rId32"/>
    <sheet name="#9491.00 Modern Piping Service" sheetId="158" r:id="rId33"/>
    <sheet name="RECAP #9494.00" sheetId="23" r:id="rId34"/>
    <sheet name="#9494.00 Vendor A " sheetId="24" r:id="rId35"/>
    <sheet name="#9494.00 PM TIME" sheetId="25" r:id="rId36"/>
    <sheet name="#9494.00 Misc " sheetId="26" r:id="rId37"/>
    <sheet name="RECAP #9495.00" sheetId="27" r:id="rId38"/>
    <sheet name="#9495.00 Vendor A " sheetId="28" r:id="rId39"/>
    <sheet name="#9495.00 PM TIME " sheetId="29" r:id="rId40"/>
    <sheet name="#9495.00 Misc" sheetId="30" r:id="rId41"/>
    <sheet name="RECAP #9496.00" sheetId="31" r:id="rId42"/>
    <sheet name="#9496.00 McGough Construction" sheetId="32" r:id="rId43"/>
    <sheet name="#9496.00 PM TIME" sheetId="33" r:id="rId44"/>
    <sheet name="#9496.00 Misc" sheetId="34" r:id="rId45"/>
    <sheet name="#9496.00 CMB Architects" sheetId="161" r:id="rId46"/>
    <sheet name="RECAP #9497.00" sheetId="35" r:id="rId47"/>
    <sheet name="#9497.00 Story Construction" sheetId="36" r:id="rId48"/>
    <sheet name="#9497.00 PM TIME" sheetId="37" r:id="rId49"/>
    <sheet name="#9497.00 Misc" sheetId="38" r:id="rId50"/>
    <sheet name="#9497.00 ECS Midwest" sheetId="122" r:id="rId51"/>
    <sheet name="RECAP #9498.00" sheetId="39" r:id="rId52"/>
    <sheet name="#9498.00 DCI Group" sheetId="40" r:id="rId53"/>
    <sheet name="#9498.00 PM TIME" sheetId="41" r:id="rId54"/>
    <sheet name="#9498.00 Misc" sheetId="42" r:id="rId55"/>
    <sheet name="#9498.00 OPN Architects" sheetId="111" r:id="rId56"/>
    <sheet name="RECAP #9499.00" sheetId="43" r:id="rId57"/>
    <sheet name="#9499.00 Boyd Jones" sheetId="44" r:id="rId58"/>
    <sheet name="#9499.00 PM TIME " sheetId="45" r:id="rId59"/>
    <sheet name="#9499.00 Misc " sheetId="46" r:id="rId60"/>
    <sheet name="#9499.00 Larson Engineering" sheetId="121" r:id="rId61"/>
    <sheet name="#9499.00 Boyd Jones (2)" sheetId="167" r:id="rId62"/>
    <sheet name="RECAP #9500.00" sheetId="47" r:id="rId63"/>
    <sheet name="#9500.00 McGough Construction" sheetId="48" r:id="rId64"/>
    <sheet name="#9500.00 PM TIME" sheetId="49" r:id="rId65"/>
    <sheet name="#9500.00 Misc" sheetId="50" r:id="rId66"/>
    <sheet name="#9500.00 KCL Engineering" sheetId="156" r:id="rId67"/>
    <sheet name="#9500.00 Terracon Consultants" sheetId="157" r:id="rId68"/>
    <sheet name="RECAP #9501.00" sheetId="51" r:id="rId69"/>
    <sheet name="#9501.00 McGough Construction" sheetId="52" r:id="rId70"/>
    <sheet name="#9501.00 PM TIME" sheetId="53" r:id="rId71"/>
    <sheet name="#9501.00 Misc" sheetId="54" r:id="rId72"/>
    <sheet name="#9501.00 IMEG Corp" sheetId="165" r:id="rId73"/>
    <sheet name="RECAP #9502.00" sheetId="55" r:id="rId74"/>
    <sheet name="#9502.00 McGough Construction" sheetId="56" r:id="rId75"/>
    <sheet name="#9502.00 PM TIME" sheetId="57" r:id="rId76"/>
    <sheet name="#9502.00 Misc " sheetId="58" r:id="rId77"/>
    <sheet name="#9502.00 Modus Engineering" sheetId="116" r:id="rId78"/>
    <sheet name="#9502.00 McGough Constructi (2)" sheetId="162" r:id="rId79"/>
    <sheet name="#9502.00 Modern Companies" sheetId="164" r:id="rId80"/>
    <sheet name="RECAP #9503.00" sheetId="59" r:id="rId81"/>
    <sheet name="#9503.00 Story Construction" sheetId="60" r:id="rId82"/>
    <sheet name="#9503.00 PM TIME " sheetId="61" r:id="rId83"/>
    <sheet name="#9503.00 Misc" sheetId="62" r:id="rId84"/>
    <sheet name="#9503.00 SystemWorks" sheetId="108" r:id="rId85"/>
    <sheet name="RECAP #9504.00" sheetId="63" r:id="rId86"/>
    <sheet name="#9504.00 Story Construction" sheetId="64" r:id="rId87"/>
    <sheet name="#9504.00 PM TIME" sheetId="65" r:id="rId88"/>
    <sheet name="#9504.00 Misc" sheetId="66" r:id="rId89"/>
    <sheet name="#9504.00 OPN Architects" sheetId="166" r:id="rId90"/>
    <sheet name="RECAP #9505.00" sheetId="67" r:id="rId91"/>
    <sheet name="#9505.00 Shive Hattery" sheetId="68" r:id="rId92"/>
    <sheet name="#9505.00 PM TIME" sheetId="69" r:id="rId93"/>
    <sheet name="#9505.00 Misc" sheetId="70" r:id="rId94"/>
    <sheet name="#9505.00 Boyd Jones" sheetId="123" r:id="rId95"/>
    <sheet name="RECAP #9506.00" sheetId="71" r:id="rId96"/>
    <sheet name="#9506.00 McGough Construction" sheetId="72" r:id="rId97"/>
    <sheet name="#9506.00 PM TIME" sheetId="73" r:id="rId98"/>
    <sheet name="#9506.00 Misc" sheetId="74" r:id="rId99"/>
    <sheet name="#9506.00 Bolton and Menk" sheetId="163" r:id="rId100"/>
    <sheet name="RECAP #9507.00" sheetId="75" r:id="rId101"/>
    <sheet name="#9507.00 Vendor A" sheetId="76" r:id="rId102"/>
    <sheet name="#9507.00 PM TIME" sheetId="77" r:id="rId103"/>
    <sheet name="#9507.00 Misc" sheetId="78" r:id="rId104"/>
    <sheet name="RECAP #9508.00" sheetId="79" r:id="rId105"/>
    <sheet name="#9508.00 Story Construction" sheetId="80" r:id="rId106"/>
    <sheet name="#9508.00 PM TIME" sheetId="81" r:id="rId107"/>
    <sheet name="#9508.00 Misc " sheetId="82" r:id="rId108"/>
    <sheet name="#9508.00 CMB Architects" sheetId="118" r:id="rId109"/>
    <sheet name="RECAP #9509.00" sheetId="83" r:id="rId110"/>
    <sheet name="#9509.00 Vendor A" sheetId="84" r:id="rId111"/>
    <sheet name="#9509.00 PM TIME" sheetId="85" r:id="rId112"/>
    <sheet name="#9509.00 Misc" sheetId="86" r:id="rId113"/>
    <sheet name="RECAP #9510.00" sheetId="87" r:id="rId114"/>
    <sheet name="#9510.00 Vendor A" sheetId="88" r:id="rId115"/>
    <sheet name="#9510.00 PM TIME" sheetId="89" r:id="rId116"/>
    <sheet name="#9510.00 Misc" sheetId="90" r:id="rId117"/>
    <sheet name="RECAP #9511.00" sheetId="91" r:id="rId118"/>
    <sheet name="#9511.00 McGough Construction" sheetId="92" r:id="rId119"/>
    <sheet name="#9511.00 PM TIME" sheetId="93" r:id="rId120"/>
    <sheet name="#9511.00 Misc" sheetId="94" r:id="rId121"/>
    <sheet name="#9511.00 Bolton and Menk" sheetId="155" r:id="rId122"/>
    <sheet name="#9511.00 Terracon Consultants" sheetId="160" r:id="rId123"/>
    <sheet name="RECAP #9512.00" sheetId="96" r:id="rId124"/>
    <sheet name="#9512.00 Larson Engineering" sheetId="168" r:id="rId125"/>
    <sheet name="#9512.00 PM TIME" sheetId="98" r:id="rId126"/>
    <sheet name="#9512.00 Misc" sheetId="99" r:id="rId127"/>
    <sheet name="#9512.00 Boyd Jones" sheetId="124" r:id="rId128"/>
    <sheet name="RECAP #9513.00" sheetId="100" r:id="rId129"/>
    <sheet name="#9513.00 DCI Group" sheetId="101" r:id="rId130"/>
    <sheet name="#9513.00 PM TIME" sheetId="102" r:id="rId131"/>
    <sheet name="#9513.00 Misc" sheetId="103" r:id="rId132"/>
    <sheet name="#9513.00 Kezlo Group" sheetId="119" r:id="rId133"/>
    <sheet name="RECAP #9514.00" sheetId="13" r:id="rId134"/>
    <sheet name="#9514.00 Horizon Architecture" sheetId="14" r:id="rId135"/>
    <sheet name="#9514.00 PM TIME " sheetId="15" r:id="rId136"/>
    <sheet name="#9514.00 Misc " sheetId="16" r:id="rId137"/>
    <sheet name="RECAP #9519.00" sheetId="104" r:id="rId138"/>
    <sheet name="#9519.00 Vendor A " sheetId="105" r:id="rId139"/>
    <sheet name="#9519.00 PM TIME" sheetId="106" r:id="rId140"/>
    <sheet name="#9519.00 Misc" sheetId="107" r:id="rId141"/>
    <sheet name="RECAP #9521.00" sheetId="130" r:id="rId142"/>
    <sheet name="#9521.00 Boyd Jones" sheetId="131" r:id="rId143"/>
    <sheet name="#9521.00 PM TIME " sheetId="132" r:id="rId144"/>
    <sheet name="#9521.00 Misc" sheetId="133" r:id="rId145"/>
    <sheet name="RECAP #9524.00" sheetId="138" r:id="rId146"/>
    <sheet name="#9524.00 Vendor A " sheetId="139" r:id="rId147"/>
    <sheet name="#9524.00 PM TIME" sheetId="140" r:id="rId148"/>
    <sheet name="#9524.00 Misc " sheetId="141" r:id="rId149"/>
    <sheet name="RECAP #9527.00" sheetId="134" r:id="rId150"/>
    <sheet name="#9527.00 Vendor A " sheetId="135" r:id="rId151"/>
    <sheet name="#9527.00 PM TIME" sheetId="136" r:id="rId152"/>
    <sheet name="#9527.00 Misc" sheetId="137" r:id="rId153"/>
    <sheet name="RECAP #9529.00" sheetId="146" r:id="rId154"/>
    <sheet name="#9529.00 Vendor A " sheetId="147" r:id="rId155"/>
    <sheet name="#9529.00 PM TIME" sheetId="148" r:id="rId156"/>
    <sheet name="#9529.00 Misc " sheetId="149" r:id="rId157"/>
    <sheet name="RECAP #9530.00" sheetId="150" r:id="rId158"/>
    <sheet name="#9530.00 Story Construction" sheetId="151" r:id="rId159"/>
    <sheet name="#9530.00 PM TIME" sheetId="152" r:id="rId160"/>
    <sheet name="#9530.00 Misc" sheetId="153" r:id="rId161"/>
    <sheet name="RECAP #XXXX.XX " sheetId="142" r:id="rId162"/>
    <sheet name="#XXXX.XX Vendor A" sheetId="143" r:id="rId163"/>
    <sheet name="#XXXX.XX PM TIME" sheetId="144" r:id="rId164"/>
    <sheet name="#XXXX.XX Misc" sheetId="145" r:id="rId165"/>
  </sheets>
  <externalReferences>
    <externalReference r:id="rId166"/>
  </externalReferences>
  <definedNames>
    <definedName name="_xlnm._FilterDatabase" localSheetId="1" hidden="1">FINANCIAL!$A$13:$K$13</definedName>
    <definedName name="_xlnm.Print_Area" localSheetId="28">'#9491.00 DCI Group'!$A$1:$I$52</definedName>
    <definedName name="_xlnm.Print_Area" localSheetId="31">'#9491.00 KCL Engineering'!$A$1:$I$49</definedName>
    <definedName name="_xlnm.Print_Area" localSheetId="1">FINANCIAL!$A$1:$K$57</definedName>
    <definedName name="_xlnm.Print_Titles" localSheetId="1">FINANCIAL!$2:$2</definedName>
    <definedName name="Z_B4E4B686_422E_4CA5_83DF_67B3403136B9_.wvu.FilterData" localSheetId="1" hidden="1">FINANCIAL!$A$13:$K$13</definedName>
    <definedName name="Z_B4E4B686_422E_4CA5_83DF_67B3403136B9_.wvu.PrintArea" localSheetId="1" hidden="1">FINANCIAL!$A$1:$K$57</definedName>
    <definedName name="Z_B4E4B686_422E_4CA5_83DF_67B3403136B9_.wvu.PrintTitles" localSheetId="1" hidden="1">FINANCIAL!$2:$2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96" l="1"/>
  <c r="E10" i="96"/>
  <c r="D10" i="96"/>
  <c r="F31" i="168"/>
  <c r="D31" i="168"/>
  <c r="H30" i="168"/>
  <c r="H29" i="168"/>
  <c r="H28" i="168"/>
  <c r="H27" i="168"/>
  <c r="H31" i="168" s="1"/>
  <c r="H26" i="168"/>
  <c r="F23" i="168"/>
  <c r="D23" i="168"/>
  <c r="G10" i="168"/>
  <c r="G11" i="168" s="1"/>
  <c r="G12" i="168" s="1"/>
  <c r="G13" i="168" s="1"/>
  <c r="G14" i="168" s="1"/>
  <c r="G15" i="168" s="1"/>
  <c r="G16" i="168" s="1"/>
  <c r="G17" i="168" s="1"/>
  <c r="G18" i="168" s="1"/>
  <c r="G19" i="168" s="1"/>
  <c r="G20" i="168" s="1"/>
  <c r="G21" i="168" s="1"/>
  <c r="E10" i="168"/>
  <c r="E11" i="168" s="1"/>
  <c r="E12" i="168" s="1"/>
  <c r="E13" i="168" s="1"/>
  <c r="E14" i="168" s="1"/>
  <c r="E15" i="168" s="1"/>
  <c r="E16" i="168" s="1"/>
  <c r="E17" i="168" s="1"/>
  <c r="E18" i="168" s="1"/>
  <c r="E19" i="168" s="1"/>
  <c r="E20" i="168" s="1"/>
  <c r="E21" i="168" s="1"/>
  <c r="E9" i="168"/>
  <c r="H9" i="168" s="1"/>
  <c r="H10" i="168" s="1"/>
  <c r="H11" i="168" s="1"/>
  <c r="H12" i="168" s="1"/>
  <c r="H13" i="168" s="1"/>
  <c r="H14" i="168" s="1"/>
  <c r="H15" i="168" s="1"/>
  <c r="H16" i="168" s="1"/>
  <c r="H17" i="168" s="1"/>
  <c r="H18" i="168" s="1"/>
  <c r="H19" i="168" s="1"/>
  <c r="H20" i="168" s="1"/>
  <c r="H21" i="168" s="1"/>
  <c r="A6" i="168"/>
  <c r="D3" i="168"/>
  <c r="A3" i="168"/>
  <c r="A2" i="168"/>
  <c r="A1" i="168"/>
  <c r="H23" i="168" l="1"/>
  <c r="F13" i="96"/>
  <c r="E13" i="96"/>
  <c r="D13" i="96"/>
  <c r="F28" i="124"/>
  <c r="F14" i="43"/>
  <c r="E14" i="43"/>
  <c r="D14" i="43"/>
  <c r="D28" i="167"/>
  <c r="H27" i="167"/>
  <c r="F28" i="167"/>
  <c r="F23" i="167"/>
  <c r="D23" i="167"/>
  <c r="G10" i="167"/>
  <c r="G11" i="167" s="1"/>
  <c r="G12" i="167" s="1"/>
  <c r="G13" i="167" s="1"/>
  <c r="G14" i="167" s="1"/>
  <c r="G15" i="167" s="1"/>
  <c r="G16" i="167" s="1"/>
  <c r="G17" i="167" s="1"/>
  <c r="G18" i="167" s="1"/>
  <c r="G19" i="167" s="1"/>
  <c r="G20" i="167" s="1"/>
  <c r="G21" i="167" s="1"/>
  <c r="E9" i="167"/>
  <c r="E10" i="167" s="1"/>
  <c r="E11" i="167" s="1"/>
  <c r="E12" i="167" s="1"/>
  <c r="E13" i="167" s="1"/>
  <c r="E14" i="167" s="1"/>
  <c r="E15" i="167" s="1"/>
  <c r="E16" i="167" s="1"/>
  <c r="E17" i="167" s="1"/>
  <c r="E18" i="167" s="1"/>
  <c r="E19" i="167" s="1"/>
  <c r="E20" i="167" s="1"/>
  <c r="E21" i="167" s="1"/>
  <c r="A6" i="167"/>
  <c r="D3" i="167"/>
  <c r="A3" i="167"/>
  <c r="A2" i="167"/>
  <c r="A1" i="167"/>
  <c r="I12" i="117"/>
  <c r="F29" i="121"/>
  <c r="I24" i="20"/>
  <c r="I25" i="20" s="1"/>
  <c r="I26" i="20" s="1"/>
  <c r="H24" i="20"/>
  <c r="H25" i="20"/>
  <c r="H26" i="20" s="1"/>
  <c r="F24" i="20"/>
  <c r="F25" i="20" s="1"/>
  <c r="F26" i="20" s="1"/>
  <c r="I26" i="4"/>
  <c r="I27" i="4" s="1"/>
  <c r="I28" i="4" s="1"/>
  <c r="H26" i="4"/>
  <c r="H27" i="4" s="1"/>
  <c r="H28" i="4" s="1"/>
  <c r="F26" i="4"/>
  <c r="F27" i="4" s="1"/>
  <c r="F28" i="4" s="1"/>
  <c r="I26" i="11"/>
  <c r="I27" i="11" s="1"/>
  <c r="I28" i="11" s="1"/>
  <c r="H26" i="11"/>
  <c r="H27" i="11" s="1"/>
  <c r="H28" i="11" s="1"/>
  <c r="F26" i="11"/>
  <c r="F27" i="11"/>
  <c r="F28" i="11" s="1"/>
  <c r="I11" i="117"/>
  <c r="F26" i="154"/>
  <c r="H23" i="167" l="1"/>
  <c r="H9" i="167"/>
  <c r="H10" i="167" s="1"/>
  <c r="H11" i="167" s="1"/>
  <c r="H12" i="167" s="1"/>
  <c r="H13" i="167" s="1"/>
  <c r="H14" i="167" s="1"/>
  <c r="H15" i="167" s="1"/>
  <c r="H16" i="167" s="1"/>
  <c r="H17" i="167" s="1"/>
  <c r="H18" i="167" s="1"/>
  <c r="H19" i="167" s="1"/>
  <c r="H20" i="167" s="1"/>
  <c r="H21" i="167" s="1"/>
  <c r="H26" i="167"/>
  <c r="H28" i="167" s="1"/>
  <c r="F13" i="63"/>
  <c r="E13" i="63"/>
  <c r="D13" i="63"/>
  <c r="H27" i="166"/>
  <c r="H28" i="166"/>
  <c r="F29" i="166"/>
  <c r="D29" i="166"/>
  <c r="H26" i="166"/>
  <c r="F23" i="166"/>
  <c r="D23" i="166"/>
  <c r="G10" i="166"/>
  <c r="G11" i="166" s="1"/>
  <c r="G12" i="166" s="1"/>
  <c r="G13" i="166" s="1"/>
  <c r="G14" i="166" s="1"/>
  <c r="G15" i="166" s="1"/>
  <c r="G16" i="166" s="1"/>
  <c r="G17" i="166" s="1"/>
  <c r="G18" i="166" s="1"/>
  <c r="G19" i="166" s="1"/>
  <c r="G20" i="166" s="1"/>
  <c r="G21" i="166" s="1"/>
  <c r="E10" i="166"/>
  <c r="E11" i="166" s="1"/>
  <c r="E12" i="166" s="1"/>
  <c r="E13" i="166" s="1"/>
  <c r="E14" i="166" s="1"/>
  <c r="E15" i="166" s="1"/>
  <c r="E16" i="166" s="1"/>
  <c r="E17" i="166" s="1"/>
  <c r="E18" i="166" s="1"/>
  <c r="E19" i="166" s="1"/>
  <c r="E20" i="166" s="1"/>
  <c r="E21" i="166" s="1"/>
  <c r="E9" i="166"/>
  <c r="H9" i="166" s="1"/>
  <c r="H10" i="166" s="1"/>
  <c r="H11" i="166" s="1"/>
  <c r="H12" i="166" s="1"/>
  <c r="H13" i="166" s="1"/>
  <c r="H14" i="166" s="1"/>
  <c r="H15" i="166" s="1"/>
  <c r="H16" i="166" s="1"/>
  <c r="H17" i="166" s="1"/>
  <c r="H18" i="166" s="1"/>
  <c r="H19" i="166" s="1"/>
  <c r="H20" i="166" s="1"/>
  <c r="H21" i="166" s="1"/>
  <c r="A6" i="166"/>
  <c r="D3" i="166"/>
  <c r="A3" i="166"/>
  <c r="A2" i="166"/>
  <c r="A1" i="166"/>
  <c r="D27" i="109"/>
  <c r="D26" i="109"/>
  <c r="F27" i="109"/>
  <c r="F26" i="109"/>
  <c r="H29" i="166" l="1"/>
  <c r="H23" i="166"/>
  <c r="F26" i="101"/>
  <c r="F27" i="19"/>
  <c r="F26" i="155"/>
  <c r="D27" i="56"/>
  <c r="D26" i="56"/>
  <c r="F26" i="56"/>
  <c r="F27" i="116"/>
  <c r="F26" i="116"/>
  <c r="F26" i="156"/>
  <c r="F27" i="48"/>
  <c r="F26" i="48"/>
  <c r="F13" i="51"/>
  <c r="E13" i="51"/>
  <c r="D13" i="51"/>
  <c r="F31" i="165"/>
  <c r="H31" i="165"/>
  <c r="H27" i="165"/>
  <c r="H28" i="165"/>
  <c r="H29" i="165"/>
  <c r="H30" i="165"/>
  <c r="H26" i="165"/>
  <c r="D31" i="165"/>
  <c r="F23" i="165"/>
  <c r="D23" i="165"/>
  <c r="G10" i="165"/>
  <c r="G11" i="165" s="1"/>
  <c r="G12" i="165" s="1"/>
  <c r="G13" i="165" s="1"/>
  <c r="G14" i="165" s="1"/>
  <c r="G15" i="165" s="1"/>
  <c r="G16" i="165" s="1"/>
  <c r="G17" i="165" s="1"/>
  <c r="G18" i="165" s="1"/>
  <c r="G19" i="165" s="1"/>
  <c r="G20" i="165" s="1"/>
  <c r="G21" i="165" s="1"/>
  <c r="E9" i="165"/>
  <c r="H9" i="165" s="1"/>
  <c r="H10" i="165" s="1"/>
  <c r="H11" i="165" s="1"/>
  <c r="H12" i="165" s="1"/>
  <c r="H13" i="165" s="1"/>
  <c r="H14" i="165" s="1"/>
  <c r="H15" i="165" s="1"/>
  <c r="H16" i="165" s="1"/>
  <c r="H17" i="165" s="1"/>
  <c r="H18" i="165" s="1"/>
  <c r="H19" i="165" s="1"/>
  <c r="H20" i="165" s="1"/>
  <c r="H21" i="165" s="1"/>
  <c r="A6" i="165"/>
  <c r="D3" i="165"/>
  <c r="A3" i="165"/>
  <c r="A2" i="165"/>
  <c r="A1" i="165"/>
  <c r="F26" i="10"/>
  <c r="F27" i="10"/>
  <c r="F27" i="92"/>
  <c r="F26" i="92"/>
  <c r="H23" i="165" l="1"/>
  <c r="E10" i="165"/>
  <c r="E11" i="165" s="1"/>
  <c r="E12" i="165" s="1"/>
  <c r="E13" i="165" s="1"/>
  <c r="E14" i="165" s="1"/>
  <c r="E15" i="165" s="1"/>
  <c r="E16" i="165" s="1"/>
  <c r="E17" i="165" s="1"/>
  <c r="E18" i="165" s="1"/>
  <c r="E19" i="165" s="1"/>
  <c r="E20" i="165" s="1"/>
  <c r="E21" i="165" s="1"/>
  <c r="F26" i="161"/>
  <c r="F26" i="36"/>
  <c r="F26" i="122"/>
  <c r="F27" i="72"/>
  <c r="F26" i="72"/>
  <c r="F26" i="44"/>
  <c r="F27" i="123" l="1"/>
  <c r="F26" i="123"/>
  <c r="F28" i="68"/>
  <c r="F27" i="68"/>
  <c r="F26" i="68"/>
  <c r="F22" i="93"/>
  <c r="F23" i="93"/>
  <c r="F24" i="93" s="1"/>
  <c r="F22" i="73"/>
  <c r="F23" i="73" s="1"/>
  <c r="F24" i="73" s="1"/>
  <c r="F22" i="57"/>
  <c r="F23" i="57" s="1"/>
  <c r="F24" i="57" s="1"/>
  <c r="F22" i="49"/>
  <c r="F23" i="49" s="1"/>
  <c r="F24" i="49" s="1"/>
  <c r="F27" i="64"/>
  <c r="F26" i="64"/>
  <c r="F27" i="80" l="1"/>
  <c r="F26" i="80"/>
  <c r="F15" i="55"/>
  <c r="E15" i="55"/>
  <c r="D15" i="55"/>
  <c r="F23" i="164"/>
  <c r="D23" i="164"/>
  <c r="H23" i="164" s="1"/>
  <c r="G12" i="164"/>
  <c r="G13" i="164" s="1"/>
  <c r="G14" i="164" s="1"/>
  <c r="G15" i="164" s="1"/>
  <c r="G16" i="164" s="1"/>
  <c r="G17" i="164" s="1"/>
  <c r="G18" i="164" s="1"/>
  <c r="G19" i="164" s="1"/>
  <c r="G20" i="164" s="1"/>
  <c r="G21" i="164" s="1"/>
  <c r="G11" i="164"/>
  <c r="G10" i="164"/>
  <c r="E9" i="164"/>
  <c r="E10" i="164" s="1"/>
  <c r="E11" i="164" s="1"/>
  <c r="E12" i="164" s="1"/>
  <c r="E13" i="164" s="1"/>
  <c r="E14" i="164" s="1"/>
  <c r="E15" i="164" s="1"/>
  <c r="E16" i="164" s="1"/>
  <c r="E17" i="164" s="1"/>
  <c r="E18" i="164" s="1"/>
  <c r="E19" i="164" s="1"/>
  <c r="E20" i="164" s="1"/>
  <c r="E21" i="164" s="1"/>
  <c r="A6" i="164"/>
  <c r="D3" i="164"/>
  <c r="A3" i="164"/>
  <c r="A2" i="164"/>
  <c r="A1" i="164"/>
  <c r="E9" i="98"/>
  <c r="E9" i="20"/>
  <c r="H27" i="163"/>
  <c r="H30" i="163" s="1"/>
  <c r="H28" i="163"/>
  <c r="H29" i="163"/>
  <c r="H26" i="163"/>
  <c r="F30" i="163"/>
  <c r="D30" i="163"/>
  <c r="F23" i="163"/>
  <c r="E13" i="71" s="1"/>
  <c r="D23" i="163"/>
  <c r="D13" i="71" s="1"/>
  <c r="G10" i="163"/>
  <c r="G11" i="163" s="1"/>
  <c r="G12" i="163" s="1"/>
  <c r="G13" i="163" s="1"/>
  <c r="G14" i="163" s="1"/>
  <c r="G15" i="163" s="1"/>
  <c r="G16" i="163" s="1"/>
  <c r="G17" i="163" s="1"/>
  <c r="G18" i="163" s="1"/>
  <c r="G19" i="163" s="1"/>
  <c r="G20" i="163" s="1"/>
  <c r="G21" i="163" s="1"/>
  <c r="E9" i="163"/>
  <c r="E10" i="163" s="1"/>
  <c r="E11" i="163" s="1"/>
  <c r="E12" i="163" s="1"/>
  <c r="E13" i="163" s="1"/>
  <c r="E14" i="163" s="1"/>
  <c r="E15" i="163" s="1"/>
  <c r="E16" i="163" s="1"/>
  <c r="E17" i="163" s="1"/>
  <c r="E18" i="163" s="1"/>
  <c r="E19" i="163" s="1"/>
  <c r="E20" i="163" s="1"/>
  <c r="E21" i="163" s="1"/>
  <c r="A6" i="163"/>
  <c r="D3" i="163"/>
  <c r="A3" i="163"/>
  <c r="A2" i="163"/>
  <c r="A1" i="163"/>
  <c r="F29" i="22"/>
  <c r="F27" i="32"/>
  <c r="F26" i="32"/>
  <c r="H9" i="164" l="1"/>
  <c r="H10" i="164" s="1"/>
  <c r="H11" i="164" s="1"/>
  <c r="H12" i="164" s="1"/>
  <c r="H13" i="164" s="1"/>
  <c r="H14" i="164" s="1"/>
  <c r="H15" i="164" s="1"/>
  <c r="H16" i="164" s="1"/>
  <c r="H17" i="164" s="1"/>
  <c r="H18" i="164" s="1"/>
  <c r="H19" i="164" s="1"/>
  <c r="H20" i="164" s="1"/>
  <c r="H21" i="164" s="1"/>
  <c r="H23" i="163"/>
  <c r="F13" i="71" s="1"/>
  <c r="H9" i="163"/>
  <c r="H10" i="163" s="1"/>
  <c r="H11" i="163" s="1"/>
  <c r="H12" i="163" s="1"/>
  <c r="H13" i="163" s="1"/>
  <c r="H14" i="163" s="1"/>
  <c r="H15" i="163" s="1"/>
  <c r="H16" i="163" s="1"/>
  <c r="H17" i="163" s="1"/>
  <c r="H18" i="163" s="1"/>
  <c r="H19" i="163" s="1"/>
  <c r="H20" i="163" s="1"/>
  <c r="H21" i="163" s="1"/>
  <c r="F27" i="52"/>
  <c r="F26" i="52"/>
  <c r="E14" i="55" l="1"/>
  <c r="D14" i="55"/>
  <c r="H27" i="162"/>
  <c r="H28" i="162"/>
  <c r="D29" i="162"/>
  <c r="F29" i="162"/>
  <c r="F23" i="162"/>
  <c r="D23" i="162"/>
  <c r="G10" i="162"/>
  <c r="G11" i="162" s="1"/>
  <c r="G12" i="162" s="1"/>
  <c r="G13" i="162" s="1"/>
  <c r="G14" i="162" s="1"/>
  <c r="G15" i="162" s="1"/>
  <c r="G16" i="162" s="1"/>
  <c r="G17" i="162" s="1"/>
  <c r="G18" i="162" s="1"/>
  <c r="G19" i="162" s="1"/>
  <c r="G20" i="162" s="1"/>
  <c r="G21" i="162" s="1"/>
  <c r="E9" i="162"/>
  <c r="H9" i="162" s="1"/>
  <c r="H10" i="162" s="1"/>
  <c r="H11" i="162" s="1"/>
  <c r="H12" i="162" s="1"/>
  <c r="H13" i="162" s="1"/>
  <c r="H14" i="162" s="1"/>
  <c r="H15" i="162" s="1"/>
  <c r="H16" i="162" s="1"/>
  <c r="H17" i="162" s="1"/>
  <c r="H18" i="162" s="1"/>
  <c r="H19" i="162" s="1"/>
  <c r="H20" i="162" s="1"/>
  <c r="H21" i="162" s="1"/>
  <c r="A6" i="162"/>
  <c r="D3" i="162"/>
  <c r="A3" i="162"/>
  <c r="A2" i="162"/>
  <c r="A1" i="162"/>
  <c r="F26" i="118"/>
  <c r="H26" i="162" l="1"/>
  <c r="H29" i="162" s="1"/>
  <c r="H23" i="162"/>
  <c r="F14" i="55" s="1"/>
  <c r="E10" i="162"/>
  <c r="E11" i="162" s="1"/>
  <c r="E12" i="162" s="1"/>
  <c r="E13" i="162" s="1"/>
  <c r="E14" i="162" s="1"/>
  <c r="E15" i="162" s="1"/>
  <c r="E16" i="162" s="1"/>
  <c r="E17" i="162" s="1"/>
  <c r="E18" i="162" s="1"/>
  <c r="E19" i="162" s="1"/>
  <c r="E20" i="162" s="1"/>
  <c r="E21" i="162" s="1"/>
  <c r="D13" i="31"/>
  <c r="F31" i="161"/>
  <c r="D31" i="161"/>
  <c r="H27" i="161"/>
  <c r="H28" i="161"/>
  <c r="H29" i="161"/>
  <c r="H30" i="161"/>
  <c r="H26" i="161"/>
  <c r="H31" i="161" s="1"/>
  <c r="F23" i="161"/>
  <c r="E13" i="31" s="1"/>
  <c r="D23" i="161"/>
  <c r="G10" i="161"/>
  <c r="G11" i="161" s="1"/>
  <c r="G12" i="161" s="1"/>
  <c r="G13" i="161" s="1"/>
  <c r="G14" i="161" s="1"/>
  <c r="G15" i="161" s="1"/>
  <c r="G16" i="161" s="1"/>
  <c r="G17" i="161" s="1"/>
  <c r="G18" i="161" s="1"/>
  <c r="G19" i="161" s="1"/>
  <c r="G20" i="161" s="1"/>
  <c r="G21" i="161" s="1"/>
  <c r="E9" i="161"/>
  <c r="E10" i="161" s="1"/>
  <c r="E11" i="161" s="1"/>
  <c r="E12" i="161" s="1"/>
  <c r="E13" i="161" s="1"/>
  <c r="E14" i="161" s="1"/>
  <c r="E15" i="161" s="1"/>
  <c r="E16" i="161" s="1"/>
  <c r="E17" i="161" s="1"/>
  <c r="E18" i="161" s="1"/>
  <c r="E19" i="161" s="1"/>
  <c r="E20" i="161" s="1"/>
  <c r="E21" i="161" s="1"/>
  <c r="A6" i="161"/>
  <c r="D3" i="161"/>
  <c r="A3" i="161"/>
  <c r="A2" i="161"/>
  <c r="A1" i="161"/>
  <c r="E29" i="6"/>
  <c r="H30" i="160"/>
  <c r="H32" i="160"/>
  <c r="H27" i="160"/>
  <c r="H28" i="160"/>
  <c r="H29" i="160"/>
  <c r="H31" i="160"/>
  <c r="F33" i="160"/>
  <c r="D33" i="160"/>
  <c r="H26" i="160"/>
  <c r="F23" i="160"/>
  <c r="E14" i="91" s="1"/>
  <c r="D23" i="160"/>
  <c r="D14" i="91" s="1"/>
  <c r="G10" i="160"/>
  <c r="G11" i="160" s="1"/>
  <c r="G12" i="160" s="1"/>
  <c r="G13" i="160" s="1"/>
  <c r="G14" i="160" s="1"/>
  <c r="G15" i="160" s="1"/>
  <c r="G16" i="160" s="1"/>
  <c r="G17" i="160" s="1"/>
  <c r="G18" i="160" s="1"/>
  <c r="G19" i="160" s="1"/>
  <c r="G20" i="160" s="1"/>
  <c r="G21" i="160" s="1"/>
  <c r="E9" i="160"/>
  <c r="E10" i="160" s="1"/>
  <c r="E11" i="160" s="1"/>
  <c r="E12" i="160" s="1"/>
  <c r="E13" i="160" s="1"/>
  <c r="E14" i="160" s="1"/>
  <c r="E15" i="160" s="1"/>
  <c r="E16" i="160" s="1"/>
  <c r="E17" i="160" s="1"/>
  <c r="E18" i="160" s="1"/>
  <c r="E19" i="160" s="1"/>
  <c r="E20" i="160" s="1"/>
  <c r="E21" i="160" s="1"/>
  <c r="A6" i="160"/>
  <c r="D3" i="160"/>
  <c r="A3" i="160"/>
  <c r="A2" i="160"/>
  <c r="A1" i="160"/>
  <c r="F13" i="126"/>
  <c r="F48" i="159"/>
  <c r="D48" i="159"/>
  <c r="H47" i="159"/>
  <c r="H46" i="159"/>
  <c r="H45" i="159"/>
  <c r="H44" i="159"/>
  <c r="F40" i="159"/>
  <c r="D40" i="159"/>
  <c r="H39" i="159"/>
  <c r="H38" i="159"/>
  <c r="H37" i="159"/>
  <c r="H36" i="159"/>
  <c r="H40" i="159" s="1"/>
  <c r="D31" i="159"/>
  <c r="D51" i="159" s="1"/>
  <c r="F31" i="159"/>
  <c r="F51" i="159" s="1"/>
  <c r="H28" i="159"/>
  <c r="H29" i="159"/>
  <c r="H30" i="159"/>
  <c r="H27" i="159"/>
  <c r="H31" i="159" s="1"/>
  <c r="F23" i="159"/>
  <c r="E13" i="126" s="1"/>
  <c r="D23" i="159"/>
  <c r="H23" i="159" s="1"/>
  <c r="G10" i="159"/>
  <c r="G11" i="159" s="1"/>
  <c r="G12" i="159" s="1"/>
  <c r="G13" i="159" s="1"/>
  <c r="G14" i="159" s="1"/>
  <c r="G15" i="159" s="1"/>
  <c r="G16" i="159" s="1"/>
  <c r="G17" i="159" s="1"/>
  <c r="G18" i="159" s="1"/>
  <c r="G19" i="159" s="1"/>
  <c r="G20" i="159" s="1"/>
  <c r="G21" i="159" s="1"/>
  <c r="E9" i="159"/>
  <c r="H9" i="159" s="1"/>
  <c r="H10" i="159" s="1"/>
  <c r="H11" i="159" s="1"/>
  <c r="H12" i="159" s="1"/>
  <c r="H13" i="159" s="1"/>
  <c r="H14" i="159" s="1"/>
  <c r="H15" i="159" s="1"/>
  <c r="H16" i="159" s="1"/>
  <c r="H17" i="159" s="1"/>
  <c r="H18" i="159" s="1"/>
  <c r="H19" i="159" s="1"/>
  <c r="H20" i="159" s="1"/>
  <c r="H21" i="159" s="1"/>
  <c r="A6" i="159"/>
  <c r="D3" i="159"/>
  <c r="A3" i="159"/>
  <c r="A2" i="159"/>
  <c r="A1" i="159"/>
  <c r="E20" i="6"/>
  <c r="H48" i="159" l="1"/>
  <c r="H51" i="159" s="1"/>
  <c r="D13" i="126"/>
  <c r="H23" i="161"/>
  <c r="F13" i="31" s="1"/>
  <c r="H9" i="161"/>
  <c r="H10" i="161" s="1"/>
  <c r="H11" i="161" s="1"/>
  <c r="H12" i="161" s="1"/>
  <c r="H13" i="161" s="1"/>
  <c r="H14" i="161" s="1"/>
  <c r="H15" i="161" s="1"/>
  <c r="H16" i="161" s="1"/>
  <c r="H17" i="161" s="1"/>
  <c r="H18" i="161" s="1"/>
  <c r="H19" i="161" s="1"/>
  <c r="H20" i="161" s="1"/>
  <c r="H21" i="161" s="1"/>
  <c r="H23" i="160"/>
  <c r="F14" i="91" s="1"/>
  <c r="H33" i="160"/>
  <c r="H9" i="160"/>
  <c r="H10" i="160" s="1"/>
  <c r="H11" i="160" s="1"/>
  <c r="H12" i="160" s="1"/>
  <c r="H13" i="160" s="1"/>
  <c r="H14" i="160" s="1"/>
  <c r="H15" i="160" s="1"/>
  <c r="H16" i="160" s="1"/>
  <c r="H17" i="160" s="1"/>
  <c r="H18" i="160" s="1"/>
  <c r="H19" i="160" s="1"/>
  <c r="H20" i="160" s="1"/>
  <c r="H21" i="160" s="1"/>
  <c r="E10" i="159"/>
  <c r="E11" i="159" s="1"/>
  <c r="E12" i="159" s="1"/>
  <c r="E13" i="159" s="1"/>
  <c r="E14" i="159" s="1"/>
  <c r="E15" i="159" s="1"/>
  <c r="E16" i="159" s="1"/>
  <c r="E17" i="159" s="1"/>
  <c r="E18" i="159" s="1"/>
  <c r="E19" i="159" s="1"/>
  <c r="E20" i="159" s="1"/>
  <c r="E21" i="159" s="1"/>
  <c r="F30" i="125" l="1"/>
  <c r="F26" i="125"/>
  <c r="D14" i="18"/>
  <c r="F23" i="158"/>
  <c r="E14" i="18" s="1"/>
  <c r="D23" i="158"/>
  <c r="G10" i="158"/>
  <c r="G11" i="158" s="1"/>
  <c r="G12" i="158" s="1"/>
  <c r="G13" i="158" s="1"/>
  <c r="G14" i="158" s="1"/>
  <c r="G15" i="158" s="1"/>
  <c r="G16" i="158" s="1"/>
  <c r="G17" i="158" s="1"/>
  <c r="G18" i="158" s="1"/>
  <c r="G19" i="158" s="1"/>
  <c r="G20" i="158" s="1"/>
  <c r="G21" i="158" s="1"/>
  <c r="H9" i="158"/>
  <c r="H10" i="158" s="1"/>
  <c r="H11" i="158" s="1"/>
  <c r="H12" i="158" s="1"/>
  <c r="H13" i="158" s="1"/>
  <c r="H14" i="158" s="1"/>
  <c r="H15" i="158" s="1"/>
  <c r="H16" i="158" s="1"/>
  <c r="H17" i="158" s="1"/>
  <c r="H18" i="158" s="1"/>
  <c r="H19" i="158" s="1"/>
  <c r="H20" i="158" s="1"/>
  <c r="H21" i="158" s="1"/>
  <c r="E9" i="158"/>
  <c r="E10" i="158" s="1"/>
  <c r="E11" i="158" s="1"/>
  <c r="E12" i="158" s="1"/>
  <c r="E13" i="158" s="1"/>
  <c r="E14" i="158" s="1"/>
  <c r="E15" i="158" s="1"/>
  <c r="E16" i="158" s="1"/>
  <c r="E17" i="158" s="1"/>
  <c r="E18" i="158" s="1"/>
  <c r="E19" i="158" s="1"/>
  <c r="E20" i="158" s="1"/>
  <c r="E21" i="158" s="1"/>
  <c r="A6" i="158"/>
  <c r="D3" i="158"/>
  <c r="A3" i="158"/>
  <c r="A2" i="158"/>
  <c r="A1" i="158"/>
  <c r="E32" i="6"/>
  <c r="H23" i="158" l="1"/>
  <c r="F14" i="18" s="1"/>
  <c r="F26" i="119"/>
  <c r="F28" i="121" l="1"/>
  <c r="F27" i="121"/>
  <c r="F32" i="121" s="1"/>
  <c r="F26" i="121"/>
  <c r="F27" i="36"/>
  <c r="E14" i="47"/>
  <c r="H27" i="157"/>
  <c r="H28" i="157"/>
  <c r="H29" i="157"/>
  <c r="H30" i="157"/>
  <c r="H31" i="157"/>
  <c r="H32" i="157"/>
  <c r="F33" i="157"/>
  <c r="D33" i="157"/>
  <c r="H26" i="157"/>
  <c r="F23" i="157"/>
  <c r="D23" i="157"/>
  <c r="H23" i="157" s="1"/>
  <c r="F14" i="47" s="1"/>
  <c r="G10" i="157"/>
  <c r="G11" i="157" s="1"/>
  <c r="G12" i="157" s="1"/>
  <c r="G13" i="157" s="1"/>
  <c r="G14" i="157" s="1"/>
  <c r="G15" i="157" s="1"/>
  <c r="G16" i="157" s="1"/>
  <c r="G17" i="157" s="1"/>
  <c r="G18" i="157" s="1"/>
  <c r="G19" i="157" s="1"/>
  <c r="G20" i="157" s="1"/>
  <c r="G21" i="157" s="1"/>
  <c r="E9" i="157"/>
  <c r="H9" i="157" s="1"/>
  <c r="H10" i="157" s="1"/>
  <c r="H11" i="157" s="1"/>
  <c r="H12" i="157" s="1"/>
  <c r="H13" i="157" s="1"/>
  <c r="H14" i="157" s="1"/>
  <c r="H15" i="157" s="1"/>
  <c r="H16" i="157" s="1"/>
  <c r="H17" i="157" s="1"/>
  <c r="H18" i="157" s="1"/>
  <c r="H19" i="157" s="1"/>
  <c r="H20" i="157" s="1"/>
  <c r="H21" i="157" s="1"/>
  <c r="A6" i="157"/>
  <c r="D3" i="157"/>
  <c r="A3" i="157"/>
  <c r="A2" i="157"/>
  <c r="A1" i="157"/>
  <c r="D14" i="47" l="1"/>
  <c r="H33" i="157"/>
  <c r="E10" i="157"/>
  <c r="E11" i="157" s="1"/>
  <c r="E12" i="157" s="1"/>
  <c r="E13" i="157" s="1"/>
  <c r="E14" i="157" s="1"/>
  <c r="E15" i="157" s="1"/>
  <c r="E16" i="157" s="1"/>
  <c r="E17" i="157" s="1"/>
  <c r="E18" i="157" s="1"/>
  <c r="E19" i="157" s="1"/>
  <c r="E20" i="157" s="1"/>
  <c r="E21" i="157" s="1"/>
  <c r="F28" i="22"/>
  <c r="H27" i="156" l="1"/>
  <c r="H28" i="156"/>
  <c r="H29" i="156"/>
  <c r="H26" i="156"/>
  <c r="F30" i="156"/>
  <c r="D30" i="156"/>
  <c r="F23" i="156"/>
  <c r="E13" i="47" s="1"/>
  <c r="D23" i="156"/>
  <c r="G10" i="156"/>
  <c r="G11" i="156" s="1"/>
  <c r="G12" i="156" s="1"/>
  <c r="G13" i="156" s="1"/>
  <c r="G14" i="156" s="1"/>
  <c r="G15" i="156" s="1"/>
  <c r="G16" i="156" s="1"/>
  <c r="G17" i="156" s="1"/>
  <c r="G18" i="156" s="1"/>
  <c r="G19" i="156" s="1"/>
  <c r="G20" i="156" s="1"/>
  <c r="G21" i="156" s="1"/>
  <c r="E9" i="156"/>
  <c r="H9" i="156" s="1"/>
  <c r="H10" i="156" s="1"/>
  <c r="H11" i="156" s="1"/>
  <c r="H12" i="156" s="1"/>
  <c r="H13" i="156" s="1"/>
  <c r="H14" i="156" s="1"/>
  <c r="H15" i="156" s="1"/>
  <c r="H16" i="156" s="1"/>
  <c r="H17" i="156" s="1"/>
  <c r="H18" i="156" s="1"/>
  <c r="H19" i="156" s="1"/>
  <c r="H20" i="156" s="1"/>
  <c r="H21" i="156" s="1"/>
  <c r="A6" i="156"/>
  <c r="D3" i="156"/>
  <c r="A3" i="156"/>
  <c r="A2" i="156"/>
  <c r="A1" i="156"/>
  <c r="F30" i="155"/>
  <c r="H27" i="155"/>
  <c r="H28" i="155"/>
  <c r="H29" i="155"/>
  <c r="H26" i="155"/>
  <c r="H30" i="155" s="1"/>
  <c r="D30" i="155"/>
  <c r="F23" i="155"/>
  <c r="E13" i="91" s="1"/>
  <c r="D23" i="155"/>
  <c r="D13" i="91" s="1"/>
  <c r="G10" i="155"/>
  <c r="G11" i="155" s="1"/>
  <c r="G12" i="155" s="1"/>
  <c r="G13" i="155" s="1"/>
  <c r="G14" i="155" s="1"/>
  <c r="G15" i="155" s="1"/>
  <c r="G16" i="155" s="1"/>
  <c r="G17" i="155" s="1"/>
  <c r="G18" i="155" s="1"/>
  <c r="G19" i="155" s="1"/>
  <c r="G20" i="155" s="1"/>
  <c r="G21" i="155" s="1"/>
  <c r="E9" i="155"/>
  <c r="E10" i="155" s="1"/>
  <c r="E11" i="155" s="1"/>
  <c r="E12" i="155" s="1"/>
  <c r="E13" i="155" s="1"/>
  <c r="E14" i="155" s="1"/>
  <c r="E15" i="155" s="1"/>
  <c r="E16" i="155" s="1"/>
  <c r="E17" i="155" s="1"/>
  <c r="E18" i="155" s="1"/>
  <c r="E19" i="155" s="1"/>
  <c r="E20" i="155" s="1"/>
  <c r="E21" i="155" s="1"/>
  <c r="A6" i="155"/>
  <c r="D3" i="155"/>
  <c r="A3" i="155"/>
  <c r="A2" i="155"/>
  <c r="A1" i="155"/>
  <c r="F28" i="154"/>
  <c r="E16" i="2" s="1"/>
  <c r="H27" i="154"/>
  <c r="D28" i="154"/>
  <c r="D16" i="2" s="1"/>
  <c r="F23" i="154"/>
  <c r="D23" i="154"/>
  <c r="G10" i="154"/>
  <c r="G11" i="154" s="1"/>
  <c r="G12" i="154" s="1"/>
  <c r="G13" i="154" s="1"/>
  <c r="G14" i="154" s="1"/>
  <c r="G15" i="154" s="1"/>
  <c r="G16" i="154" s="1"/>
  <c r="G17" i="154" s="1"/>
  <c r="G18" i="154" s="1"/>
  <c r="G19" i="154" s="1"/>
  <c r="G20" i="154" s="1"/>
  <c r="G21" i="154" s="1"/>
  <c r="E9" i="154"/>
  <c r="H9" i="154" s="1"/>
  <c r="H10" i="154" s="1"/>
  <c r="H11" i="154" s="1"/>
  <c r="H12" i="154" s="1"/>
  <c r="H13" i="154" s="1"/>
  <c r="H14" i="154" s="1"/>
  <c r="H15" i="154" s="1"/>
  <c r="H16" i="154" s="1"/>
  <c r="H17" i="154" s="1"/>
  <c r="H18" i="154" s="1"/>
  <c r="H19" i="154" s="1"/>
  <c r="H20" i="154" s="1"/>
  <c r="H21" i="154" s="1"/>
  <c r="A6" i="154"/>
  <c r="D3" i="154"/>
  <c r="A3" i="154"/>
  <c r="A2" i="154"/>
  <c r="A1" i="154"/>
  <c r="E9" i="41"/>
  <c r="E25" i="6"/>
  <c r="G22" i="153"/>
  <c r="E12" i="150" s="1"/>
  <c r="H9" i="153"/>
  <c r="H10" i="153" s="1"/>
  <c r="H11" i="153" s="1"/>
  <c r="H12" i="153" s="1"/>
  <c r="H13" i="153" s="1"/>
  <c r="H14" i="153" s="1"/>
  <c r="H15" i="153" s="1"/>
  <c r="H16" i="153" s="1"/>
  <c r="H17" i="153" s="1"/>
  <c r="H18" i="153" s="1"/>
  <c r="H19" i="153" s="1"/>
  <c r="H20" i="153" s="1"/>
  <c r="A7" i="153"/>
  <c r="E3" i="153"/>
  <c r="A3" i="153"/>
  <c r="A2" i="153"/>
  <c r="A1" i="153"/>
  <c r="G23" i="152"/>
  <c r="E11" i="150" s="1"/>
  <c r="E23" i="152"/>
  <c r="D11" i="150" s="1"/>
  <c r="H10" i="152"/>
  <c r="H11" i="152" s="1"/>
  <c r="H12" i="152" s="1"/>
  <c r="H13" i="152" s="1"/>
  <c r="H14" i="152" s="1"/>
  <c r="H15" i="152" s="1"/>
  <c r="H16" i="152" s="1"/>
  <c r="H17" i="152" s="1"/>
  <c r="H18" i="152" s="1"/>
  <c r="H19" i="152" s="1"/>
  <c r="H20" i="152" s="1"/>
  <c r="H21" i="152" s="1"/>
  <c r="F9" i="152"/>
  <c r="I9" i="152" s="1"/>
  <c r="I10" i="152" s="1"/>
  <c r="I11" i="152" s="1"/>
  <c r="I12" i="152" s="1"/>
  <c r="I13" i="152" s="1"/>
  <c r="I14" i="152" s="1"/>
  <c r="I15" i="152" s="1"/>
  <c r="I16" i="152" s="1"/>
  <c r="I17" i="152" s="1"/>
  <c r="I18" i="152" s="1"/>
  <c r="I19" i="152" s="1"/>
  <c r="I20" i="152" s="1"/>
  <c r="I21" i="152" s="1"/>
  <c r="A7" i="152"/>
  <c r="E3" i="152"/>
  <c r="A3" i="152"/>
  <c r="A2" i="152"/>
  <c r="A1" i="152"/>
  <c r="F28" i="151"/>
  <c r="D28" i="151"/>
  <c r="H27" i="151"/>
  <c r="H26" i="151"/>
  <c r="F23" i="151"/>
  <c r="D23" i="151"/>
  <c r="D10" i="150" s="1"/>
  <c r="G10" i="151"/>
  <c r="G11" i="151" s="1"/>
  <c r="G12" i="151" s="1"/>
  <c r="G13" i="151" s="1"/>
  <c r="G14" i="151" s="1"/>
  <c r="G15" i="151" s="1"/>
  <c r="G16" i="151" s="1"/>
  <c r="G17" i="151" s="1"/>
  <c r="G18" i="151" s="1"/>
  <c r="G19" i="151" s="1"/>
  <c r="G20" i="151" s="1"/>
  <c r="G21" i="151" s="1"/>
  <c r="E9" i="151"/>
  <c r="E10" i="151" s="1"/>
  <c r="E11" i="151" s="1"/>
  <c r="E12" i="151" s="1"/>
  <c r="E13" i="151" s="1"/>
  <c r="E14" i="151" s="1"/>
  <c r="E15" i="151" s="1"/>
  <c r="E16" i="151" s="1"/>
  <c r="E17" i="151" s="1"/>
  <c r="E18" i="151" s="1"/>
  <c r="E19" i="151" s="1"/>
  <c r="E20" i="151" s="1"/>
  <c r="E21" i="151" s="1"/>
  <c r="A6" i="151"/>
  <c r="D3" i="151"/>
  <c r="A3" i="151"/>
  <c r="A2" i="151"/>
  <c r="A1" i="151"/>
  <c r="G22" i="149"/>
  <c r="E12" i="146" s="1"/>
  <c r="H9" i="149"/>
  <c r="H10" i="149" s="1"/>
  <c r="H11" i="149" s="1"/>
  <c r="H12" i="149" s="1"/>
  <c r="H13" i="149" s="1"/>
  <c r="H14" i="149" s="1"/>
  <c r="H15" i="149" s="1"/>
  <c r="H16" i="149" s="1"/>
  <c r="H17" i="149" s="1"/>
  <c r="H18" i="149" s="1"/>
  <c r="H19" i="149" s="1"/>
  <c r="H20" i="149" s="1"/>
  <c r="A7" i="149"/>
  <c r="E3" i="149"/>
  <c r="A3" i="149"/>
  <c r="A2" i="149"/>
  <c r="A1" i="149"/>
  <c r="G23" i="148"/>
  <c r="E11" i="146" s="1"/>
  <c r="E23" i="148"/>
  <c r="H10" i="148"/>
  <c r="H11" i="148" s="1"/>
  <c r="H12" i="148" s="1"/>
  <c r="H13" i="148" s="1"/>
  <c r="H14" i="148" s="1"/>
  <c r="H15" i="148" s="1"/>
  <c r="H16" i="148" s="1"/>
  <c r="H17" i="148" s="1"/>
  <c r="H18" i="148" s="1"/>
  <c r="H19" i="148" s="1"/>
  <c r="H20" i="148" s="1"/>
  <c r="H21" i="148" s="1"/>
  <c r="F9" i="148"/>
  <c r="I9" i="148" s="1"/>
  <c r="I10" i="148" s="1"/>
  <c r="I11" i="148" s="1"/>
  <c r="I12" i="148" s="1"/>
  <c r="I13" i="148" s="1"/>
  <c r="I14" i="148" s="1"/>
  <c r="I15" i="148" s="1"/>
  <c r="I16" i="148" s="1"/>
  <c r="I17" i="148" s="1"/>
  <c r="I18" i="148" s="1"/>
  <c r="I19" i="148" s="1"/>
  <c r="I20" i="148" s="1"/>
  <c r="I21" i="148" s="1"/>
  <c r="A7" i="148"/>
  <c r="E3" i="148"/>
  <c r="A3" i="148"/>
  <c r="A2" i="148"/>
  <c r="A1" i="148"/>
  <c r="F28" i="147"/>
  <c r="D28" i="147"/>
  <c r="H27" i="147"/>
  <c r="H26" i="147"/>
  <c r="F23" i="147"/>
  <c r="E10" i="146" s="1"/>
  <c r="D23" i="147"/>
  <c r="D10" i="146" s="1"/>
  <c r="G10" i="147"/>
  <c r="G11" i="147" s="1"/>
  <c r="G12" i="147" s="1"/>
  <c r="G13" i="147" s="1"/>
  <c r="G14" i="147" s="1"/>
  <c r="G15" i="147" s="1"/>
  <c r="G16" i="147" s="1"/>
  <c r="G17" i="147" s="1"/>
  <c r="G18" i="147" s="1"/>
  <c r="G19" i="147" s="1"/>
  <c r="G20" i="147" s="1"/>
  <c r="G21" i="147" s="1"/>
  <c r="E9" i="147"/>
  <c r="E10" i="147" s="1"/>
  <c r="E11" i="147" s="1"/>
  <c r="E12" i="147" s="1"/>
  <c r="E13" i="147" s="1"/>
  <c r="E14" i="147" s="1"/>
  <c r="E15" i="147" s="1"/>
  <c r="E16" i="147" s="1"/>
  <c r="E17" i="147" s="1"/>
  <c r="E18" i="147" s="1"/>
  <c r="E19" i="147" s="1"/>
  <c r="E20" i="147" s="1"/>
  <c r="E21" i="147" s="1"/>
  <c r="A6" i="147"/>
  <c r="D3" i="147"/>
  <c r="A3" i="147"/>
  <c r="A2" i="147"/>
  <c r="A1" i="147"/>
  <c r="G22" i="145"/>
  <c r="D12" i="142" s="1"/>
  <c r="H9" i="145"/>
  <c r="H10" i="145" s="1"/>
  <c r="H11" i="145" s="1"/>
  <c r="H12" i="145" s="1"/>
  <c r="H13" i="145" s="1"/>
  <c r="H14" i="145" s="1"/>
  <c r="H15" i="145" s="1"/>
  <c r="H16" i="145" s="1"/>
  <c r="H17" i="145" s="1"/>
  <c r="H18" i="145" s="1"/>
  <c r="H19" i="145" s="1"/>
  <c r="H20" i="145" s="1"/>
  <c r="A7" i="145"/>
  <c r="E3" i="145"/>
  <c r="A3" i="145"/>
  <c r="A2" i="145"/>
  <c r="A1" i="145"/>
  <c r="G23" i="144"/>
  <c r="E11" i="142" s="1"/>
  <c r="E23" i="144"/>
  <c r="H10" i="144"/>
  <c r="H11" i="144" s="1"/>
  <c r="H12" i="144" s="1"/>
  <c r="H13" i="144" s="1"/>
  <c r="H14" i="144" s="1"/>
  <c r="H15" i="144" s="1"/>
  <c r="H16" i="144" s="1"/>
  <c r="H17" i="144" s="1"/>
  <c r="H18" i="144" s="1"/>
  <c r="H19" i="144" s="1"/>
  <c r="H20" i="144" s="1"/>
  <c r="H21" i="144" s="1"/>
  <c r="F9" i="144"/>
  <c r="F10" i="144" s="1"/>
  <c r="F11" i="144" s="1"/>
  <c r="F12" i="144" s="1"/>
  <c r="F13" i="144" s="1"/>
  <c r="F14" i="144" s="1"/>
  <c r="F15" i="144" s="1"/>
  <c r="F16" i="144" s="1"/>
  <c r="F17" i="144" s="1"/>
  <c r="F18" i="144" s="1"/>
  <c r="F19" i="144" s="1"/>
  <c r="F20" i="144" s="1"/>
  <c r="F21" i="144" s="1"/>
  <c r="A7" i="144"/>
  <c r="E3" i="144"/>
  <c r="A3" i="144"/>
  <c r="A2" i="144"/>
  <c r="A1" i="144"/>
  <c r="F28" i="143"/>
  <c r="D28" i="143"/>
  <c r="H27" i="143"/>
  <c r="H26" i="143"/>
  <c r="F23" i="143"/>
  <c r="E10" i="142" s="1"/>
  <c r="D23" i="143"/>
  <c r="D10" i="142" s="1"/>
  <c r="G10" i="143"/>
  <c r="G11" i="143" s="1"/>
  <c r="G12" i="143" s="1"/>
  <c r="G13" i="143" s="1"/>
  <c r="G14" i="143" s="1"/>
  <c r="G15" i="143" s="1"/>
  <c r="G16" i="143" s="1"/>
  <c r="G17" i="143" s="1"/>
  <c r="G18" i="143" s="1"/>
  <c r="G19" i="143" s="1"/>
  <c r="G20" i="143" s="1"/>
  <c r="G21" i="143" s="1"/>
  <c r="E9" i="143"/>
  <c r="E10" i="143" s="1"/>
  <c r="E11" i="143" s="1"/>
  <c r="E12" i="143" s="1"/>
  <c r="E13" i="143" s="1"/>
  <c r="E14" i="143" s="1"/>
  <c r="E15" i="143" s="1"/>
  <c r="E16" i="143" s="1"/>
  <c r="E17" i="143" s="1"/>
  <c r="E18" i="143" s="1"/>
  <c r="E19" i="143" s="1"/>
  <c r="E20" i="143" s="1"/>
  <c r="E21" i="143" s="1"/>
  <c r="A6" i="143"/>
  <c r="D3" i="143"/>
  <c r="A3" i="143"/>
  <c r="A2" i="143"/>
  <c r="A1" i="143"/>
  <c r="C14" i="142"/>
  <c r="E12" i="142"/>
  <c r="G22" i="141"/>
  <c r="D12" i="138" s="1"/>
  <c r="H9" i="141"/>
  <c r="H10" i="141" s="1"/>
  <c r="H11" i="141" s="1"/>
  <c r="H12" i="141" s="1"/>
  <c r="H13" i="141" s="1"/>
  <c r="H14" i="141" s="1"/>
  <c r="H15" i="141" s="1"/>
  <c r="H16" i="141" s="1"/>
  <c r="H17" i="141" s="1"/>
  <c r="H18" i="141" s="1"/>
  <c r="H19" i="141" s="1"/>
  <c r="H20" i="141" s="1"/>
  <c r="A7" i="141"/>
  <c r="E3" i="141"/>
  <c r="A3" i="141"/>
  <c r="A2" i="141"/>
  <c r="A1" i="141"/>
  <c r="G23" i="140"/>
  <c r="E11" i="138" s="1"/>
  <c r="E23" i="140"/>
  <c r="D11" i="138" s="1"/>
  <c r="H10" i="140"/>
  <c r="H11" i="140" s="1"/>
  <c r="H12" i="140" s="1"/>
  <c r="H13" i="140" s="1"/>
  <c r="H14" i="140" s="1"/>
  <c r="H15" i="140" s="1"/>
  <c r="H16" i="140" s="1"/>
  <c r="H17" i="140" s="1"/>
  <c r="H18" i="140" s="1"/>
  <c r="H19" i="140" s="1"/>
  <c r="H20" i="140" s="1"/>
  <c r="H21" i="140" s="1"/>
  <c r="F9" i="140"/>
  <c r="I9" i="140" s="1"/>
  <c r="I10" i="140" s="1"/>
  <c r="I11" i="140" s="1"/>
  <c r="I12" i="140" s="1"/>
  <c r="I13" i="140" s="1"/>
  <c r="I14" i="140" s="1"/>
  <c r="I15" i="140" s="1"/>
  <c r="I16" i="140" s="1"/>
  <c r="I17" i="140" s="1"/>
  <c r="I18" i="140" s="1"/>
  <c r="I19" i="140" s="1"/>
  <c r="I20" i="140" s="1"/>
  <c r="I21" i="140" s="1"/>
  <c r="A7" i="140"/>
  <c r="E3" i="140"/>
  <c r="A3" i="140"/>
  <c r="A2" i="140"/>
  <c r="A1" i="140"/>
  <c r="F28" i="139"/>
  <c r="D28" i="139"/>
  <c r="H27" i="139"/>
  <c r="H26" i="139"/>
  <c r="F23" i="139"/>
  <c r="E10" i="138" s="1"/>
  <c r="D23" i="139"/>
  <c r="D10" i="138" s="1"/>
  <c r="G10" i="139"/>
  <c r="G11" i="139" s="1"/>
  <c r="G12" i="139" s="1"/>
  <c r="G13" i="139" s="1"/>
  <c r="G14" i="139" s="1"/>
  <c r="G15" i="139" s="1"/>
  <c r="G16" i="139" s="1"/>
  <c r="G17" i="139" s="1"/>
  <c r="G18" i="139" s="1"/>
  <c r="G19" i="139" s="1"/>
  <c r="G20" i="139" s="1"/>
  <c r="G21" i="139" s="1"/>
  <c r="E9" i="139"/>
  <c r="E10" i="139" s="1"/>
  <c r="E11" i="139" s="1"/>
  <c r="E12" i="139" s="1"/>
  <c r="E13" i="139" s="1"/>
  <c r="E14" i="139" s="1"/>
  <c r="E15" i="139" s="1"/>
  <c r="E16" i="139" s="1"/>
  <c r="E17" i="139" s="1"/>
  <c r="E18" i="139" s="1"/>
  <c r="E19" i="139" s="1"/>
  <c r="E20" i="139" s="1"/>
  <c r="E21" i="139" s="1"/>
  <c r="A6" i="139"/>
  <c r="D3" i="139"/>
  <c r="A3" i="139"/>
  <c r="A2" i="139"/>
  <c r="A1" i="139"/>
  <c r="A1" i="133"/>
  <c r="A2" i="133"/>
  <c r="G22" i="137"/>
  <c r="E12" i="134" s="1"/>
  <c r="H9" i="137"/>
  <c r="H10" i="137" s="1"/>
  <c r="H11" i="137" s="1"/>
  <c r="H12" i="137" s="1"/>
  <c r="H13" i="137" s="1"/>
  <c r="H14" i="137" s="1"/>
  <c r="H15" i="137" s="1"/>
  <c r="H16" i="137" s="1"/>
  <c r="H17" i="137" s="1"/>
  <c r="H18" i="137" s="1"/>
  <c r="H19" i="137" s="1"/>
  <c r="H20" i="137" s="1"/>
  <c r="A7" i="137"/>
  <c r="E3" i="137"/>
  <c r="A3" i="137"/>
  <c r="A2" i="137"/>
  <c r="A1" i="137"/>
  <c r="G23" i="136"/>
  <c r="E11" i="134" s="1"/>
  <c r="E23" i="136"/>
  <c r="H10" i="136"/>
  <c r="H11" i="136" s="1"/>
  <c r="H12" i="136" s="1"/>
  <c r="H13" i="136" s="1"/>
  <c r="H14" i="136" s="1"/>
  <c r="H15" i="136" s="1"/>
  <c r="H16" i="136" s="1"/>
  <c r="H17" i="136" s="1"/>
  <c r="H18" i="136" s="1"/>
  <c r="H19" i="136" s="1"/>
  <c r="H20" i="136" s="1"/>
  <c r="H21" i="136" s="1"/>
  <c r="F9" i="136"/>
  <c r="I9" i="136" s="1"/>
  <c r="I10" i="136" s="1"/>
  <c r="I11" i="136" s="1"/>
  <c r="I12" i="136" s="1"/>
  <c r="I13" i="136" s="1"/>
  <c r="I14" i="136" s="1"/>
  <c r="I15" i="136" s="1"/>
  <c r="I16" i="136" s="1"/>
  <c r="I17" i="136" s="1"/>
  <c r="I18" i="136" s="1"/>
  <c r="I19" i="136" s="1"/>
  <c r="I20" i="136" s="1"/>
  <c r="I21" i="136" s="1"/>
  <c r="A7" i="136"/>
  <c r="E3" i="136"/>
  <c r="A3" i="136"/>
  <c r="A2" i="136"/>
  <c r="A1" i="136"/>
  <c r="F28" i="135"/>
  <c r="D28" i="135"/>
  <c r="H27" i="135"/>
  <c r="H26" i="135"/>
  <c r="F23" i="135"/>
  <c r="E10" i="134" s="1"/>
  <c r="D23" i="135"/>
  <c r="D10" i="134" s="1"/>
  <c r="G10" i="135"/>
  <c r="G11" i="135" s="1"/>
  <c r="G12" i="135" s="1"/>
  <c r="G13" i="135" s="1"/>
  <c r="G14" i="135" s="1"/>
  <c r="G15" i="135" s="1"/>
  <c r="G16" i="135" s="1"/>
  <c r="G17" i="135" s="1"/>
  <c r="G18" i="135" s="1"/>
  <c r="G19" i="135" s="1"/>
  <c r="G20" i="135" s="1"/>
  <c r="G21" i="135" s="1"/>
  <c r="E9" i="135"/>
  <c r="E10" i="135" s="1"/>
  <c r="E11" i="135" s="1"/>
  <c r="E12" i="135" s="1"/>
  <c r="E13" i="135" s="1"/>
  <c r="E14" i="135" s="1"/>
  <c r="E15" i="135" s="1"/>
  <c r="E16" i="135" s="1"/>
  <c r="E17" i="135" s="1"/>
  <c r="E18" i="135" s="1"/>
  <c r="E19" i="135" s="1"/>
  <c r="E20" i="135" s="1"/>
  <c r="E21" i="135" s="1"/>
  <c r="A6" i="135"/>
  <c r="D3" i="135"/>
  <c r="A3" i="135"/>
  <c r="A2" i="135"/>
  <c r="A1" i="135"/>
  <c r="D12" i="134"/>
  <c r="G22" i="133"/>
  <c r="D12" i="130" s="1"/>
  <c r="H9" i="133"/>
  <c r="H10" i="133" s="1"/>
  <c r="H11" i="133" s="1"/>
  <c r="H12" i="133" s="1"/>
  <c r="H13" i="133" s="1"/>
  <c r="H14" i="133" s="1"/>
  <c r="H15" i="133" s="1"/>
  <c r="H16" i="133" s="1"/>
  <c r="H17" i="133" s="1"/>
  <c r="H18" i="133" s="1"/>
  <c r="H19" i="133" s="1"/>
  <c r="H20" i="133" s="1"/>
  <c r="A7" i="133"/>
  <c r="E3" i="133"/>
  <c r="A3" i="133"/>
  <c r="G23" i="132"/>
  <c r="E11" i="130" s="1"/>
  <c r="E23" i="132"/>
  <c r="H10" i="132"/>
  <c r="H11" i="132" s="1"/>
  <c r="H12" i="132" s="1"/>
  <c r="H13" i="132" s="1"/>
  <c r="H14" i="132" s="1"/>
  <c r="H15" i="132" s="1"/>
  <c r="H16" i="132" s="1"/>
  <c r="H17" i="132" s="1"/>
  <c r="H18" i="132" s="1"/>
  <c r="H19" i="132" s="1"/>
  <c r="H20" i="132" s="1"/>
  <c r="H21" i="132" s="1"/>
  <c r="F9" i="132"/>
  <c r="A7" i="132"/>
  <c r="E3" i="132"/>
  <c r="A3" i="132"/>
  <c r="A2" i="132"/>
  <c r="A1" i="132"/>
  <c r="F28" i="131"/>
  <c r="D28" i="131"/>
  <c r="H27" i="131"/>
  <c r="H26" i="131"/>
  <c r="F23" i="131"/>
  <c r="D23" i="131"/>
  <c r="G10" i="131"/>
  <c r="G11" i="131" s="1"/>
  <c r="G12" i="131" s="1"/>
  <c r="G13" i="131" s="1"/>
  <c r="G14" i="131" s="1"/>
  <c r="G15" i="131" s="1"/>
  <c r="G16" i="131" s="1"/>
  <c r="G17" i="131" s="1"/>
  <c r="G18" i="131" s="1"/>
  <c r="G19" i="131" s="1"/>
  <c r="G20" i="131" s="1"/>
  <c r="G21" i="131" s="1"/>
  <c r="E9" i="131"/>
  <c r="E10" i="131" s="1"/>
  <c r="E11" i="131" s="1"/>
  <c r="E12" i="131" s="1"/>
  <c r="E13" i="131" s="1"/>
  <c r="E14" i="131" s="1"/>
  <c r="E15" i="131" s="1"/>
  <c r="E16" i="131" s="1"/>
  <c r="E17" i="131" s="1"/>
  <c r="E18" i="131" s="1"/>
  <c r="E19" i="131" s="1"/>
  <c r="E20" i="131" s="1"/>
  <c r="E21" i="131" s="1"/>
  <c r="A6" i="131"/>
  <c r="D3" i="131"/>
  <c r="A3" i="131"/>
  <c r="A2" i="131"/>
  <c r="A1" i="131"/>
  <c r="E10" i="130"/>
  <c r="G42" i="6"/>
  <c r="C8" i="104" s="1"/>
  <c r="G43" i="6"/>
  <c r="C8" i="130" s="1"/>
  <c r="G44" i="6"/>
  <c r="C8" i="138" s="1"/>
  <c r="C14" i="138" s="1"/>
  <c r="G45" i="6"/>
  <c r="C8" i="134" s="1"/>
  <c r="C14" i="134" s="1"/>
  <c r="G46" i="6"/>
  <c r="C8" i="146" s="1"/>
  <c r="C14" i="146" s="1"/>
  <c r="G47" i="6"/>
  <c r="C8" i="150" s="1"/>
  <c r="C14" i="150" s="1"/>
  <c r="C8" i="126"/>
  <c r="C15" i="126" s="1"/>
  <c r="G16" i="6"/>
  <c r="A1" i="129"/>
  <c r="G22" i="129"/>
  <c r="E12" i="126" s="1"/>
  <c r="H9" i="129"/>
  <c r="H10" i="129" s="1"/>
  <c r="H11" i="129" s="1"/>
  <c r="H12" i="129" s="1"/>
  <c r="H13" i="129" s="1"/>
  <c r="H14" i="129" s="1"/>
  <c r="H15" i="129" s="1"/>
  <c r="H16" i="129" s="1"/>
  <c r="H17" i="129" s="1"/>
  <c r="H18" i="129" s="1"/>
  <c r="H19" i="129" s="1"/>
  <c r="H20" i="129" s="1"/>
  <c r="A7" i="129"/>
  <c r="E3" i="129"/>
  <c r="A3" i="129"/>
  <c r="A2" i="129"/>
  <c r="G23" i="128"/>
  <c r="E11" i="126" s="1"/>
  <c r="E23" i="128"/>
  <c r="H10" i="128"/>
  <c r="H11" i="128" s="1"/>
  <c r="H12" i="128" s="1"/>
  <c r="H13" i="128" s="1"/>
  <c r="H14" i="128" s="1"/>
  <c r="H15" i="128" s="1"/>
  <c r="H16" i="128" s="1"/>
  <c r="H17" i="128" s="1"/>
  <c r="H18" i="128" s="1"/>
  <c r="H19" i="128" s="1"/>
  <c r="H20" i="128" s="1"/>
  <c r="H21" i="128" s="1"/>
  <c r="F9" i="128"/>
  <c r="I9" i="128" s="1"/>
  <c r="I10" i="128" s="1"/>
  <c r="I11" i="128" s="1"/>
  <c r="I12" i="128" s="1"/>
  <c r="I13" i="128" s="1"/>
  <c r="I14" i="128" s="1"/>
  <c r="I15" i="128" s="1"/>
  <c r="I16" i="128" s="1"/>
  <c r="I17" i="128" s="1"/>
  <c r="I18" i="128" s="1"/>
  <c r="I19" i="128" s="1"/>
  <c r="I20" i="128" s="1"/>
  <c r="I21" i="128" s="1"/>
  <c r="A7" i="128"/>
  <c r="E3" i="128"/>
  <c r="A3" i="128"/>
  <c r="A2" i="128"/>
  <c r="A1" i="128"/>
  <c r="F28" i="127"/>
  <c r="D28" i="127"/>
  <c r="H27" i="127"/>
  <c r="H26" i="127"/>
  <c r="F23" i="127"/>
  <c r="E10" i="126" s="1"/>
  <c r="D23" i="127"/>
  <c r="D10" i="126" s="1"/>
  <c r="G10" i="127"/>
  <c r="G11" i="127" s="1"/>
  <c r="G12" i="127" s="1"/>
  <c r="G13" i="127" s="1"/>
  <c r="G14" i="127" s="1"/>
  <c r="G15" i="127" s="1"/>
  <c r="G16" i="127" s="1"/>
  <c r="G17" i="127" s="1"/>
  <c r="G18" i="127" s="1"/>
  <c r="G19" i="127" s="1"/>
  <c r="G20" i="127" s="1"/>
  <c r="G21" i="127" s="1"/>
  <c r="E9" i="127"/>
  <c r="H9" i="127" s="1"/>
  <c r="H10" i="127" s="1"/>
  <c r="H11" i="127" s="1"/>
  <c r="H12" i="127" s="1"/>
  <c r="H13" i="127" s="1"/>
  <c r="H14" i="127" s="1"/>
  <c r="H15" i="127" s="1"/>
  <c r="H16" i="127" s="1"/>
  <c r="H17" i="127" s="1"/>
  <c r="H18" i="127" s="1"/>
  <c r="H19" i="127" s="1"/>
  <c r="H20" i="127" s="1"/>
  <c r="H21" i="127" s="1"/>
  <c r="A6" i="127"/>
  <c r="D3" i="127"/>
  <c r="A3" i="127"/>
  <c r="A2" i="127"/>
  <c r="A1" i="127"/>
  <c r="H23" i="156" l="1"/>
  <c r="F13" i="47" s="1"/>
  <c r="H28" i="151"/>
  <c r="F10" i="132"/>
  <c r="F11" i="132" s="1"/>
  <c r="F12" i="132" s="1"/>
  <c r="F13" i="132" s="1"/>
  <c r="F14" i="132" s="1"/>
  <c r="F15" i="132" s="1"/>
  <c r="F16" i="132" s="1"/>
  <c r="F17" i="132" s="1"/>
  <c r="F18" i="132" s="1"/>
  <c r="F19" i="132" s="1"/>
  <c r="F20" i="132" s="1"/>
  <c r="F21" i="132" s="1"/>
  <c r="I23" i="148"/>
  <c r="F11" i="146" s="1"/>
  <c r="H28" i="127"/>
  <c r="D12" i="146"/>
  <c r="E12" i="138"/>
  <c r="F12" i="138" s="1"/>
  <c r="H23" i="127"/>
  <c r="F10" i="126" s="1"/>
  <c r="H28" i="135"/>
  <c r="H28" i="143"/>
  <c r="H30" i="156"/>
  <c r="I23" i="132"/>
  <c r="F11" i="130" s="1"/>
  <c r="I23" i="128"/>
  <c r="F11" i="126" s="1"/>
  <c r="E10" i="127"/>
  <c r="E11" i="127" s="1"/>
  <c r="E12" i="127" s="1"/>
  <c r="E13" i="127" s="1"/>
  <c r="E14" i="127" s="1"/>
  <c r="E15" i="127" s="1"/>
  <c r="E16" i="127" s="1"/>
  <c r="E17" i="127" s="1"/>
  <c r="E18" i="127" s="1"/>
  <c r="E19" i="127" s="1"/>
  <c r="E20" i="127" s="1"/>
  <c r="E21" i="127" s="1"/>
  <c r="H28" i="139"/>
  <c r="H23" i="143"/>
  <c r="F10" i="142" s="1"/>
  <c r="E15" i="126"/>
  <c r="I16" i="6" s="1"/>
  <c r="E12" i="130"/>
  <c r="E14" i="130" s="1"/>
  <c r="I43" i="6" s="1"/>
  <c r="H23" i="131"/>
  <c r="F10" i="130" s="1"/>
  <c r="E14" i="134"/>
  <c r="I45" i="6" s="1"/>
  <c r="I9" i="144"/>
  <c r="I10" i="144" s="1"/>
  <c r="I11" i="144" s="1"/>
  <c r="I12" i="144" s="1"/>
  <c r="I13" i="144" s="1"/>
  <c r="I14" i="144" s="1"/>
  <c r="I15" i="144" s="1"/>
  <c r="I16" i="144" s="1"/>
  <c r="I17" i="144" s="1"/>
  <c r="I18" i="144" s="1"/>
  <c r="I19" i="144" s="1"/>
  <c r="I20" i="144" s="1"/>
  <c r="I21" i="144" s="1"/>
  <c r="H28" i="131"/>
  <c r="H23" i="135"/>
  <c r="F10" i="134" s="1"/>
  <c r="F12" i="146"/>
  <c r="F12" i="134"/>
  <c r="I23" i="144"/>
  <c r="F11" i="142" s="1"/>
  <c r="D11" i="130"/>
  <c r="D13" i="47"/>
  <c r="E14" i="142"/>
  <c r="I23" i="136"/>
  <c r="D11" i="142"/>
  <c r="D14" i="142" s="1"/>
  <c r="H23" i="151"/>
  <c r="F10" i="150" s="1"/>
  <c r="H28" i="147"/>
  <c r="O46" i="6"/>
  <c r="D10" i="130"/>
  <c r="D14" i="130" s="1"/>
  <c r="H23" i="139"/>
  <c r="F10" i="138" s="1"/>
  <c r="F12" i="142"/>
  <c r="E14" i="146"/>
  <c r="I46" i="6" s="1"/>
  <c r="E10" i="156"/>
  <c r="E11" i="156" s="1"/>
  <c r="E12" i="156" s="1"/>
  <c r="E13" i="156" s="1"/>
  <c r="E14" i="156" s="1"/>
  <c r="E15" i="156" s="1"/>
  <c r="E16" i="156" s="1"/>
  <c r="E17" i="156" s="1"/>
  <c r="E18" i="156" s="1"/>
  <c r="E19" i="156" s="1"/>
  <c r="E20" i="156" s="1"/>
  <c r="E21" i="156" s="1"/>
  <c r="H23" i="155"/>
  <c r="F13" i="91" s="1"/>
  <c r="H9" i="155"/>
  <c r="H10" i="155" s="1"/>
  <c r="H11" i="155" s="1"/>
  <c r="H12" i="155" s="1"/>
  <c r="H13" i="155" s="1"/>
  <c r="H14" i="155" s="1"/>
  <c r="H15" i="155" s="1"/>
  <c r="H16" i="155" s="1"/>
  <c r="H17" i="155" s="1"/>
  <c r="H18" i="155" s="1"/>
  <c r="H19" i="155" s="1"/>
  <c r="H20" i="155" s="1"/>
  <c r="H21" i="155" s="1"/>
  <c r="H23" i="154"/>
  <c r="E10" i="154"/>
  <c r="E11" i="154" s="1"/>
  <c r="E12" i="154" s="1"/>
  <c r="E13" i="154" s="1"/>
  <c r="E14" i="154" s="1"/>
  <c r="E15" i="154" s="1"/>
  <c r="E16" i="154" s="1"/>
  <c r="E17" i="154" s="1"/>
  <c r="E18" i="154" s="1"/>
  <c r="E19" i="154" s="1"/>
  <c r="E20" i="154" s="1"/>
  <c r="E21" i="154" s="1"/>
  <c r="H26" i="154"/>
  <c r="H28" i="154" s="1"/>
  <c r="F16" i="2" s="1"/>
  <c r="I23" i="152"/>
  <c r="F10" i="152"/>
  <c r="F11" i="152" s="1"/>
  <c r="F12" i="152" s="1"/>
  <c r="F13" i="152" s="1"/>
  <c r="F14" i="152" s="1"/>
  <c r="F15" i="152" s="1"/>
  <c r="F16" i="152" s="1"/>
  <c r="F17" i="152" s="1"/>
  <c r="F18" i="152" s="1"/>
  <c r="F19" i="152" s="1"/>
  <c r="F20" i="152" s="1"/>
  <c r="F21" i="152" s="1"/>
  <c r="E10" i="150"/>
  <c r="E14" i="150" s="1"/>
  <c r="I47" i="6" s="1"/>
  <c r="H9" i="151"/>
  <c r="H10" i="151" s="1"/>
  <c r="H11" i="151" s="1"/>
  <c r="H12" i="151" s="1"/>
  <c r="H13" i="151" s="1"/>
  <c r="H14" i="151" s="1"/>
  <c r="H15" i="151" s="1"/>
  <c r="H16" i="151" s="1"/>
  <c r="H17" i="151" s="1"/>
  <c r="H18" i="151" s="1"/>
  <c r="H19" i="151" s="1"/>
  <c r="H20" i="151" s="1"/>
  <c r="H21" i="151" s="1"/>
  <c r="D12" i="150"/>
  <c r="F12" i="150" s="1"/>
  <c r="D11" i="146"/>
  <c r="D14" i="146" s="1"/>
  <c r="F10" i="148"/>
  <c r="F11" i="148" s="1"/>
  <c r="F12" i="148" s="1"/>
  <c r="F13" i="148" s="1"/>
  <c r="F14" i="148" s="1"/>
  <c r="F15" i="148" s="1"/>
  <c r="F16" i="148" s="1"/>
  <c r="F17" i="148" s="1"/>
  <c r="F18" i="148" s="1"/>
  <c r="F19" i="148" s="1"/>
  <c r="F20" i="148" s="1"/>
  <c r="F21" i="148" s="1"/>
  <c r="H23" i="147"/>
  <c r="F10" i="146" s="1"/>
  <c r="H9" i="147"/>
  <c r="H10" i="147" s="1"/>
  <c r="H11" i="147" s="1"/>
  <c r="H12" i="147" s="1"/>
  <c r="H13" i="147" s="1"/>
  <c r="H14" i="147" s="1"/>
  <c r="H15" i="147" s="1"/>
  <c r="H16" i="147" s="1"/>
  <c r="H17" i="147" s="1"/>
  <c r="H18" i="147" s="1"/>
  <c r="H19" i="147" s="1"/>
  <c r="H20" i="147" s="1"/>
  <c r="H21" i="147" s="1"/>
  <c r="D11" i="134"/>
  <c r="D14" i="134" s="1"/>
  <c r="F10" i="136"/>
  <c r="F11" i="136" s="1"/>
  <c r="F12" i="136" s="1"/>
  <c r="F13" i="136" s="1"/>
  <c r="F14" i="136" s="1"/>
  <c r="F15" i="136" s="1"/>
  <c r="F16" i="136" s="1"/>
  <c r="F17" i="136" s="1"/>
  <c r="F18" i="136" s="1"/>
  <c r="F19" i="136" s="1"/>
  <c r="F20" i="136" s="1"/>
  <c r="F21" i="136" s="1"/>
  <c r="H9" i="143"/>
  <c r="H10" i="143" s="1"/>
  <c r="H11" i="143" s="1"/>
  <c r="H12" i="143" s="1"/>
  <c r="H13" i="143" s="1"/>
  <c r="H14" i="143" s="1"/>
  <c r="H15" i="143" s="1"/>
  <c r="H16" i="143" s="1"/>
  <c r="H17" i="143" s="1"/>
  <c r="H18" i="143" s="1"/>
  <c r="H19" i="143" s="1"/>
  <c r="H20" i="143" s="1"/>
  <c r="H21" i="143" s="1"/>
  <c r="I23" i="140"/>
  <c r="F10" i="140"/>
  <c r="F11" i="140" s="1"/>
  <c r="F12" i="140" s="1"/>
  <c r="F13" i="140" s="1"/>
  <c r="F14" i="140" s="1"/>
  <c r="F15" i="140" s="1"/>
  <c r="F16" i="140" s="1"/>
  <c r="F17" i="140" s="1"/>
  <c r="F18" i="140" s="1"/>
  <c r="F19" i="140" s="1"/>
  <c r="F20" i="140" s="1"/>
  <c r="F21" i="140" s="1"/>
  <c r="D14" i="138"/>
  <c r="H9" i="139"/>
  <c r="H10" i="139" s="1"/>
  <c r="H11" i="139" s="1"/>
  <c r="H12" i="139" s="1"/>
  <c r="H13" i="139" s="1"/>
  <c r="H14" i="139" s="1"/>
  <c r="H15" i="139" s="1"/>
  <c r="H16" i="139" s="1"/>
  <c r="H17" i="139" s="1"/>
  <c r="H18" i="139" s="1"/>
  <c r="H19" i="139" s="1"/>
  <c r="H20" i="139" s="1"/>
  <c r="H21" i="139" s="1"/>
  <c r="I9" i="132"/>
  <c r="I10" i="132" s="1"/>
  <c r="I11" i="132" s="1"/>
  <c r="I12" i="132" s="1"/>
  <c r="I13" i="132" s="1"/>
  <c r="I14" i="132" s="1"/>
  <c r="I15" i="132" s="1"/>
  <c r="I16" i="132" s="1"/>
  <c r="I17" i="132" s="1"/>
  <c r="I18" i="132" s="1"/>
  <c r="I19" i="132" s="1"/>
  <c r="I20" i="132" s="1"/>
  <c r="I21" i="132" s="1"/>
  <c r="H9" i="135"/>
  <c r="H10" i="135" s="1"/>
  <c r="H11" i="135" s="1"/>
  <c r="H12" i="135" s="1"/>
  <c r="H13" i="135" s="1"/>
  <c r="H14" i="135" s="1"/>
  <c r="H15" i="135" s="1"/>
  <c r="H16" i="135" s="1"/>
  <c r="H17" i="135" s="1"/>
  <c r="H18" i="135" s="1"/>
  <c r="H19" i="135" s="1"/>
  <c r="H20" i="135" s="1"/>
  <c r="H21" i="135" s="1"/>
  <c r="C14" i="130"/>
  <c r="H9" i="131"/>
  <c r="H10" i="131" s="1"/>
  <c r="H11" i="131" s="1"/>
  <c r="H12" i="131" s="1"/>
  <c r="H13" i="131" s="1"/>
  <c r="H14" i="131" s="1"/>
  <c r="H15" i="131" s="1"/>
  <c r="H16" i="131" s="1"/>
  <c r="H17" i="131" s="1"/>
  <c r="H18" i="131" s="1"/>
  <c r="H19" i="131" s="1"/>
  <c r="H20" i="131" s="1"/>
  <c r="H21" i="131" s="1"/>
  <c r="D11" i="126"/>
  <c r="F10" i="128"/>
  <c r="F11" i="128" s="1"/>
  <c r="F12" i="128" s="1"/>
  <c r="F13" i="128" s="1"/>
  <c r="F14" i="128" s="1"/>
  <c r="F15" i="128" s="1"/>
  <c r="F16" i="128" s="1"/>
  <c r="F17" i="128" s="1"/>
  <c r="F18" i="128" s="1"/>
  <c r="F19" i="128" s="1"/>
  <c r="F20" i="128" s="1"/>
  <c r="F21" i="128" s="1"/>
  <c r="D12" i="126"/>
  <c r="F12" i="126" s="1"/>
  <c r="F31" i="125"/>
  <c r="D31" i="125"/>
  <c r="H30" i="125"/>
  <c r="H29" i="125"/>
  <c r="H28" i="125"/>
  <c r="H27" i="125"/>
  <c r="H26" i="125"/>
  <c r="F23" i="125"/>
  <c r="E13" i="112" s="1"/>
  <c r="D23" i="125"/>
  <c r="G10" i="125"/>
  <c r="G11" i="125" s="1"/>
  <c r="G12" i="125" s="1"/>
  <c r="G13" i="125" s="1"/>
  <c r="G14" i="125" s="1"/>
  <c r="G15" i="125" s="1"/>
  <c r="G16" i="125" s="1"/>
  <c r="G17" i="125" s="1"/>
  <c r="G18" i="125" s="1"/>
  <c r="G19" i="125" s="1"/>
  <c r="G20" i="125" s="1"/>
  <c r="G21" i="125" s="1"/>
  <c r="E9" i="125"/>
  <c r="E10" i="125" s="1"/>
  <c r="E11" i="125" s="1"/>
  <c r="E12" i="125" s="1"/>
  <c r="E13" i="125" s="1"/>
  <c r="E14" i="125" s="1"/>
  <c r="E15" i="125" s="1"/>
  <c r="E16" i="125" s="1"/>
  <c r="E17" i="125" s="1"/>
  <c r="E18" i="125" s="1"/>
  <c r="E19" i="125" s="1"/>
  <c r="E20" i="125" s="1"/>
  <c r="E21" i="125" s="1"/>
  <c r="A6" i="125"/>
  <c r="D3" i="125"/>
  <c r="A3" i="125"/>
  <c r="A2" i="125"/>
  <c r="A1" i="125"/>
  <c r="E14" i="138" l="1"/>
  <c r="I44" i="6" s="1"/>
  <c r="H23" i="125"/>
  <c r="F13" i="112" s="1"/>
  <c r="O43" i="6"/>
  <c r="F12" i="130"/>
  <c r="O16" i="6"/>
  <c r="D13" i="112"/>
  <c r="G14" i="142"/>
  <c r="F14" i="142"/>
  <c r="F14" i="134"/>
  <c r="J45" i="6" s="1"/>
  <c r="H45" i="6"/>
  <c r="G14" i="138"/>
  <c r="K44" i="6" s="1"/>
  <c r="H44" i="6"/>
  <c r="F11" i="150"/>
  <c r="O47" i="6"/>
  <c r="F11" i="138"/>
  <c r="O44" i="6"/>
  <c r="F11" i="134"/>
  <c r="O45" i="6"/>
  <c r="G14" i="146"/>
  <c r="K46" i="6" s="1"/>
  <c r="H46" i="6"/>
  <c r="H31" i="125"/>
  <c r="F14" i="130"/>
  <c r="J43" i="6" s="1"/>
  <c r="H43" i="6"/>
  <c r="D14" i="150"/>
  <c r="H47" i="6" s="1"/>
  <c r="F14" i="146"/>
  <c r="J46" i="6" s="1"/>
  <c r="G14" i="134"/>
  <c r="K45" i="6" s="1"/>
  <c r="F14" i="138"/>
  <c r="J44" i="6" s="1"/>
  <c r="G14" i="130"/>
  <c r="K43" i="6" s="1"/>
  <c r="D15" i="126"/>
  <c r="H16" i="6" s="1"/>
  <c r="H9" i="125"/>
  <c r="H10" i="125" s="1"/>
  <c r="H11" i="125" s="1"/>
  <c r="H12" i="125" s="1"/>
  <c r="H13" i="125" s="1"/>
  <c r="H14" i="125" s="1"/>
  <c r="H15" i="125" s="1"/>
  <c r="H16" i="125" s="1"/>
  <c r="H17" i="125" s="1"/>
  <c r="H18" i="125" s="1"/>
  <c r="H19" i="125" s="1"/>
  <c r="H20" i="125" s="1"/>
  <c r="H21" i="125" s="1"/>
  <c r="E17" i="6"/>
  <c r="G14" i="150" l="1"/>
  <c r="K47" i="6" s="1"/>
  <c r="F14" i="150"/>
  <c r="J47" i="6" s="1"/>
  <c r="G15" i="126"/>
  <c r="K16" i="6" s="1"/>
  <c r="F15" i="126"/>
  <c r="J16" i="6" s="1"/>
  <c r="D28" i="124"/>
  <c r="H27" i="124"/>
  <c r="H26" i="124"/>
  <c r="F23" i="124"/>
  <c r="D23" i="124"/>
  <c r="G10" i="124"/>
  <c r="G11" i="124" s="1"/>
  <c r="G12" i="124" s="1"/>
  <c r="G13" i="124" s="1"/>
  <c r="G14" i="124" s="1"/>
  <c r="G15" i="124" s="1"/>
  <c r="G16" i="124" s="1"/>
  <c r="G17" i="124" s="1"/>
  <c r="G18" i="124" s="1"/>
  <c r="G19" i="124" s="1"/>
  <c r="G20" i="124" s="1"/>
  <c r="G21" i="124" s="1"/>
  <c r="E9" i="124"/>
  <c r="E10" i="124" s="1"/>
  <c r="E11" i="124" s="1"/>
  <c r="E12" i="124" s="1"/>
  <c r="E13" i="124" s="1"/>
  <c r="E14" i="124" s="1"/>
  <c r="E15" i="124" s="1"/>
  <c r="E16" i="124" s="1"/>
  <c r="E17" i="124" s="1"/>
  <c r="E18" i="124" s="1"/>
  <c r="E19" i="124" s="1"/>
  <c r="E20" i="124" s="1"/>
  <c r="E21" i="124" s="1"/>
  <c r="A6" i="124"/>
  <c r="D3" i="124"/>
  <c r="A3" i="124"/>
  <c r="A2" i="124"/>
  <c r="A1" i="124"/>
  <c r="H27" i="121"/>
  <c r="H28" i="121"/>
  <c r="H29" i="121"/>
  <c r="H30" i="121"/>
  <c r="H31" i="121"/>
  <c r="H26" i="121"/>
  <c r="D32" i="121"/>
  <c r="D27" i="3"/>
  <c r="D26" i="3"/>
  <c r="F26" i="3"/>
  <c r="H23" i="124" l="1"/>
  <c r="H28" i="124"/>
  <c r="H9" i="124"/>
  <c r="H10" i="124" s="1"/>
  <c r="H11" i="124" s="1"/>
  <c r="H12" i="124" s="1"/>
  <c r="H13" i="124" s="1"/>
  <c r="H14" i="124" s="1"/>
  <c r="H15" i="124" s="1"/>
  <c r="H16" i="124" s="1"/>
  <c r="H17" i="124" s="1"/>
  <c r="H18" i="124" s="1"/>
  <c r="H19" i="124" s="1"/>
  <c r="H20" i="124" s="1"/>
  <c r="H21" i="124" s="1"/>
  <c r="H32" i="121"/>
  <c r="F27" i="101"/>
  <c r="F28" i="123"/>
  <c r="D28" i="123"/>
  <c r="H27" i="123"/>
  <c r="H26" i="123"/>
  <c r="F23" i="123"/>
  <c r="E13" i="67" s="1"/>
  <c r="D23" i="123"/>
  <c r="D13" i="67" s="1"/>
  <c r="G10" i="123"/>
  <c r="G11" i="123" s="1"/>
  <c r="G12" i="123" s="1"/>
  <c r="G13" i="123" s="1"/>
  <c r="G14" i="123" s="1"/>
  <c r="G15" i="123" s="1"/>
  <c r="G16" i="123" s="1"/>
  <c r="G17" i="123" s="1"/>
  <c r="G18" i="123" s="1"/>
  <c r="G19" i="123" s="1"/>
  <c r="G20" i="123" s="1"/>
  <c r="G21" i="123" s="1"/>
  <c r="E9" i="123"/>
  <c r="E10" i="123" s="1"/>
  <c r="E11" i="123" s="1"/>
  <c r="E12" i="123" s="1"/>
  <c r="E13" i="123" s="1"/>
  <c r="E14" i="123" s="1"/>
  <c r="E15" i="123" s="1"/>
  <c r="E16" i="123" s="1"/>
  <c r="E17" i="123" s="1"/>
  <c r="E18" i="123" s="1"/>
  <c r="E19" i="123" s="1"/>
  <c r="E20" i="123" s="1"/>
  <c r="E21" i="123" s="1"/>
  <c r="A6" i="123"/>
  <c r="D3" i="123"/>
  <c r="A3" i="123"/>
  <c r="A2" i="123"/>
  <c r="A1" i="123"/>
  <c r="H27" i="122"/>
  <c r="H28" i="122"/>
  <c r="F29" i="122"/>
  <c r="D29" i="122"/>
  <c r="H26" i="122"/>
  <c r="F23" i="122"/>
  <c r="E13" i="35" s="1"/>
  <c r="D23" i="122"/>
  <c r="D13" i="35" s="1"/>
  <c r="G10" i="122"/>
  <c r="G11" i="122" s="1"/>
  <c r="G12" i="122" s="1"/>
  <c r="G13" i="122" s="1"/>
  <c r="G14" i="122" s="1"/>
  <c r="G15" i="122" s="1"/>
  <c r="G16" i="122" s="1"/>
  <c r="G17" i="122" s="1"/>
  <c r="G18" i="122" s="1"/>
  <c r="G19" i="122" s="1"/>
  <c r="G20" i="122" s="1"/>
  <c r="G21" i="122" s="1"/>
  <c r="E9" i="122"/>
  <c r="E10" i="122" s="1"/>
  <c r="E11" i="122" s="1"/>
  <c r="E12" i="122" s="1"/>
  <c r="E13" i="122" s="1"/>
  <c r="E14" i="122" s="1"/>
  <c r="E15" i="122" s="1"/>
  <c r="E16" i="122" s="1"/>
  <c r="E17" i="122" s="1"/>
  <c r="E18" i="122" s="1"/>
  <c r="E19" i="122" s="1"/>
  <c r="E20" i="122" s="1"/>
  <c r="E21" i="122" s="1"/>
  <c r="A6" i="122"/>
  <c r="D3" i="122"/>
  <c r="A3" i="122"/>
  <c r="A2" i="122"/>
  <c r="A1" i="122"/>
  <c r="F26" i="60"/>
  <c r="F23" i="121"/>
  <c r="E13" i="43" s="1"/>
  <c r="D23" i="121"/>
  <c r="D13" i="43" s="1"/>
  <c r="G10" i="121"/>
  <c r="G11" i="121" s="1"/>
  <c r="G12" i="121" s="1"/>
  <c r="G13" i="121" s="1"/>
  <c r="G14" i="121" s="1"/>
  <c r="G15" i="121" s="1"/>
  <c r="G16" i="121" s="1"/>
  <c r="G17" i="121" s="1"/>
  <c r="G18" i="121" s="1"/>
  <c r="G19" i="121" s="1"/>
  <c r="G20" i="121" s="1"/>
  <c r="G21" i="121" s="1"/>
  <c r="E9" i="121"/>
  <c r="E10" i="121" s="1"/>
  <c r="E11" i="121" s="1"/>
  <c r="E12" i="121" s="1"/>
  <c r="E13" i="121" s="1"/>
  <c r="E14" i="121" s="1"/>
  <c r="E15" i="121" s="1"/>
  <c r="E16" i="121" s="1"/>
  <c r="E17" i="121" s="1"/>
  <c r="E18" i="121" s="1"/>
  <c r="E19" i="121" s="1"/>
  <c r="E20" i="121" s="1"/>
  <c r="E21" i="121" s="1"/>
  <c r="A6" i="121"/>
  <c r="D3" i="121"/>
  <c r="A3" i="121"/>
  <c r="A2" i="121"/>
  <c r="A1" i="121"/>
  <c r="F27" i="22"/>
  <c r="H28" i="123" l="1"/>
  <c r="H23" i="123"/>
  <c r="F13" i="67" s="1"/>
  <c r="H9" i="123"/>
  <c r="H10" i="123" s="1"/>
  <c r="H11" i="123" s="1"/>
  <c r="H12" i="123" s="1"/>
  <c r="H13" i="123" s="1"/>
  <c r="H14" i="123" s="1"/>
  <c r="H15" i="123" s="1"/>
  <c r="H16" i="123" s="1"/>
  <c r="H17" i="123" s="1"/>
  <c r="H18" i="123" s="1"/>
  <c r="H19" i="123" s="1"/>
  <c r="H20" i="123" s="1"/>
  <c r="H21" i="123" s="1"/>
  <c r="H29" i="122"/>
  <c r="H23" i="122"/>
  <c r="F13" i="35" s="1"/>
  <c r="H9" i="122"/>
  <c r="H10" i="122" s="1"/>
  <c r="H11" i="122" s="1"/>
  <c r="H12" i="122" s="1"/>
  <c r="H13" i="122" s="1"/>
  <c r="H14" i="122" s="1"/>
  <c r="H15" i="122" s="1"/>
  <c r="H16" i="122" s="1"/>
  <c r="H17" i="122" s="1"/>
  <c r="H18" i="122" s="1"/>
  <c r="H19" i="122" s="1"/>
  <c r="H20" i="122" s="1"/>
  <c r="H21" i="122" s="1"/>
  <c r="H23" i="121"/>
  <c r="F13" i="43" s="1"/>
  <c r="H9" i="121"/>
  <c r="H10" i="121" s="1"/>
  <c r="H11" i="121" s="1"/>
  <c r="H12" i="121" s="1"/>
  <c r="H13" i="121" s="1"/>
  <c r="H14" i="121" s="1"/>
  <c r="H15" i="121" s="1"/>
  <c r="H16" i="121" s="1"/>
  <c r="H17" i="121" s="1"/>
  <c r="H18" i="121" s="1"/>
  <c r="H19" i="121" s="1"/>
  <c r="H20" i="121" s="1"/>
  <c r="H21" i="121" s="1"/>
  <c r="F27" i="56"/>
  <c r="F23" i="120"/>
  <c r="E15" i="2" s="1"/>
  <c r="D23" i="120"/>
  <c r="D15" i="2" s="1"/>
  <c r="G10" i="120"/>
  <c r="G11" i="120" s="1"/>
  <c r="G12" i="120" s="1"/>
  <c r="G13" i="120" s="1"/>
  <c r="G14" i="120" s="1"/>
  <c r="G15" i="120" s="1"/>
  <c r="G16" i="120" s="1"/>
  <c r="G17" i="120" s="1"/>
  <c r="G18" i="120" s="1"/>
  <c r="G19" i="120" s="1"/>
  <c r="G20" i="120" s="1"/>
  <c r="G21" i="120" s="1"/>
  <c r="E9" i="120"/>
  <c r="E10" i="120" s="1"/>
  <c r="E11" i="120" s="1"/>
  <c r="E12" i="120" s="1"/>
  <c r="E13" i="120" s="1"/>
  <c r="E14" i="120" s="1"/>
  <c r="E15" i="120" s="1"/>
  <c r="E16" i="120" s="1"/>
  <c r="E17" i="120" s="1"/>
  <c r="E18" i="120" s="1"/>
  <c r="E19" i="120" s="1"/>
  <c r="E20" i="120" s="1"/>
  <c r="E21" i="120" s="1"/>
  <c r="A6" i="120"/>
  <c r="D3" i="120"/>
  <c r="A3" i="120"/>
  <c r="A2" i="120"/>
  <c r="A1" i="120"/>
  <c r="F31" i="68"/>
  <c r="H27" i="68"/>
  <c r="H28" i="68"/>
  <c r="H29" i="68"/>
  <c r="H30" i="68"/>
  <c r="H26" i="68"/>
  <c r="D31" i="68"/>
  <c r="H27" i="119"/>
  <c r="H28" i="119"/>
  <c r="H29" i="119"/>
  <c r="H26" i="119"/>
  <c r="F30" i="119"/>
  <c r="D30" i="119"/>
  <c r="F23" i="119"/>
  <c r="E13" i="100" s="1"/>
  <c r="D23" i="119"/>
  <c r="D13" i="100" s="1"/>
  <c r="G10" i="119"/>
  <c r="G11" i="119" s="1"/>
  <c r="G12" i="119" s="1"/>
  <c r="G13" i="119" s="1"/>
  <c r="G14" i="119" s="1"/>
  <c r="G15" i="119" s="1"/>
  <c r="G16" i="119" s="1"/>
  <c r="G17" i="119" s="1"/>
  <c r="G18" i="119" s="1"/>
  <c r="G19" i="119" s="1"/>
  <c r="G20" i="119" s="1"/>
  <c r="G21" i="119" s="1"/>
  <c r="E9" i="119"/>
  <c r="E10" i="119" s="1"/>
  <c r="E11" i="119" s="1"/>
  <c r="E12" i="119" s="1"/>
  <c r="E13" i="119" s="1"/>
  <c r="E14" i="119" s="1"/>
  <c r="E15" i="119" s="1"/>
  <c r="E16" i="119" s="1"/>
  <c r="E17" i="119" s="1"/>
  <c r="E18" i="119" s="1"/>
  <c r="E19" i="119" s="1"/>
  <c r="E20" i="119" s="1"/>
  <c r="E21" i="119" s="1"/>
  <c r="A6" i="119"/>
  <c r="D3" i="119"/>
  <c r="A3" i="119"/>
  <c r="A2" i="119"/>
  <c r="A1" i="119"/>
  <c r="H27" i="118"/>
  <c r="H28" i="118"/>
  <c r="D29" i="118"/>
  <c r="F29" i="118"/>
  <c r="F23" i="118"/>
  <c r="E13" i="79" s="1"/>
  <c r="D23" i="118"/>
  <c r="D13" i="79" s="1"/>
  <c r="G10" i="118"/>
  <c r="G11" i="118" s="1"/>
  <c r="G12" i="118" s="1"/>
  <c r="G13" i="118" s="1"/>
  <c r="G14" i="118" s="1"/>
  <c r="G15" i="118" s="1"/>
  <c r="G16" i="118" s="1"/>
  <c r="G17" i="118" s="1"/>
  <c r="G18" i="118" s="1"/>
  <c r="G19" i="118" s="1"/>
  <c r="G20" i="118" s="1"/>
  <c r="G21" i="118" s="1"/>
  <c r="E9" i="118"/>
  <c r="H9" i="118" s="1"/>
  <c r="H10" i="118" s="1"/>
  <c r="H11" i="118" s="1"/>
  <c r="H12" i="118" s="1"/>
  <c r="H13" i="118" s="1"/>
  <c r="H14" i="118" s="1"/>
  <c r="H15" i="118" s="1"/>
  <c r="H16" i="118" s="1"/>
  <c r="H17" i="118" s="1"/>
  <c r="H18" i="118" s="1"/>
  <c r="H19" i="118" s="1"/>
  <c r="H20" i="118" s="1"/>
  <c r="H21" i="118" s="1"/>
  <c r="A6" i="118"/>
  <c r="D3" i="118"/>
  <c r="A3" i="118"/>
  <c r="A2" i="118"/>
  <c r="A1" i="118"/>
  <c r="F23" i="117"/>
  <c r="E14" i="2" s="1"/>
  <c r="D23" i="117"/>
  <c r="D14" i="2" s="1"/>
  <c r="G10" i="117"/>
  <c r="G11" i="117" s="1"/>
  <c r="G12" i="117" s="1"/>
  <c r="G13" i="117" s="1"/>
  <c r="G14" i="117" s="1"/>
  <c r="G15" i="117" s="1"/>
  <c r="G16" i="117" s="1"/>
  <c r="G17" i="117" s="1"/>
  <c r="G18" i="117" s="1"/>
  <c r="G19" i="117" s="1"/>
  <c r="G20" i="117" s="1"/>
  <c r="G21" i="117" s="1"/>
  <c r="E9" i="117"/>
  <c r="E10" i="117" s="1"/>
  <c r="E11" i="117" s="1"/>
  <c r="E12" i="117" s="1"/>
  <c r="E13" i="117" s="1"/>
  <c r="E14" i="117" s="1"/>
  <c r="E15" i="117" s="1"/>
  <c r="E16" i="117" s="1"/>
  <c r="E17" i="117" s="1"/>
  <c r="E18" i="117" s="1"/>
  <c r="E19" i="117" s="1"/>
  <c r="E20" i="117" s="1"/>
  <c r="E21" i="117" s="1"/>
  <c r="A6" i="117"/>
  <c r="D3" i="117"/>
  <c r="A3" i="117"/>
  <c r="A2" i="117"/>
  <c r="A1" i="117"/>
  <c r="H30" i="119" l="1"/>
  <c r="H31" i="68"/>
  <c r="H23" i="120"/>
  <c r="F15" i="2" s="1"/>
  <c r="H9" i="120"/>
  <c r="H10" i="120" s="1"/>
  <c r="H11" i="120" s="1"/>
  <c r="H12" i="120" s="1"/>
  <c r="H13" i="120" s="1"/>
  <c r="H14" i="120" s="1"/>
  <c r="H15" i="120" s="1"/>
  <c r="H16" i="120" s="1"/>
  <c r="H17" i="120" s="1"/>
  <c r="H18" i="120" s="1"/>
  <c r="H19" i="120" s="1"/>
  <c r="H20" i="120" s="1"/>
  <c r="H21" i="120" s="1"/>
  <c r="H23" i="119"/>
  <c r="F13" i="100" s="1"/>
  <c r="H9" i="119"/>
  <c r="H10" i="119" s="1"/>
  <c r="H11" i="119" s="1"/>
  <c r="H12" i="119" s="1"/>
  <c r="H13" i="119" s="1"/>
  <c r="H14" i="119" s="1"/>
  <c r="H15" i="119" s="1"/>
  <c r="H16" i="119" s="1"/>
  <c r="H17" i="119" s="1"/>
  <c r="H18" i="119" s="1"/>
  <c r="H19" i="119" s="1"/>
  <c r="H20" i="119" s="1"/>
  <c r="H21" i="119" s="1"/>
  <c r="H23" i="118"/>
  <c r="F13" i="79" s="1"/>
  <c r="E10" i="118"/>
  <c r="E11" i="118" s="1"/>
  <c r="E12" i="118" s="1"/>
  <c r="E13" i="118" s="1"/>
  <c r="E14" i="118" s="1"/>
  <c r="E15" i="118" s="1"/>
  <c r="E16" i="118" s="1"/>
  <c r="E17" i="118" s="1"/>
  <c r="E18" i="118" s="1"/>
  <c r="E19" i="118" s="1"/>
  <c r="E20" i="118" s="1"/>
  <c r="E21" i="118" s="1"/>
  <c r="H26" i="118"/>
  <c r="H29" i="118" s="1"/>
  <c r="H23" i="117"/>
  <c r="F14" i="2" s="1"/>
  <c r="H9" i="117"/>
  <c r="H10" i="117" s="1"/>
  <c r="H11" i="117" s="1"/>
  <c r="H12" i="117" s="1"/>
  <c r="H13" i="117" s="1"/>
  <c r="H14" i="117" s="1"/>
  <c r="H15" i="117" s="1"/>
  <c r="H16" i="117" s="1"/>
  <c r="H17" i="117" s="1"/>
  <c r="H18" i="117" s="1"/>
  <c r="H19" i="117" s="1"/>
  <c r="H20" i="117" s="1"/>
  <c r="H21" i="117" s="1"/>
  <c r="F26" i="19" l="1"/>
  <c r="H27" i="116" l="1"/>
  <c r="H28" i="116"/>
  <c r="D29" i="116"/>
  <c r="H26" i="116"/>
  <c r="F29" i="116"/>
  <c r="F23" i="116"/>
  <c r="E13" i="55" s="1"/>
  <c r="D23" i="116"/>
  <c r="D13" i="55" s="1"/>
  <c r="G10" i="116"/>
  <c r="G11" i="116" s="1"/>
  <c r="G12" i="116" s="1"/>
  <c r="G13" i="116" s="1"/>
  <c r="G14" i="116" s="1"/>
  <c r="G15" i="116" s="1"/>
  <c r="G16" i="116" s="1"/>
  <c r="G17" i="116" s="1"/>
  <c r="G18" i="116" s="1"/>
  <c r="G19" i="116" s="1"/>
  <c r="G20" i="116" s="1"/>
  <c r="G21" i="116" s="1"/>
  <c r="E9" i="116"/>
  <c r="H9" i="116" s="1"/>
  <c r="H10" i="116" s="1"/>
  <c r="H11" i="116" s="1"/>
  <c r="H12" i="116" s="1"/>
  <c r="H13" i="116" s="1"/>
  <c r="H14" i="116" s="1"/>
  <c r="H15" i="116" s="1"/>
  <c r="H16" i="116" s="1"/>
  <c r="H17" i="116" s="1"/>
  <c r="H18" i="116" s="1"/>
  <c r="H19" i="116" s="1"/>
  <c r="H20" i="116" s="1"/>
  <c r="H21" i="116" s="1"/>
  <c r="A6" i="116"/>
  <c r="D3" i="116"/>
  <c r="A3" i="116"/>
  <c r="A2" i="116"/>
  <c r="A1" i="116"/>
  <c r="H29" i="116" l="1"/>
  <c r="H23" i="116"/>
  <c r="F13" i="55" s="1"/>
  <c r="E10" i="116"/>
  <c r="E11" i="116" s="1"/>
  <c r="E12" i="116" s="1"/>
  <c r="E13" i="116" s="1"/>
  <c r="E14" i="116" s="1"/>
  <c r="E15" i="116" s="1"/>
  <c r="E16" i="116" s="1"/>
  <c r="E17" i="116" s="1"/>
  <c r="E18" i="116" s="1"/>
  <c r="E19" i="116" s="1"/>
  <c r="E20" i="116" s="1"/>
  <c r="E21" i="116" s="1"/>
  <c r="F27" i="3"/>
  <c r="G15" i="15"/>
  <c r="G14" i="15"/>
  <c r="G13" i="15"/>
  <c r="G12" i="15"/>
  <c r="F28" i="44"/>
  <c r="D28" i="44"/>
  <c r="G17" i="6"/>
  <c r="C8" i="112" s="1"/>
  <c r="G22" i="115"/>
  <c r="H9" i="115"/>
  <c r="H10" i="115" s="1"/>
  <c r="H11" i="115" s="1"/>
  <c r="H12" i="115" s="1"/>
  <c r="H13" i="115" s="1"/>
  <c r="H14" i="115" s="1"/>
  <c r="H15" i="115" s="1"/>
  <c r="H16" i="115" s="1"/>
  <c r="H17" i="115" s="1"/>
  <c r="H18" i="115" s="1"/>
  <c r="H19" i="115" s="1"/>
  <c r="H20" i="115" s="1"/>
  <c r="A7" i="115"/>
  <c r="E3" i="115"/>
  <c r="A3" i="115"/>
  <c r="A2" i="115"/>
  <c r="A1" i="115"/>
  <c r="G23" i="114"/>
  <c r="E11" i="112" s="1"/>
  <c r="E23" i="114"/>
  <c r="D11" i="112" s="1"/>
  <c r="H10" i="114"/>
  <c r="H11" i="114" s="1"/>
  <c r="H12" i="114" s="1"/>
  <c r="H13" i="114" s="1"/>
  <c r="H14" i="114" s="1"/>
  <c r="H15" i="114" s="1"/>
  <c r="H16" i="114" s="1"/>
  <c r="H17" i="114" s="1"/>
  <c r="H18" i="114" s="1"/>
  <c r="H19" i="114" s="1"/>
  <c r="H20" i="114" s="1"/>
  <c r="H21" i="114" s="1"/>
  <c r="F9" i="114"/>
  <c r="F10" i="114" s="1"/>
  <c r="F11" i="114" s="1"/>
  <c r="F12" i="114" s="1"/>
  <c r="F13" i="114" s="1"/>
  <c r="F14" i="114" s="1"/>
  <c r="F15" i="114" s="1"/>
  <c r="F16" i="114" s="1"/>
  <c r="F17" i="114" s="1"/>
  <c r="F18" i="114" s="1"/>
  <c r="F19" i="114" s="1"/>
  <c r="F20" i="114" s="1"/>
  <c r="F21" i="114" s="1"/>
  <c r="A7" i="114"/>
  <c r="E3" i="114"/>
  <c r="A3" i="114"/>
  <c r="A2" i="114"/>
  <c r="A1" i="114"/>
  <c r="F23" i="113"/>
  <c r="E10" i="112" s="1"/>
  <c r="D23" i="113"/>
  <c r="D10" i="112" s="1"/>
  <c r="G10" i="113"/>
  <c r="G11" i="113" s="1"/>
  <c r="G12" i="113" s="1"/>
  <c r="G13" i="113" s="1"/>
  <c r="G14" i="113" s="1"/>
  <c r="G15" i="113" s="1"/>
  <c r="G16" i="113" s="1"/>
  <c r="G17" i="113" s="1"/>
  <c r="G18" i="113" s="1"/>
  <c r="G19" i="113" s="1"/>
  <c r="G20" i="113" s="1"/>
  <c r="G21" i="113" s="1"/>
  <c r="E9" i="113"/>
  <c r="E10" i="113" s="1"/>
  <c r="E11" i="113" s="1"/>
  <c r="E12" i="113" s="1"/>
  <c r="E13" i="113" s="1"/>
  <c r="E14" i="113" s="1"/>
  <c r="E15" i="113" s="1"/>
  <c r="E16" i="113" s="1"/>
  <c r="E17" i="113" s="1"/>
  <c r="E18" i="113" s="1"/>
  <c r="E19" i="113" s="1"/>
  <c r="E20" i="113" s="1"/>
  <c r="E21" i="113" s="1"/>
  <c r="A6" i="113"/>
  <c r="D3" i="113"/>
  <c r="A3" i="113"/>
  <c r="A2" i="113"/>
  <c r="A1" i="113"/>
  <c r="E21" i="6"/>
  <c r="A1" i="111"/>
  <c r="F23" i="111"/>
  <c r="E13" i="39" s="1"/>
  <c r="D23" i="111"/>
  <c r="D13" i="39" s="1"/>
  <c r="G10" i="111"/>
  <c r="G11" i="111" s="1"/>
  <c r="G12" i="111" s="1"/>
  <c r="G13" i="111" s="1"/>
  <c r="G14" i="111" s="1"/>
  <c r="G15" i="111" s="1"/>
  <c r="G16" i="111" s="1"/>
  <c r="G17" i="111" s="1"/>
  <c r="G18" i="111" s="1"/>
  <c r="G19" i="111" s="1"/>
  <c r="G20" i="111" s="1"/>
  <c r="G21" i="111" s="1"/>
  <c r="E9" i="111"/>
  <c r="E10" i="111" s="1"/>
  <c r="E11" i="111" s="1"/>
  <c r="E12" i="111" s="1"/>
  <c r="E13" i="111" s="1"/>
  <c r="E14" i="111" s="1"/>
  <c r="E15" i="111" s="1"/>
  <c r="E16" i="111" s="1"/>
  <c r="E17" i="111" s="1"/>
  <c r="E18" i="111" s="1"/>
  <c r="E19" i="111" s="1"/>
  <c r="E20" i="111" s="1"/>
  <c r="E21" i="111" s="1"/>
  <c r="A6" i="111"/>
  <c r="D3" i="111"/>
  <c r="A3" i="111"/>
  <c r="A2" i="111"/>
  <c r="E37" i="6"/>
  <c r="E36" i="6"/>
  <c r="E35" i="6"/>
  <c r="E9" i="81"/>
  <c r="F30" i="110"/>
  <c r="D30" i="110"/>
  <c r="H27" i="110"/>
  <c r="H28" i="110"/>
  <c r="H29" i="110"/>
  <c r="H26" i="110"/>
  <c r="F23" i="110"/>
  <c r="E13" i="9" s="1"/>
  <c r="D23" i="110"/>
  <c r="G10" i="110"/>
  <c r="G11" i="110" s="1"/>
  <c r="G12" i="110" s="1"/>
  <c r="G13" i="110" s="1"/>
  <c r="G14" i="110" s="1"/>
  <c r="G15" i="110" s="1"/>
  <c r="G16" i="110" s="1"/>
  <c r="G17" i="110" s="1"/>
  <c r="G18" i="110" s="1"/>
  <c r="G19" i="110" s="1"/>
  <c r="G20" i="110" s="1"/>
  <c r="G21" i="110" s="1"/>
  <c r="E9" i="110"/>
  <c r="E10" i="110" s="1"/>
  <c r="E11" i="110" s="1"/>
  <c r="E12" i="110" s="1"/>
  <c r="E13" i="110" s="1"/>
  <c r="E14" i="110" s="1"/>
  <c r="E15" i="110" s="1"/>
  <c r="E16" i="110" s="1"/>
  <c r="E17" i="110" s="1"/>
  <c r="E18" i="110" s="1"/>
  <c r="E19" i="110" s="1"/>
  <c r="E20" i="110" s="1"/>
  <c r="E21" i="110" s="1"/>
  <c r="A6" i="110"/>
  <c r="D3" i="110"/>
  <c r="A3" i="110"/>
  <c r="A2" i="110"/>
  <c r="A1" i="110"/>
  <c r="H26" i="109"/>
  <c r="E9" i="15"/>
  <c r="F26" i="22"/>
  <c r="H27" i="109"/>
  <c r="D28" i="109"/>
  <c r="F23" i="109"/>
  <c r="E10" i="18" s="1"/>
  <c r="D23" i="109"/>
  <c r="G10" i="109"/>
  <c r="G11" i="109" s="1"/>
  <c r="G12" i="109" s="1"/>
  <c r="G13" i="109" s="1"/>
  <c r="G14" i="109" s="1"/>
  <c r="G15" i="109" s="1"/>
  <c r="G16" i="109" s="1"/>
  <c r="G17" i="109" s="1"/>
  <c r="G18" i="109" s="1"/>
  <c r="G19" i="109" s="1"/>
  <c r="G20" i="109" s="1"/>
  <c r="G21" i="109" s="1"/>
  <c r="E9" i="109"/>
  <c r="E10" i="109" s="1"/>
  <c r="E11" i="109" s="1"/>
  <c r="E12" i="109" s="1"/>
  <c r="E13" i="109" s="1"/>
  <c r="E14" i="109" s="1"/>
  <c r="E15" i="109" s="1"/>
  <c r="E16" i="109" s="1"/>
  <c r="E17" i="109" s="1"/>
  <c r="E18" i="109" s="1"/>
  <c r="E19" i="109" s="1"/>
  <c r="E20" i="109" s="1"/>
  <c r="E21" i="109" s="1"/>
  <c r="A6" i="109"/>
  <c r="D3" i="109"/>
  <c r="A3" i="109"/>
  <c r="A2" i="109"/>
  <c r="A1" i="109"/>
  <c r="F31" i="19"/>
  <c r="H27" i="19"/>
  <c r="H28" i="19"/>
  <c r="H29" i="19"/>
  <c r="H30" i="19"/>
  <c r="H26" i="19"/>
  <c r="D31" i="19"/>
  <c r="F23" i="108"/>
  <c r="E13" i="59" s="1"/>
  <c r="D23" i="108"/>
  <c r="D13" i="59" s="1"/>
  <c r="G10" i="108"/>
  <c r="G11" i="108" s="1"/>
  <c r="G12" i="108" s="1"/>
  <c r="G13" i="108" s="1"/>
  <c r="G14" i="108" s="1"/>
  <c r="G15" i="108" s="1"/>
  <c r="G16" i="108" s="1"/>
  <c r="G17" i="108" s="1"/>
  <c r="G18" i="108" s="1"/>
  <c r="G19" i="108" s="1"/>
  <c r="G20" i="108" s="1"/>
  <c r="G21" i="108" s="1"/>
  <c r="E9" i="108"/>
  <c r="E10" i="108" s="1"/>
  <c r="E11" i="108" s="1"/>
  <c r="E12" i="108" s="1"/>
  <c r="E13" i="108" s="1"/>
  <c r="E14" i="108" s="1"/>
  <c r="E15" i="108" s="1"/>
  <c r="E16" i="108" s="1"/>
  <c r="E17" i="108" s="1"/>
  <c r="E18" i="108" s="1"/>
  <c r="E19" i="108" s="1"/>
  <c r="E20" i="108" s="1"/>
  <c r="E21" i="108" s="1"/>
  <c r="A6" i="108"/>
  <c r="D3" i="108"/>
  <c r="A3" i="108"/>
  <c r="A2" i="108"/>
  <c r="A1" i="108"/>
  <c r="G22" i="107"/>
  <c r="H9" i="107"/>
  <c r="H10" i="107" s="1"/>
  <c r="H11" i="107" s="1"/>
  <c r="H12" i="107" s="1"/>
  <c r="H13" i="107" s="1"/>
  <c r="H14" i="107" s="1"/>
  <c r="H15" i="107" s="1"/>
  <c r="H16" i="107" s="1"/>
  <c r="H17" i="107" s="1"/>
  <c r="H18" i="107" s="1"/>
  <c r="H19" i="107" s="1"/>
  <c r="H20" i="107" s="1"/>
  <c r="A7" i="107"/>
  <c r="E3" i="107"/>
  <c r="A3" i="107"/>
  <c r="A2" i="107"/>
  <c r="A1" i="107"/>
  <c r="G23" i="106"/>
  <c r="E11" i="104" s="1"/>
  <c r="E23" i="106"/>
  <c r="H10" i="106"/>
  <c r="H11" i="106" s="1"/>
  <c r="H12" i="106" s="1"/>
  <c r="H13" i="106" s="1"/>
  <c r="H14" i="106" s="1"/>
  <c r="H15" i="106" s="1"/>
  <c r="H16" i="106" s="1"/>
  <c r="H17" i="106" s="1"/>
  <c r="H18" i="106" s="1"/>
  <c r="H19" i="106" s="1"/>
  <c r="H20" i="106" s="1"/>
  <c r="H21" i="106" s="1"/>
  <c r="F9" i="106"/>
  <c r="I9" i="106" s="1"/>
  <c r="I10" i="106" s="1"/>
  <c r="I11" i="106" s="1"/>
  <c r="I12" i="106" s="1"/>
  <c r="I13" i="106" s="1"/>
  <c r="I14" i="106" s="1"/>
  <c r="I15" i="106" s="1"/>
  <c r="I16" i="106" s="1"/>
  <c r="I17" i="106" s="1"/>
  <c r="I18" i="106" s="1"/>
  <c r="I19" i="106" s="1"/>
  <c r="I20" i="106" s="1"/>
  <c r="I21" i="106" s="1"/>
  <c r="A7" i="106"/>
  <c r="E3" i="106"/>
  <c r="A3" i="106"/>
  <c r="A2" i="106"/>
  <c r="A1" i="106"/>
  <c r="F28" i="105"/>
  <c r="D28" i="105"/>
  <c r="H27" i="105"/>
  <c r="H26" i="105"/>
  <c r="F23" i="105"/>
  <c r="E10" i="104" s="1"/>
  <c r="D23" i="105"/>
  <c r="G10" i="105"/>
  <c r="G11" i="105" s="1"/>
  <c r="G12" i="105" s="1"/>
  <c r="G13" i="105" s="1"/>
  <c r="G14" i="105" s="1"/>
  <c r="G15" i="105" s="1"/>
  <c r="G16" i="105" s="1"/>
  <c r="G17" i="105" s="1"/>
  <c r="G18" i="105" s="1"/>
  <c r="G19" i="105" s="1"/>
  <c r="G20" i="105" s="1"/>
  <c r="G21" i="105" s="1"/>
  <c r="E9" i="105"/>
  <c r="E10" i="105" s="1"/>
  <c r="E11" i="105" s="1"/>
  <c r="E12" i="105" s="1"/>
  <c r="E13" i="105" s="1"/>
  <c r="E14" i="105" s="1"/>
  <c r="E15" i="105" s="1"/>
  <c r="E16" i="105" s="1"/>
  <c r="E17" i="105" s="1"/>
  <c r="E18" i="105" s="1"/>
  <c r="E19" i="105" s="1"/>
  <c r="E20" i="105" s="1"/>
  <c r="E21" i="105" s="1"/>
  <c r="A6" i="105"/>
  <c r="D3" i="105"/>
  <c r="A3" i="105"/>
  <c r="A2" i="105"/>
  <c r="A1" i="105"/>
  <c r="D12" i="112" l="1"/>
  <c r="D15" i="112" s="1"/>
  <c r="G15" i="112" s="1"/>
  <c r="K17" i="6" s="1"/>
  <c r="E12" i="112"/>
  <c r="I23" i="106"/>
  <c r="F11" i="104" s="1"/>
  <c r="H28" i="105"/>
  <c r="I23" i="114"/>
  <c r="O17" i="6" s="1"/>
  <c r="H30" i="110"/>
  <c r="I9" i="114"/>
  <c r="I10" i="114" s="1"/>
  <c r="I11" i="114" s="1"/>
  <c r="I12" i="114" s="1"/>
  <c r="I13" i="114" s="1"/>
  <c r="I14" i="114" s="1"/>
  <c r="I15" i="114" s="1"/>
  <c r="I16" i="114" s="1"/>
  <c r="I17" i="114" s="1"/>
  <c r="I18" i="114" s="1"/>
  <c r="I19" i="114" s="1"/>
  <c r="I20" i="114" s="1"/>
  <c r="I21" i="114" s="1"/>
  <c r="F11" i="112"/>
  <c r="D12" i="104"/>
  <c r="E12" i="104"/>
  <c r="E14" i="104" s="1"/>
  <c r="I42" i="6" s="1"/>
  <c r="H23" i="110"/>
  <c r="F13" i="9" s="1"/>
  <c r="H23" i="105"/>
  <c r="F10" i="104" s="1"/>
  <c r="F10" i="106"/>
  <c r="F11" i="106" s="1"/>
  <c r="F12" i="106" s="1"/>
  <c r="F13" i="106" s="1"/>
  <c r="F14" i="106" s="1"/>
  <c r="F15" i="106" s="1"/>
  <c r="F16" i="106" s="1"/>
  <c r="F17" i="106" s="1"/>
  <c r="F18" i="106" s="1"/>
  <c r="F19" i="106" s="1"/>
  <c r="F20" i="106" s="1"/>
  <c r="F21" i="106" s="1"/>
  <c r="D11" i="104"/>
  <c r="H9" i="113"/>
  <c r="H10" i="113" s="1"/>
  <c r="H11" i="113" s="1"/>
  <c r="H12" i="113" s="1"/>
  <c r="H13" i="113" s="1"/>
  <c r="H14" i="113" s="1"/>
  <c r="H15" i="113" s="1"/>
  <c r="H16" i="113" s="1"/>
  <c r="H17" i="113" s="1"/>
  <c r="H18" i="113" s="1"/>
  <c r="H19" i="113" s="1"/>
  <c r="H20" i="113" s="1"/>
  <c r="H21" i="113" s="1"/>
  <c r="H23" i="113"/>
  <c r="F10" i="112" s="1"/>
  <c r="E15" i="112"/>
  <c r="I17" i="6" s="1"/>
  <c r="D13" i="9"/>
  <c r="H31" i="19"/>
  <c r="D10" i="104"/>
  <c r="H23" i="108"/>
  <c r="F13" i="59" s="1"/>
  <c r="C15" i="112"/>
  <c r="H23" i="111"/>
  <c r="F13" i="39" s="1"/>
  <c r="H9" i="111"/>
  <c r="H10" i="111" s="1"/>
  <c r="H11" i="111" s="1"/>
  <c r="H12" i="111" s="1"/>
  <c r="H13" i="111" s="1"/>
  <c r="H14" i="111" s="1"/>
  <c r="H15" i="111" s="1"/>
  <c r="H16" i="111" s="1"/>
  <c r="H17" i="111" s="1"/>
  <c r="H18" i="111" s="1"/>
  <c r="H19" i="111" s="1"/>
  <c r="H20" i="111" s="1"/>
  <c r="H21" i="111" s="1"/>
  <c r="H9" i="110"/>
  <c r="H10" i="110" s="1"/>
  <c r="H11" i="110" s="1"/>
  <c r="H12" i="110" s="1"/>
  <c r="H13" i="110" s="1"/>
  <c r="H14" i="110" s="1"/>
  <c r="H15" i="110" s="1"/>
  <c r="H16" i="110" s="1"/>
  <c r="H17" i="110" s="1"/>
  <c r="H18" i="110" s="1"/>
  <c r="H19" i="110" s="1"/>
  <c r="H20" i="110" s="1"/>
  <c r="H21" i="110" s="1"/>
  <c r="F28" i="109"/>
  <c r="H23" i="109"/>
  <c r="F10" i="18" s="1"/>
  <c r="H28" i="109"/>
  <c r="D10" i="18"/>
  <c r="H9" i="109"/>
  <c r="H10" i="109" s="1"/>
  <c r="H11" i="109" s="1"/>
  <c r="H12" i="109" s="1"/>
  <c r="H13" i="109" s="1"/>
  <c r="H14" i="109" s="1"/>
  <c r="H15" i="109" s="1"/>
  <c r="H16" i="109" s="1"/>
  <c r="H17" i="109" s="1"/>
  <c r="H18" i="109" s="1"/>
  <c r="H19" i="109" s="1"/>
  <c r="H20" i="109" s="1"/>
  <c r="H21" i="109" s="1"/>
  <c r="H9" i="108"/>
  <c r="H10" i="108" s="1"/>
  <c r="H11" i="108" s="1"/>
  <c r="H12" i="108" s="1"/>
  <c r="H13" i="108" s="1"/>
  <c r="H14" i="108" s="1"/>
  <c r="H15" i="108" s="1"/>
  <c r="H16" i="108" s="1"/>
  <c r="H17" i="108" s="1"/>
  <c r="H18" i="108" s="1"/>
  <c r="H19" i="108" s="1"/>
  <c r="H20" i="108" s="1"/>
  <c r="H21" i="108" s="1"/>
  <c r="H9" i="105"/>
  <c r="H10" i="105" s="1"/>
  <c r="H11" i="105" s="1"/>
  <c r="H12" i="105" s="1"/>
  <c r="H13" i="105" s="1"/>
  <c r="H14" i="105" s="1"/>
  <c r="H15" i="105" s="1"/>
  <c r="H16" i="105" s="1"/>
  <c r="H17" i="105" s="1"/>
  <c r="H18" i="105" s="1"/>
  <c r="H19" i="105" s="1"/>
  <c r="H20" i="105" s="1"/>
  <c r="H21" i="105" s="1"/>
  <c r="O42" i="6" l="1"/>
  <c r="F12" i="112"/>
  <c r="F12" i="104"/>
  <c r="D14" i="104"/>
  <c r="F15" i="112"/>
  <c r="J17" i="6" s="1"/>
  <c r="H17" i="6"/>
  <c r="E9" i="93"/>
  <c r="H10" i="41"/>
  <c r="H11" i="41" s="1"/>
  <c r="F14" i="104" l="1"/>
  <c r="J42" i="6" s="1"/>
  <c r="H42" i="6"/>
  <c r="G41" i="6"/>
  <c r="E22" i="6"/>
  <c r="E50" i="6" s="1"/>
  <c r="C14" i="104" l="1"/>
  <c r="G14" i="104"/>
  <c r="K42" i="6" s="1"/>
  <c r="C8" i="13"/>
  <c r="G28" i="20"/>
  <c r="G22" i="103" l="1"/>
  <c r="H9" i="103"/>
  <c r="H10" i="103" s="1"/>
  <c r="H11" i="103" s="1"/>
  <c r="H12" i="103" s="1"/>
  <c r="H13" i="103" s="1"/>
  <c r="H14" i="103" s="1"/>
  <c r="H15" i="103" s="1"/>
  <c r="H16" i="103" s="1"/>
  <c r="H17" i="103" s="1"/>
  <c r="H18" i="103" s="1"/>
  <c r="H19" i="103" s="1"/>
  <c r="H20" i="103" s="1"/>
  <c r="A7" i="103"/>
  <c r="E3" i="103"/>
  <c r="A3" i="103"/>
  <c r="A2" i="103"/>
  <c r="A1" i="103"/>
  <c r="G23" i="102"/>
  <c r="E11" i="100" s="1"/>
  <c r="E23" i="102"/>
  <c r="H10" i="102"/>
  <c r="H11" i="102" s="1"/>
  <c r="H12" i="102" s="1"/>
  <c r="H13" i="102" s="1"/>
  <c r="H14" i="102" s="1"/>
  <c r="H15" i="102" s="1"/>
  <c r="H16" i="102" s="1"/>
  <c r="H17" i="102" s="1"/>
  <c r="H18" i="102" s="1"/>
  <c r="H19" i="102" s="1"/>
  <c r="H20" i="102" s="1"/>
  <c r="H21" i="102" s="1"/>
  <c r="F9" i="102"/>
  <c r="F10" i="102" s="1"/>
  <c r="F11" i="102" s="1"/>
  <c r="F12" i="102" s="1"/>
  <c r="F13" i="102" s="1"/>
  <c r="F14" i="102" s="1"/>
  <c r="F15" i="102" s="1"/>
  <c r="F16" i="102" s="1"/>
  <c r="F17" i="102" s="1"/>
  <c r="F18" i="102" s="1"/>
  <c r="F19" i="102" s="1"/>
  <c r="F20" i="102" s="1"/>
  <c r="F21" i="102" s="1"/>
  <c r="A7" i="102"/>
  <c r="E3" i="102"/>
  <c r="A3" i="102"/>
  <c r="A2" i="102"/>
  <c r="A1" i="102"/>
  <c r="F28" i="101"/>
  <c r="D28" i="101"/>
  <c r="H27" i="101"/>
  <c r="H26" i="101"/>
  <c r="F23" i="101"/>
  <c r="E10" i="100" s="1"/>
  <c r="D23" i="101"/>
  <c r="D10" i="100" s="1"/>
  <c r="G10" i="101"/>
  <c r="G11" i="101" s="1"/>
  <c r="G12" i="101" s="1"/>
  <c r="G13" i="101" s="1"/>
  <c r="G14" i="101" s="1"/>
  <c r="G15" i="101" s="1"/>
  <c r="G16" i="101" s="1"/>
  <c r="G17" i="101" s="1"/>
  <c r="G18" i="101" s="1"/>
  <c r="G19" i="101" s="1"/>
  <c r="G20" i="101" s="1"/>
  <c r="G21" i="101" s="1"/>
  <c r="H9" i="101"/>
  <c r="H10" i="101" s="1"/>
  <c r="H11" i="101" s="1"/>
  <c r="H12" i="101" s="1"/>
  <c r="H13" i="101" s="1"/>
  <c r="H14" i="101" s="1"/>
  <c r="H15" i="101" s="1"/>
  <c r="H16" i="101" s="1"/>
  <c r="H17" i="101" s="1"/>
  <c r="H18" i="101" s="1"/>
  <c r="H19" i="101" s="1"/>
  <c r="H20" i="101" s="1"/>
  <c r="H21" i="101" s="1"/>
  <c r="E9" i="101"/>
  <c r="E10" i="101" s="1"/>
  <c r="E11" i="101" s="1"/>
  <c r="E12" i="101" s="1"/>
  <c r="E13" i="101" s="1"/>
  <c r="E14" i="101" s="1"/>
  <c r="E15" i="101" s="1"/>
  <c r="E16" i="101" s="1"/>
  <c r="E17" i="101" s="1"/>
  <c r="E18" i="101" s="1"/>
  <c r="E19" i="101" s="1"/>
  <c r="E20" i="101" s="1"/>
  <c r="E21" i="101" s="1"/>
  <c r="A6" i="101"/>
  <c r="D3" i="101"/>
  <c r="A3" i="101"/>
  <c r="A2" i="101"/>
  <c r="A1" i="101"/>
  <c r="E12" i="100"/>
  <c r="D12" i="100"/>
  <c r="G22" i="99"/>
  <c r="D12" i="96" s="1"/>
  <c r="H9" i="99"/>
  <c r="H10" i="99" s="1"/>
  <c r="H11" i="99" s="1"/>
  <c r="H12" i="99" s="1"/>
  <c r="H13" i="99" s="1"/>
  <c r="H14" i="99" s="1"/>
  <c r="H15" i="99" s="1"/>
  <c r="H16" i="99" s="1"/>
  <c r="H17" i="99" s="1"/>
  <c r="H18" i="99" s="1"/>
  <c r="H19" i="99" s="1"/>
  <c r="H20" i="99" s="1"/>
  <c r="A7" i="99"/>
  <c r="E3" i="99"/>
  <c r="A3" i="99"/>
  <c r="A2" i="99"/>
  <c r="A1" i="99"/>
  <c r="G23" i="98"/>
  <c r="E11" i="96" s="1"/>
  <c r="E23" i="98"/>
  <c r="H10" i="98"/>
  <c r="H11" i="98" s="1"/>
  <c r="H12" i="98" s="1"/>
  <c r="H13" i="98" s="1"/>
  <c r="H14" i="98" s="1"/>
  <c r="H15" i="98" s="1"/>
  <c r="H16" i="98" s="1"/>
  <c r="H17" i="98" s="1"/>
  <c r="H18" i="98" s="1"/>
  <c r="H19" i="98" s="1"/>
  <c r="H20" i="98" s="1"/>
  <c r="H21" i="98" s="1"/>
  <c r="F9" i="98"/>
  <c r="F10" i="98" s="1"/>
  <c r="F11" i="98" s="1"/>
  <c r="F12" i="98" s="1"/>
  <c r="F13" i="98" s="1"/>
  <c r="F14" i="98" s="1"/>
  <c r="F15" i="98" s="1"/>
  <c r="F16" i="98" s="1"/>
  <c r="F17" i="98" s="1"/>
  <c r="F18" i="98" s="1"/>
  <c r="F19" i="98" s="1"/>
  <c r="F20" i="98" s="1"/>
  <c r="F21" i="98" s="1"/>
  <c r="A7" i="98"/>
  <c r="E3" i="98"/>
  <c r="A3" i="98"/>
  <c r="A2" i="98"/>
  <c r="A1" i="98"/>
  <c r="E12" i="96"/>
  <c r="G22" i="94"/>
  <c r="D12" i="91" s="1"/>
  <c r="H9" i="94"/>
  <c r="H10" i="94" s="1"/>
  <c r="H11" i="94" s="1"/>
  <c r="H12" i="94" s="1"/>
  <c r="H13" i="94" s="1"/>
  <c r="H14" i="94" s="1"/>
  <c r="H15" i="94" s="1"/>
  <c r="H16" i="94" s="1"/>
  <c r="H17" i="94" s="1"/>
  <c r="H18" i="94" s="1"/>
  <c r="H19" i="94" s="1"/>
  <c r="H20" i="94" s="1"/>
  <c r="A7" i="94"/>
  <c r="E3" i="94"/>
  <c r="A3" i="94"/>
  <c r="A2" i="94"/>
  <c r="A1" i="94"/>
  <c r="G26" i="93"/>
  <c r="E11" i="91" s="1"/>
  <c r="E26" i="93"/>
  <c r="D11" i="91" s="1"/>
  <c r="H10" i="93"/>
  <c r="H11" i="93" s="1"/>
  <c r="H12" i="93" s="1"/>
  <c r="H13" i="93" s="1"/>
  <c r="H14" i="93" s="1"/>
  <c r="H15" i="93" s="1"/>
  <c r="H16" i="93" s="1"/>
  <c r="H17" i="93" s="1"/>
  <c r="H18" i="93" s="1"/>
  <c r="H19" i="93" s="1"/>
  <c r="H20" i="93" s="1"/>
  <c r="H21" i="93" s="1"/>
  <c r="H22" i="93" s="1"/>
  <c r="H23" i="93" s="1"/>
  <c r="H24" i="93" s="1"/>
  <c r="F9" i="93"/>
  <c r="F10" i="93" s="1"/>
  <c r="F11" i="93" s="1"/>
  <c r="F12" i="93" s="1"/>
  <c r="F13" i="93" s="1"/>
  <c r="F14" i="93" s="1"/>
  <c r="F15" i="93" s="1"/>
  <c r="F16" i="93" s="1"/>
  <c r="F17" i="93" s="1"/>
  <c r="F18" i="93" s="1"/>
  <c r="F19" i="93" s="1"/>
  <c r="F20" i="93" s="1"/>
  <c r="F21" i="93" s="1"/>
  <c r="A7" i="93"/>
  <c r="E3" i="93"/>
  <c r="A3" i="93"/>
  <c r="A2" i="93"/>
  <c r="A1" i="93"/>
  <c r="F28" i="92"/>
  <c r="D28" i="92"/>
  <c r="H27" i="92"/>
  <c r="H26" i="92"/>
  <c r="F23" i="92"/>
  <c r="E10" i="91" s="1"/>
  <c r="D23" i="92"/>
  <c r="D10" i="91" s="1"/>
  <c r="G10" i="92"/>
  <c r="G11" i="92" s="1"/>
  <c r="G12" i="92" s="1"/>
  <c r="G13" i="92" s="1"/>
  <c r="G14" i="92" s="1"/>
  <c r="G15" i="92" s="1"/>
  <c r="G16" i="92" s="1"/>
  <c r="G17" i="92" s="1"/>
  <c r="G18" i="92" s="1"/>
  <c r="G19" i="92" s="1"/>
  <c r="G20" i="92" s="1"/>
  <c r="G21" i="92" s="1"/>
  <c r="E9" i="92"/>
  <c r="E10" i="92" s="1"/>
  <c r="E11" i="92" s="1"/>
  <c r="E12" i="92" s="1"/>
  <c r="E13" i="92" s="1"/>
  <c r="E14" i="92" s="1"/>
  <c r="E15" i="92" s="1"/>
  <c r="E16" i="92" s="1"/>
  <c r="E17" i="92" s="1"/>
  <c r="E18" i="92" s="1"/>
  <c r="E19" i="92" s="1"/>
  <c r="E20" i="92" s="1"/>
  <c r="E21" i="92" s="1"/>
  <c r="A6" i="92"/>
  <c r="D3" i="92"/>
  <c r="A3" i="92"/>
  <c r="A2" i="92"/>
  <c r="A1" i="92"/>
  <c r="E12" i="91"/>
  <c r="G22" i="90"/>
  <c r="D12" i="87" s="1"/>
  <c r="H9" i="90"/>
  <c r="H10" i="90" s="1"/>
  <c r="H11" i="90" s="1"/>
  <c r="H12" i="90" s="1"/>
  <c r="H13" i="90" s="1"/>
  <c r="H14" i="90" s="1"/>
  <c r="H15" i="90" s="1"/>
  <c r="H16" i="90" s="1"/>
  <c r="H17" i="90" s="1"/>
  <c r="H18" i="90" s="1"/>
  <c r="H19" i="90" s="1"/>
  <c r="H20" i="90" s="1"/>
  <c r="A7" i="90"/>
  <c r="E3" i="90"/>
  <c r="A3" i="90"/>
  <c r="A2" i="90"/>
  <c r="A1" i="90"/>
  <c r="G23" i="89"/>
  <c r="E11" i="87" s="1"/>
  <c r="E23" i="89"/>
  <c r="D11" i="87" s="1"/>
  <c r="H10" i="89"/>
  <c r="H11" i="89" s="1"/>
  <c r="H12" i="89" s="1"/>
  <c r="H13" i="89" s="1"/>
  <c r="H14" i="89" s="1"/>
  <c r="H15" i="89" s="1"/>
  <c r="H16" i="89" s="1"/>
  <c r="H17" i="89" s="1"/>
  <c r="H18" i="89" s="1"/>
  <c r="H19" i="89" s="1"/>
  <c r="H20" i="89" s="1"/>
  <c r="H21" i="89" s="1"/>
  <c r="F9" i="89"/>
  <c r="I9" i="89" s="1"/>
  <c r="I10" i="89" s="1"/>
  <c r="I11" i="89" s="1"/>
  <c r="I12" i="89" s="1"/>
  <c r="I13" i="89" s="1"/>
  <c r="I14" i="89" s="1"/>
  <c r="I15" i="89" s="1"/>
  <c r="I16" i="89" s="1"/>
  <c r="I17" i="89" s="1"/>
  <c r="I18" i="89" s="1"/>
  <c r="I19" i="89" s="1"/>
  <c r="I20" i="89" s="1"/>
  <c r="I21" i="89" s="1"/>
  <c r="A7" i="89"/>
  <c r="E3" i="89"/>
  <c r="A3" i="89"/>
  <c r="A2" i="89"/>
  <c r="A1" i="89"/>
  <c r="F28" i="88"/>
  <c r="D28" i="88"/>
  <c r="H27" i="88"/>
  <c r="H26" i="88"/>
  <c r="F23" i="88"/>
  <c r="E10" i="87" s="1"/>
  <c r="D23" i="88"/>
  <c r="G10" i="88"/>
  <c r="G11" i="88" s="1"/>
  <c r="G12" i="88" s="1"/>
  <c r="G13" i="88" s="1"/>
  <c r="G14" i="88" s="1"/>
  <c r="G15" i="88" s="1"/>
  <c r="G16" i="88" s="1"/>
  <c r="G17" i="88" s="1"/>
  <c r="G18" i="88" s="1"/>
  <c r="G19" i="88" s="1"/>
  <c r="G20" i="88" s="1"/>
  <c r="G21" i="88" s="1"/>
  <c r="E9" i="88"/>
  <c r="E10" i="88" s="1"/>
  <c r="E11" i="88" s="1"/>
  <c r="E12" i="88" s="1"/>
  <c r="E13" i="88" s="1"/>
  <c r="E14" i="88" s="1"/>
  <c r="E15" i="88" s="1"/>
  <c r="E16" i="88" s="1"/>
  <c r="E17" i="88" s="1"/>
  <c r="E18" i="88" s="1"/>
  <c r="E19" i="88" s="1"/>
  <c r="E20" i="88" s="1"/>
  <c r="E21" i="88" s="1"/>
  <c r="A6" i="88"/>
  <c r="D3" i="88"/>
  <c r="A3" i="88"/>
  <c r="A2" i="88"/>
  <c r="A1" i="88"/>
  <c r="E12" i="87"/>
  <c r="G22" i="86"/>
  <c r="D12" i="83" s="1"/>
  <c r="H9" i="86"/>
  <c r="H10" i="86" s="1"/>
  <c r="H11" i="86" s="1"/>
  <c r="H12" i="86" s="1"/>
  <c r="H13" i="86" s="1"/>
  <c r="H14" i="86" s="1"/>
  <c r="H15" i="86" s="1"/>
  <c r="H16" i="86" s="1"/>
  <c r="H17" i="86" s="1"/>
  <c r="H18" i="86" s="1"/>
  <c r="H19" i="86" s="1"/>
  <c r="H20" i="86" s="1"/>
  <c r="A7" i="86"/>
  <c r="E3" i="86"/>
  <c r="A3" i="86"/>
  <c r="A2" i="86"/>
  <c r="A1" i="86"/>
  <c r="G23" i="85"/>
  <c r="E11" i="83" s="1"/>
  <c r="E23" i="85"/>
  <c r="H10" i="85"/>
  <c r="H11" i="85" s="1"/>
  <c r="H12" i="85" s="1"/>
  <c r="H13" i="85" s="1"/>
  <c r="H14" i="85" s="1"/>
  <c r="H15" i="85" s="1"/>
  <c r="H16" i="85" s="1"/>
  <c r="H17" i="85" s="1"/>
  <c r="H18" i="85" s="1"/>
  <c r="H19" i="85" s="1"/>
  <c r="H20" i="85" s="1"/>
  <c r="H21" i="85" s="1"/>
  <c r="F9" i="85"/>
  <c r="F10" i="85" s="1"/>
  <c r="F11" i="85" s="1"/>
  <c r="F12" i="85" s="1"/>
  <c r="F13" i="85" s="1"/>
  <c r="F14" i="85" s="1"/>
  <c r="F15" i="85" s="1"/>
  <c r="F16" i="85" s="1"/>
  <c r="F17" i="85" s="1"/>
  <c r="F18" i="85" s="1"/>
  <c r="F19" i="85" s="1"/>
  <c r="F20" i="85" s="1"/>
  <c r="F21" i="85" s="1"/>
  <c r="A7" i="85"/>
  <c r="E3" i="85"/>
  <c r="A3" i="85"/>
  <c r="A2" i="85"/>
  <c r="A1" i="85"/>
  <c r="F28" i="84"/>
  <c r="D28" i="84"/>
  <c r="H27" i="84"/>
  <c r="H26" i="84"/>
  <c r="F23" i="84"/>
  <c r="E10" i="83" s="1"/>
  <c r="D23" i="84"/>
  <c r="D10" i="83" s="1"/>
  <c r="G10" i="84"/>
  <c r="G11" i="84" s="1"/>
  <c r="G12" i="84" s="1"/>
  <c r="G13" i="84" s="1"/>
  <c r="G14" i="84" s="1"/>
  <c r="G15" i="84" s="1"/>
  <c r="G16" i="84" s="1"/>
  <c r="G17" i="84" s="1"/>
  <c r="G18" i="84" s="1"/>
  <c r="G19" i="84" s="1"/>
  <c r="G20" i="84" s="1"/>
  <c r="G21" i="84" s="1"/>
  <c r="E9" i="84"/>
  <c r="E10" i="84" s="1"/>
  <c r="E11" i="84" s="1"/>
  <c r="E12" i="84" s="1"/>
  <c r="E13" i="84" s="1"/>
  <c r="E14" i="84" s="1"/>
  <c r="E15" i="84" s="1"/>
  <c r="E16" i="84" s="1"/>
  <c r="E17" i="84" s="1"/>
  <c r="E18" i="84" s="1"/>
  <c r="E19" i="84" s="1"/>
  <c r="E20" i="84" s="1"/>
  <c r="E21" i="84" s="1"/>
  <c r="A6" i="84"/>
  <c r="D3" i="84"/>
  <c r="A3" i="84"/>
  <c r="A2" i="84"/>
  <c r="A1" i="84"/>
  <c r="E12" i="83"/>
  <c r="G22" i="82"/>
  <c r="H9" i="82"/>
  <c r="H10" i="82" s="1"/>
  <c r="H11" i="82" s="1"/>
  <c r="H12" i="82" s="1"/>
  <c r="H13" i="82" s="1"/>
  <c r="H14" i="82" s="1"/>
  <c r="H15" i="82" s="1"/>
  <c r="H16" i="82" s="1"/>
  <c r="H17" i="82" s="1"/>
  <c r="H18" i="82" s="1"/>
  <c r="H19" i="82" s="1"/>
  <c r="H20" i="82" s="1"/>
  <c r="A7" i="82"/>
  <c r="E3" i="82"/>
  <c r="A3" i="82"/>
  <c r="A2" i="82"/>
  <c r="A1" i="82"/>
  <c r="G23" i="81"/>
  <c r="E11" i="79" s="1"/>
  <c r="E23" i="81"/>
  <c r="D11" i="79" s="1"/>
  <c r="H10" i="81"/>
  <c r="H11" i="81" s="1"/>
  <c r="H12" i="81" s="1"/>
  <c r="H13" i="81" s="1"/>
  <c r="H14" i="81" s="1"/>
  <c r="H15" i="81" s="1"/>
  <c r="H16" i="81" s="1"/>
  <c r="H17" i="81" s="1"/>
  <c r="H18" i="81" s="1"/>
  <c r="H19" i="81" s="1"/>
  <c r="H20" i="81" s="1"/>
  <c r="H21" i="81" s="1"/>
  <c r="F9" i="81"/>
  <c r="F10" i="81" s="1"/>
  <c r="F11" i="81" s="1"/>
  <c r="F12" i="81" s="1"/>
  <c r="F13" i="81" s="1"/>
  <c r="F14" i="81" s="1"/>
  <c r="F15" i="81" s="1"/>
  <c r="F16" i="81" s="1"/>
  <c r="F17" i="81" s="1"/>
  <c r="F18" i="81" s="1"/>
  <c r="F19" i="81" s="1"/>
  <c r="F20" i="81" s="1"/>
  <c r="F21" i="81" s="1"/>
  <c r="A7" i="81"/>
  <c r="E3" i="81"/>
  <c r="A3" i="81"/>
  <c r="A2" i="81"/>
  <c r="A1" i="81"/>
  <c r="F28" i="80"/>
  <c r="D28" i="80"/>
  <c r="H27" i="80"/>
  <c r="H26" i="80"/>
  <c r="F23" i="80"/>
  <c r="E10" i="79" s="1"/>
  <c r="D23" i="80"/>
  <c r="D10" i="79" s="1"/>
  <c r="G10" i="80"/>
  <c r="G11" i="80" s="1"/>
  <c r="G12" i="80" s="1"/>
  <c r="G13" i="80" s="1"/>
  <c r="G14" i="80" s="1"/>
  <c r="G15" i="80" s="1"/>
  <c r="G16" i="80" s="1"/>
  <c r="G17" i="80" s="1"/>
  <c r="G18" i="80" s="1"/>
  <c r="G19" i="80" s="1"/>
  <c r="G20" i="80" s="1"/>
  <c r="G21" i="80" s="1"/>
  <c r="E9" i="80"/>
  <c r="E10" i="80" s="1"/>
  <c r="E11" i="80" s="1"/>
  <c r="E12" i="80" s="1"/>
  <c r="E13" i="80" s="1"/>
  <c r="E14" i="80" s="1"/>
  <c r="E15" i="80" s="1"/>
  <c r="E16" i="80" s="1"/>
  <c r="E17" i="80" s="1"/>
  <c r="E18" i="80" s="1"/>
  <c r="E19" i="80" s="1"/>
  <c r="E20" i="80" s="1"/>
  <c r="E21" i="80" s="1"/>
  <c r="A6" i="80"/>
  <c r="D3" i="80"/>
  <c r="A3" i="80"/>
  <c r="A2" i="80"/>
  <c r="A1" i="80"/>
  <c r="G22" i="78"/>
  <c r="D12" i="75" s="1"/>
  <c r="H9" i="78"/>
  <c r="H10" i="78" s="1"/>
  <c r="H11" i="78" s="1"/>
  <c r="H12" i="78" s="1"/>
  <c r="H13" i="78" s="1"/>
  <c r="H14" i="78" s="1"/>
  <c r="H15" i="78" s="1"/>
  <c r="H16" i="78" s="1"/>
  <c r="H17" i="78" s="1"/>
  <c r="H18" i="78" s="1"/>
  <c r="H19" i="78" s="1"/>
  <c r="H20" i="78" s="1"/>
  <c r="A7" i="78"/>
  <c r="E3" i="78"/>
  <c r="A3" i="78"/>
  <c r="A2" i="78"/>
  <c r="A1" i="78"/>
  <c r="G23" i="77"/>
  <c r="E11" i="75" s="1"/>
  <c r="E23" i="77"/>
  <c r="H10" i="77"/>
  <c r="H11" i="77" s="1"/>
  <c r="H12" i="77" s="1"/>
  <c r="H13" i="77" s="1"/>
  <c r="H14" i="77" s="1"/>
  <c r="H15" i="77" s="1"/>
  <c r="H16" i="77" s="1"/>
  <c r="H17" i="77" s="1"/>
  <c r="H18" i="77" s="1"/>
  <c r="H19" i="77" s="1"/>
  <c r="H20" i="77" s="1"/>
  <c r="H21" i="77" s="1"/>
  <c r="F9" i="77"/>
  <c r="F10" i="77" s="1"/>
  <c r="F11" i="77" s="1"/>
  <c r="F12" i="77" s="1"/>
  <c r="F13" i="77" s="1"/>
  <c r="F14" i="77" s="1"/>
  <c r="F15" i="77" s="1"/>
  <c r="F16" i="77" s="1"/>
  <c r="F17" i="77" s="1"/>
  <c r="F18" i="77" s="1"/>
  <c r="F19" i="77" s="1"/>
  <c r="F20" i="77" s="1"/>
  <c r="F21" i="77" s="1"/>
  <c r="A7" i="77"/>
  <c r="E3" i="77"/>
  <c r="A3" i="77"/>
  <c r="A2" i="77"/>
  <c r="A1" i="77"/>
  <c r="F28" i="76"/>
  <c r="D28" i="76"/>
  <c r="H27" i="76"/>
  <c r="H26" i="76"/>
  <c r="F23" i="76"/>
  <c r="E10" i="75" s="1"/>
  <c r="D23" i="76"/>
  <c r="D10" i="75" s="1"/>
  <c r="G10" i="76"/>
  <c r="G11" i="76" s="1"/>
  <c r="G12" i="76" s="1"/>
  <c r="G13" i="76" s="1"/>
  <c r="G14" i="76" s="1"/>
  <c r="G15" i="76" s="1"/>
  <c r="G16" i="76" s="1"/>
  <c r="G17" i="76" s="1"/>
  <c r="G18" i="76" s="1"/>
  <c r="G19" i="76" s="1"/>
  <c r="G20" i="76" s="1"/>
  <c r="G21" i="76" s="1"/>
  <c r="E9" i="76"/>
  <c r="E10" i="76" s="1"/>
  <c r="E11" i="76" s="1"/>
  <c r="E12" i="76" s="1"/>
  <c r="E13" i="76" s="1"/>
  <c r="E14" i="76" s="1"/>
  <c r="E15" i="76" s="1"/>
  <c r="E16" i="76" s="1"/>
  <c r="E17" i="76" s="1"/>
  <c r="E18" i="76" s="1"/>
  <c r="E19" i="76" s="1"/>
  <c r="E20" i="76" s="1"/>
  <c r="E21" i="76" s="1"/>
  <c r="A6" i="76"/>
  <c r="D3" i="76"/>
  <c r="A3" i="76"/>
  <c r="A2" i="76"/>
  <c r="A1" i="76"/>
  <c r="E12" i="75"/>
  <c r="G22" i="74"/>
  <c r="H9" i="74"/>
  <c r="H10" i="74" s="1"/>
  <c r="H11" i="74" s="1"/>
  <c r="H12" i="74" s="1"/>
  <c r="H13" i="74" s="1"/>
  <c r="H14" i="74" s="1"/>
  <c r="H15" i="74" s="1"/>
  <c r="H16" i="74" s="1"/>
  <c r="H17" i="74" s="1"/>
  <c r="H18" i="74" s="1"/>
  <c r="H19" i="74" s="1"/>
  <c r="H20" i="74" s="1"/>
  <c r="A7" i="74"/>
  <c r="E3" i="74"/>
  <c r="A3" i="74"/>
  <c r="A2" i="74"/>
  <c r="A1" i="74"/>
  <c r="G26" i="73"/>
  <c r="E11" i="71" s="1"/>
  <c r="E26" i="73"/>
  <c r="H10" i="73"/>
  <c r="H11" i="73" s="1"/>
  <c r="H12" i="73" s="1"/>
  <c r="H13" i="73" s="1"/>
  <c r="H14" i="73" s="1"/>
  <c r="H15" i="73" s="1"/>
  <c r="H16" i="73" s="1"/>
  <c r="H17" i="73" s="1"/>
  <c r="H18" i="73" s="1"/>
  <c r="H19" i="73" s="1"/>
  <c r="H20" i="73" s="1"/>
  <c r="H21" i="73" s="1"/>
  <c r="H22" i="73" s="1"/>
  <c r="H23" i="73" s="1"/>
  <c r="H24" i="73" s="1"/>
  <c r="F9" i="73"/>
  <c r="I9" i="73" s="1"/>
  <c r="I10" i="73" s="1"/>
  <c r="I11" i="73" s="1"/>
  <c r="I12" i="73" s="1"/>
  <c r="I13" i="73" s="1"/>
  <c r="I14" i="73" s="1"/>
  <c r="I15" i="73" s="1"/>
  <c r="I16" i="73" s="1"/>
  <c r="I17" i="73" s="1"/>
  <c r="I18" i="73" s="1"/>
  <c r="I19" i="73" s="1"/>
  <c r="I20" i="73" s="1"/>
  <c r="I21" i="73" s="1"/>
  <c r="I22" i="73" s="1"/>
  <c r="I23" i="73" s="1"/>
  <c r="I24" i="73" s="1"/>
  <c r="A7" i="73"/>
  <c r="E3" i="73"/>
  <c r="A3" i="73"/>
  <c r="A2" i="73"/>
  <c r="A1" i="73"/>
  <c r="F28" i="72"/>
  <c r="D28" i="72"/>
  <c r="H27" i="72"/>
  <c r="H26" i="72"/>
  <c r="F23" i="72"/>
  <c r="E10" i="71" s="1"/>
  <c r="D23" i="72"/>
  <c r="D10" i="71" s="1"/>
  <c r="G10" i="72"/>
  <c r="G11" i="72" s="1"/>
  <c r="G12" i="72" s="1"/>
  <c r="G13" i="72" s="1"/>
  <c r="G14" i="72" s="1"/>
  <c r="G15" i="72" s="1"/>
  <c r="G16" i="72" s="1"/>
  <c r="G17" i="72" s="1"/>
  <c r="G18" i="72" s="1"/>
  <c r="G19" i="72" s="1"/>
  <c r="G20" i="72" s="1"/>
  <c r="G21" i="72" s="1"/>
  <c r="E9" i="72"/>
  <c r="H9" i="72" s="1"/>
  <c r="H10" i="72" s="1"/>
  <c r="H11" i="72" s="1"/>
  <c r="H12" i="72" s="1"/>
  <c r="H13" i="72" s="1"/>
  <c r="H14" i="72" s="1"/>
  <c r="H15" i="72" s="1"/>
  <c r="H16" i="72" s="1"/>
  <c r="H17" i="72" s="1"/>
  <c r="H18" i="72" s="1"/>
  <c r="H19" i="72" s="1"/>
  <c r="H20" i="72" s="1"/>
  <c r="H21" i="72" s="1"/>
  <c r="A6" i="72"/>
  <c r="D3" i="72"/>
  <c r="A3" i="72"/>
  <c r="A2" i="72"/>
  <c r="A1" i="72"/>
  <c r="G22" i="70"/>
  <c r="D12" i="67" s="1"/>
  <c r="H9" i="70"/>
  <c r="H10" i="70" s="1"/>
  <c r="H11" i="70" s="1"/>
  <c r="H12" i="70" s="1"/>
  <c r="H13" i="70" s="1"/>
  <c r="H14" i="70" s="1"/>
  <c r="H15" i="70" s="1"/>
  <c r="H16" i="70" s="1"/>
  <c r="H17" i="70" s="1"/>
  <c r="H18" i="70" s="1"/>
  <c r="H19" i="70" s="1"/>
  <c r="H20" i="70" s="1"/>
  <c r="A7" i="70"/>
  <c r="E3" i="70"/>
  <c r="A3" i="70"/>
  <c r="A2" i="70"/>
  <c r="A1" i="70"/>
  <c r="G23" i="69"/>
  <c r="E11" i="67" s="1"/>
  <c r="E23" i="69"/>
  <c r="D11" i="67" s="1"/>
  <c r="H10" i="69"/>
  <c r="H11" i="69" s="1"/>
  <c r="H12" i="69" s="1"/>
  <c r="H13" i="69" s="1"/>
  <c r="H14" i="69" s="1"/>
  <c r="H15" i="69" s="1"/>
  <c r="H16" i="69" s="1"/>
  <c r="H17" i="69" s="1"/>
  <c r="H18" i="69" s="1"/>
  <c r="H19" i="69" s="1"/>
  <c r="H20" i="69" s="1"/>
  <c r="H21" i="69" s="1"/>
  <c r="F9" i="69"/>
  <c r="F10" i="69" s="1"/>
  <c r="F11" i="69" s="1"/>
  <c r="F12" i="69" s="1"/>
  <c r="F13" i="69" s="1"/>
  <c r="F14" i="69" s="1"/>
  <c r="F15" i="69" s="1"/>
  <c r="F16" i="69" s="1"/>
  <c r="F17" i="69" s="1"/>
  <c r="F18" i="69" s="1"/>
  <c r="F19" i="69" s="1"/>
  <c r="F20" i="69" s="1"/>
  <c r="F21" i="69" s="1"/>
  <c r="A7" i="69"/>
  <c r="E3" i="69"/>
  <c r="A3" i="69"/>
  <c r="A2" i="69"/>
  <c r="A1" i="69"/>
  <c r="F23" i="68"/>
  <c r="E10" i="67" s="1"/>
  <c r="D23" i="68"/>
  <c r="D10" i="67" s="1"/>
  <c r="G10" i="68"/>
  <c r="G11" i="68" s="1"/>
  <c r="G12" i="68" s="1"/>
  <c r="G13" i="68" s="1"/>
  <c r="G14" i="68" s="1"/>
  <c r="G15" i="68" s="1"/>
  <c r="G16" i="68" s="1"/>
  <c r="G17" i="68" s="1"/>
  <c r="G18" i="68" s="1"/>
  <c r="G19" i="68" s="1"/>
  <c r="G20" i="68" s="1"/>
  <c r="G21" i="68" s="1"/>
  <c r="E9" i="68"/>
  <c r="E10" i="68" s="1"/>
  <c r="E11" i="68" s="1"/>
  <c r="E12" i="68" s="1"/>
  <c r="E13" i="68" s="1"/>
  <c r="E14" i="68" s="1"/>
  <c r="E15" i="68" s="1"/>
  <c r="E16" i="68" s="1"/>
  <c r="E17" i="68" s="1"/>
  <c r="E18" i="68" s="1"/>
  <c r="E19" i="68" s="1"/>
  <c r="E20" i="68" s="1"/>
  <c r="E21" i="68" s="1"/>
  <c r="A6" i="68"/>
  <c r="D3" i="68"/>
  <c r="A3" i="68"/>
  <c r="A2" i="68"/>
  <c r="A1" i="68"/>
  <c r="E12" i="67"/>
  <c r="A1" i="66"/>
  <c r="G22" i="66"/>
  <c r="D12" i="63" s="1"/>
  <c r="H9" i="66"/>
  <c r="H10" i="66" s="1"/>
  <c r="H11" i="66" s="1"/>
  <c r="H12" i="66" s="1"/>
  <c r="H13" i="66" s="1"/>
  <c r="H14" i="66" s="1"/>
  <c r="H15" i="66" s="1"/>
  <c r="H16" i="66" s="1"/>
  <c r="H17" i="66" s="1"/>
  <c r="H18" i="66" s="1"/>
  <c r="H19" i="66" s="1"/>
  <c r="H20" i="66" s="1"/>
  <c r="A7" i="66"/>
  <c r="E3" i="66"/>
  <c r="A3" i="66"/>
  <c r="A2" i="66"/>
  <c r="G23" i="65"/>
  <c r="E11" i="63" s="1"/>
  <c r="E23" i="65"/>
  <c r="H10" i="65"/>
  <c r="H11" i="65" s="1"/>
  <c r="H12" i="65" s="1"/>
  <c r="H13" i="65" s="1"/>
  <c r="H14" i="65" s="1"/>
  <c r="H15" i="65" s="1"/>
  <c r="H16" i="65" s="1"/>
  <c r="H17" i="65" s="1"/>
  <c r="H18" i="65" s="1"/>
  <c r="H19" i="65" s="1"/>
  <c r="H20" i="65" s="1"/>
  <c r="H21" i="65" s="1"/>
  <c r="F9" i="65"/>
  <c r="F10" i="65" s="1"/>
  <c r="F11" i="65" s="1"/>
  <c r="F12" i="65" s="1"/>
  <c r="F13" i="65" s="1"/>
  <c r="F14" i="65" s="1"/>
  <c r="F15" i="65" s="1"/>
  <c r="F16" i="65" s="1"/>
  <c r="F17" i="65" s="1"/>
  <c r="F18" i="65" s="1"/>
  <c r="F19" i="65" s="1"/>
  <c r="F20" i="65" s="1"/>
  <c r="F21" i="65" s="1"/>
  <c r="A7" i="65"/>
  <c r="E3" i="65"/>
  <c r="A3" i="65"/>
  <c r="A2" i="65"/>
  <c r="A1" i="65"/>
  <c r="F28" i="64"/>
  <c r="D28" i="64"/>
  <c r="H27" i="64"/>
  <c r="H26" i="64"/>
  <c r="F23" i="64"/>
  <c r="E10" i="63" s="1"/>
  <c r="D23" i="64"/>
  <c r="D10" i="63" s="1"/>
  <c r="G10" i="64"/>
  <c r="G11" i="64" s="1"/>
  <c r="G12" i="64" s="1"/>
  <c r="G13" i="64" s="1"/>
  <c r="G14" i="64" s="1"/>
  <c r="G15" i="64" s="1"/>
  <c r="G16" i="64" s="1"/>
  <c r="G17" i="64" s="1"/>
  <c r="G18" i="64" s="1"/>
  <c r="G19" i="64" s="1"/>
  <c r="G20" i="64" s="1"/>
  <c r="G21" i="64" s="1"/>
  <c r="E9" i="64"/>
  <c r="E10" i="64" s="1"/>
  <c r="E11" i="64" s="1"/>
  <c r="E12" i="64" s="1"/>
  <c r="E13" i="64" s="1"/>
  <c r="E14" i="64" s="1"/>
  <c r="E15" i="64" s="1"/>
  <c r="E16" i="64" s="1"/>
  <c r="E17" i="64" s="1"/>
  <c r="E18" i="64" s="1"/>
  <c r="E19" i="64" s="1"/>
  <c r="E20" i="64" s="1"/>
  <c r="E21" i="64" s="1"/>
  <c r="A6" i="64"/>
  <c r="D3" i="64"/>
  <c r="A3" i="64"/>
  <c r="A2" i="64"/>
  <c r="A1" i="64"/>
  <c r="E12" i="63"/>
  <c r="G22" i="62"/>
  <c r="D12" i="59" s="1"/>
  <c r="H9" i="62"/>
  <c r="H10" i="62" s="1"/>
  <c r="H11" i="62" s="1"/>
  <c r="H12" i="62" s="1"/>
  <c r="H13" i="62" s="1"/>
  <c r="H14" i="62" s="1"/>
  <c r="H15" i="62" s="1"/>
  <c r="H16" i="62" s="1"/>
  <c r="H17" i="62" s="1"/>
  <c r="H18" i="62" s="1"/>
  <c r="H19" i="62" s="1"/>
  <c r="H20" i="62" s="1"/>
  <c r="A7" i="62"/>
  <c r="E3" i="62"/>
  <c r="A3" i="62"/>
  <c r="A2" i="62"/>
  <c r="A1" i="62"/>
  <c r="G23" i="61"/>
  <c r="E11" i="59" s="1"/>
  <c r="E23" i="61"/>
  <c r="D11" i="59" s="1"/>
  <c r="H10" i="61"/>
  <c r="H11" i="61" s="1"/>
  <c r="H12" i="61" s="1"/>
  <c r="H13" i="61" s="1"/>
  <c r="H14" i="61" s="1"/>
  <c r="H15" i="61" s="1"/>
  <c r="H16" i="61" s="1"/>
  <c r="H17" i="61" s="1"/>
  <c r="H18" i="61" s="1"/>
  <c r="H19" i="61" s="1"/>
  <c r="H20" i="61" s="1"/>
  <c r="H21" i="61" s="1"/>
  <c r="F9" i="61"/>
  <c r="I9" i="61" s="1"/>
  <c r="I10" i="61" s="1"/>
  <c r="I11" i="61" s="1"/>
  <c r="I12" i="61" s="1"/>
  <c r="I13" i="61" s="1"/>
  <c r="I14" i="61" s="1"/>
  <c r="I15" i="61" s="1"/>
  <c r="I16" i="61" s="1"/>
  <c r="I17" i="61" s="1"/>
  <c r="I18" i="61" s="1"/>
  <c r="I19" i="61" s="1"/>
  <c r="I20" i="61" s="1"/>
  <c r="I21" i="61" s="1"/>
  <c r="A7" i="61"/>
  <c r="E3" i="61"/>
  <c r="A3" i="61"/>
  <c r="A2" i="61"/>
  <c r="A1" i="61"/>
  <c r="F28" i="60"/>
  <c r="D28" i="60"/>
  <c r="H27" i="60"/>
  <c r="H26" i="60"/>
  <c r="F23" i="60"/>
  <c r="E10" i="59" s="1"/>
  <c r="D23" i="60"/>
  <c r="G10" i="60"/>
  <c r="G11" i="60" s="1"/>
  <c r="G12" i="60" s="1"/>
  <c r="G13" i="60" s="1"/>
  <c r="G14" i="60" s="1"/>
  <c r="G15" i="60" s="1"/>
  <c r="G16" i="60" s="1"/>
  <c r="G17" i="60" s="1"/>
  <c r="G18" i="60" s="1"/>
  <c r="G19" i="60" s="1"/>
  <c r="G20" i="60" s="1"/>
  <c r="G21" i="60" s="1"/>
  <c r="E9" i="60"/>
  <c r="H9" i="60" s="1"/>
  <c r="H10" i="60" s="1"/>
  <c r="H11" i="60" s="1"/>
  <c r="H12" i="60" s="1"/>
  <c r="H13" i="60" s="1"/>
  <c r="H14" i="60" s="1"/>
  <c r="H15" i="60" s="1"/>
  <c r="H16" i="60" s="1"/>
  <c r="H17" i="60" s="1"/>
  <c r="H18" i="60" s="1"/>
  <c r="H19" i="60" s="1"/>
  <c r="H20" i="60" s="1"/>
  <c r="H21" i="60" s="1"/>
  <c r="A6" i="60"/>
  <c r="D3" i="60"/>
  <c r="A3" i="60"/>
  <c r="A2" i="60"/>
  <c r="A1" i="60"/>
  <c r="E12" i="59"/>
  <c r="G22" i="58"/>
  <c r="H9" i="58"/>
  <c r="H10" i="58" s="1"/>
  <c r="H11" i="58" s="1"/>
  <c r="H12" i="58" s="1"/>
  <c r="H13" i="58" s="1"/>
  <c r="H14" i="58" s="1"/>
  <c r="H15" i="58" s="1"/>
  <c r="H16" i="58" s="1"/>
  <c r="H17" i="58" s="1"/>
  <c r="H18" i="58" s="1"/>
  <c r="H19" i="58" s="1"/>
  <c r="H20" i="58" s="1"/>
  <c r="A7" i="58"/>
  <c r="E3" i="58"/>
  <c r="A3" i="58"/>
  <c r="A2" i="58"/>
  <c r="A1" i="58"/>
  <c r="G26" i="57"/>
  <c r="E11" i="55" s="1"/>
  <c r="E26" i="57"/>
  <c r="D11" i="55" s="1"/>
  <c r="H10" i="57"/>
  <c r="H11" i="57" s="1"/>
  <c r="H12" i="57" s="1"/>
  <c r="H13" i="57" s="1"/>
  <c r="H14" i="57" s="1"/>
  <c r="H15" i="57" s="1"/>
  <c r="H16" i="57" s="1"/>
  <c r="H17" i="57" s="1"/>
  <c r="H18" i="57" s="1"/>
  <c r="H19" i="57" s="1"/>
  <c r="H20" i="57" s="1"/>
  <c r="H21" i="57" s="1"/>
  <c r="H22" i="57" s="1"/>
  <c r="H23" i="57" s="1"/>
  <c r="H24" i="57" s="1"/>
  <c r="F9" i="57"/>
  <c r="F10" i="57" s="1"/>
  <c r="F11" i="57" s="1"/>
  <c r="F12" i="57" s="1"/>
  <c r="F13" i="57" s="1"/>
  <c r="F14" i="57" s="1"/>
  <c r="F15" i="57" s="1"/>
  <c r="F16" i="57" s="1"/>
  <c r="F17" i="57" s="1"/>
  <c r="F18" i="57" s="1"/>
  <c r="F19" i="57" s="1"/>
  <c r="F20" i="57" s="1"/>
  <c r="F21" i="57" s="1"/>
  <c r="A7" i="57"/>
  <c r="E3" i="57"/>
  <c r="A3" i="57"/>
  <c r="A2" i="57"/>
  <c r="A1" i="57"/>
  <c r="F28" i="56"/>
  <c r="D28" i="56"/>
  <c r="H27" i="56"/>
  <c r="H26" i="56"/>
  <c r="F23" i="56"/>
  <c r="E10" i="55" s="1"/>
  <c r="D23" i="56"/>
  <c r="D10" i="55" s="1"/>
  <c r="G10" i="56"/>
  <c r="G11" i="56" s="1"/>
  <c r="G12" i="56" s="1"/>
  <c r="G13" i="56" s="1"/>
  <c r="G14" i="56" s="1"/>
  <c r="G15" i="56" s="1"/>
  <c r="G16" i="56" s="1"/>
  <c r="G17" i="56" s="1"/>
  <c r="G18" i="56" s="1"/>
  <c r="G19" i="56" s="1"/>
  <c r="G20" i="56" s="1"/>
  <c r="G21" i="56" s="1"/>
  <c r="E9" i="56"/>
  <c r="H9" i="56" s="1"/>
  <c r="H10" i="56" s="1"/>
  <c r="H11" i="56" s="1"/>
  <c r="H12" i="56" s="1"/>
  <c r="H13" i="56" s="1"/>
  <c r="H14" i="56" s="1"/>
  <c r="H15" i="56" s="1"/>
  <c r="H16" i="56" s="1"/>
  <c r="H17" i="56" s="1"/>
  <c r="H18" i="56" s="1"/>
  <c r="H19" i="56" s="1"/>
  <c r="H20" i="56" s="1"/>
  <c r="H21" i="56" s="1"/>
  <c r="A6" i="56"/>
  <c r="D3" i="56"/>
  <c r="A3" i="56"/>
  <c r="A2" i="56"/>
  <c r="A1" i="56"/>
  <c r="G22" i="54"/>
  <c r="E12" i="51" s="1"/>
  <c r="H9" i="54"/>
  <c r="H10" i="54" s="1"/>
  <c r="H11" i="54" s="1"/>
  <c r="H12" i="54" s="1"/>
  <c r="H13" i="54" s="1"/>
  <c r="H14" i="54" s="1"/>
  <c r="H15" i="54" s="1"/>
  <c r="H16" i="54" s="1"/>
  <c r="H17" i="54" s="1"/>
  <c r="H18" i="54" s="1"/>
  <c r="H19" i="54" s="1"/>
  <c r="H20" i="54" s="1"/>
  <c r="A7" i="54"/>
  <c r="E3" i="54"/>
  <c r="A3" i="54"/>
  <c r="A2" i="54"/>
  <c r="A1" i="54"/>
  <c r="G23" i="53"/>
  <c r="E11" i="51" s="1"/>
  <c r="E23" i="53"/>
  <c r="H10" i="53"/>
  <c r="H11" i="53" s="1"/>
  <c r="H12" i="53" s="1"/>
  <c r="H13" i="53" s="1"/>
  <c r="H14" i="53" s="1"/>
  <c r="H15" i="53" s="1"/>
  <c r="H16" i="53" s="1"/>
  <c r="H17" i="53" s="1"/>
  <c r="H18" i="53" s="1"/>
  <c r="H19" i="53" s="1"/>
  <c r="H20" i="53" s="1"/>
  <c r="H21" i="53" s="1"/>
  <c r="F9" i="53"/>
  <c r="I9" i="53" s="1"/>
  <c r="I10" i="53" s="1"/>
  <c r="I11" i="53" s="1"/>
  <c r="I12" i="53" s="1"/>
  <c r="I13" i="53" s="1"/>
  <c r="I14" i="53" s="1"/>
  <c r="I15" i="53" s="1"/>
  <c r="I16" i="53" s="1"/>
  <c r="I17" i="53" s="1"/>
  <c r="I18" i="53" s="1"/>
  <c r="I19" i="53" s="1"/>
  <c r="I20" i="53" s="1"/>
  <c r="I21" i="53" s="1"/>
  <c r="A7" i="53"/>
  <c r="E3" i="53"/>
  <c r="A3" i="53"/>
  <c r="A2" i="53"/>
  <c r="A1" i="53"/>
  <c r="F28" i="52"/>
  <c r="D28" i="52"/>
  <c r="H27" i="52"/>
  <c r="H26" i="52"/>
  <c r="F23" i="52"/>
  <c r="E10" i="51" s="1"/>
  <c r="D23" i="52"/>
  <c r="D10" i="51" s="1"/>
  <c r="G10" i="52"/>
  <c r="G11" i="52" s="1"/>
  <c r="G12" i="52" s="1"/>
  <c r="G13" i="52" s="1"/>
  <c r="G14" i="52" s="1"/>
  <c r="G15" i="52" s="1"/>
  <c r="G16" i="52" s="1"/>
  <c r="G17" i="52" s="1"/>
  <c r="G18" i="52" s="1"/>
  <c r="G19" i="52" s="1"/>
  <c r="G20" i="52" s="1"/>
  <c r="G21" i="52" s="1"/>
  <c r="E9" i="52"/>
  <c r="E10" i="52" s="1"/>
  <c r="E11" i="52" s="1"/>
  <c r="E12" i="52" s="1"/>
  <c r="E13" i="52" s="1"/>
  <c r="E14" i="52" s="1"/>
  <c r="E15" i="52" s="1"/>
  <c r="E16" i="52" s="1"/>
  <c r="E17" i="52" s="1"/>
  <c r="E18" i="52" s="1"/>
  <c r="E19" i="52" s="1"/>
  <c r="E20" i="52" s="1"/>
  <c r="E21" i="52" s="1"/>
  <c r="A6" i="52"/>
  <c r="D3" i="52"/>
  <c r="A3" i="52"/>
  <c r="A2" i="52"/>
  <c r="A1" i="52"/>
  <c r="G22" i="50"/>
  <c r="D12" i="47" s="1"/>
  <c r="H9" i="50"/>
  <c r="H10" i="50" s="1"/>
  <c r="H11" i="50" s="1"/>
  <c r="H12" i="50" s="1"/>
  <c r="H13" i="50" s="1"/>
  <c r="H14" i="50" s="1"/>
  <c r="H15" i="50" s="1"/>
  <c r="H16" i="50" s="1"/>
  <c r="H17" i="50" s="1"/>
  <c r="H18" i="50" s="1"/>
  <c r="H19" i="50" s="1"/>
  <c r="H20" i="50" s="1"/>
  <c r="A7" i="50"/>
  <c r="E3" i="50"/>
  <c r="A3" i="50"/>
  <c r="A2" i="50"/>
  <c r="A1" i="50"/>
  <c r="G26" i="49"/>
  <c r="E11" i="47" s="1"/>
  <c r="E26" i="49"/>
  <c r="H10" i="49"/>
  <c r="H11" i="49" s="1"/>
  <c r="H12" i="49" s="1"/>
  <c r="H13" i="49" s="1"/>
  <c r="H14" i="49" s="1"/>
  <c r="H15" i="49" s="1"/>
  <c r="H16" i="49" s="1"/>
  <c r="H17" i="49" s="1"/>
  <c r="H18" i="49" s="1"/>
  <c r="H19" i="49" s="1"/>
  <c r="H20" i="49" s="1"/>
  <c r="H21" i="49" s="1"/>
  <c r="H22" i="49" s="1"/>
  <c r="H23" i="49" s="1"/>
  <c r="H24" i="49" s="1"/>
  <c r="F9" i="49"/>
  <c r="F10" i="49" s="1"/>
  <c r="F11" i="49" s="1"/>
  <c r="F12" i="49" s="1"/>
  <c r="F13" i="49" s="1"/>
  <c r="F14" i="49" s="1"/>
  <c r="F15" i="49" s="1"/>
  <c r="F16" i="49" s="1"/>
  <c r="F17" i="49" s="1"/>
  <c r="F18" i="49" s="1"/>
  <c r="F19" i="49" s="1"/>
  <c r="F20" i="49" s="1"/>
  <c r="F21" i="49" s="1"/>
  <c r="A7" i="49"/>
  <c r="E3" i="49"/>
  <c r="A3" i="49"/>
  <c r="A2" i="49"/>
  <c r="A1" i="49"/>
  <c r="F28" i="48"/>
  <c r="D28" i="48"/>
  <c r="H27" i="48"/>
  <c r="H26" i="48"/>
  <c r="F23" i="48"/>
  <c r="E10" i="47" s="1"/>
  <c r="D23" i="48"/>
  <c r="D10" i="47" s="1"/>
  <c r="G10" i="48"/>
  <c r="G11" i="48" s="1"/>
  <c r="G12" i="48" s="1"/>
  <c r="G13" i="48" s="1"/>
  <c r="G14" i="48" s="1"/>
  <c r="G15" i="48" s="1"/>
  <c r="G16" i="48" s="1"/>
  <c r="G17" i="48" s="1"/>
  <c r="G18" i="48" s="1"/>
  <c r="G19" i="48" s="1"/>
  <c r="G20" i="48" s="1"/>
  <c r="G21" i="48" s="1"/>
  <c r="E9" i="48"/>
  <c r="E10" i="48" s="1"/>
  <c r="E11" i="48" s="1"/>
  <c r="E12" i="48" s="1"/>
  <c r="E13" i="48" s="1"/>
  <c r="E14" i="48" s="1"/>
  <c r="E15" i="48" s="1"/>
  <c r="E16" i="48" s="1"/>
  <c r="E17" i="48" s="1"/>
  <c r="E18" i="48" s="1"/>
  <c r="E19" i="48" s="1"/>
  <c r="E20" i="48" s="1"/>
  <c r="E21" i="48" s="1"/>
  <c r="A6" i="48"/>
  <c r="D3" i="48"/>
  <c r="A3" i="48"/>
  <c r="A2" i="48"/>
  <c r="A1" i="48"/>
  <c r="E12" i="47"/>
  <c r="G22" i="46"/>
  <c r="D12" i="43" s="1"/>
  <c r="H9" i="46"/>
  <c r="H10" i="46" s="1"/>
  <c r="H11" i="46" s="1"/>
  <c r="H12" i="46" s="1"/>
  <c r="H13" i="46" s="1"/>
  <c r="H14" i="46" s="1"/>
  <c r="H15" i="46" s="1"/>
  <c r="H16" i="46" s="1"/>
  <c r="H17" i="46" s="1"/>
  <c r="H18" i="46" s="1"/>
  <c r="H19" i="46" s="1"/>
  <c r="H20" i="46" s="1"/>
  <c r="A7" i="46"/>
  <c r="E3" i="46"/>
  <c r="A3" i="46"/>
  <c r="A2" i="46"/>
  <c r="A1" i="46"/>
  <c r="G23" i="45"/>
  <c r="E11" i="43" s="1"/>
  <c r="E23" i="45"/>
  <c r="D11" i="43" s="1"/>
  <c r="H10" i="45"/>
  <c r="H11" i="45" s="1"/>
  <c r="H12" i="45" s="1"/>
  <c r="H13" i="45" s="1"/>
  <c r="H14" i="45" s="1"/>
  <c r="H15" i="45" s="1"/>
  <c r="H16" i="45" s="1"/>
  <c r="H17" i="45" s="1"/>
  <c r="H18" i="45" s="1"/>
  <c r="H19" i="45" s="1"/>
  <c r="H20" i="45" s="1"/>
  <c r="H21" i="45" s="1"/>
  <c r="F9" i="45"/>
  <c r="F10" i="45" s="1"/>
  <c r="F11" i="45" s="1"/>
  <c r="F12" i="45" s="1"/>
  <c r="F13" i="45" s="1"/>
  <c r="F14" i="45" s="1"/>
  <c r="F15" i="45" s="1"/>
  <c r="F16" i="45" s="1"/>
  <c r="F17" i="45" s="1"/>
  <c r="F18" i="45" s="1"/>
  <c r="F19" i="45" s="1"/>
  <c r="F20" i="45" s="1"/>
  <c r="F21" i="45" s="1"/>
  <c r="A7" i="45"/>
  <c r="E3" i="45"/>
  <c r="A3" i="45"/>
  <c r="A2" i="45"/>
  <c r="A1" i="45"/>
  <c r="H27" i="44"/>
  <c r="H26" i="44"/>
  <c r="F23" i="44"/>
  <c r="E10" i="43" s="1"/>
  <c r="D23" i="44"/>
  <c r="D10" i="43" s="1"/>
  <c r="G10" i="44"/>
  <c r="G11" i="44" s="1"/>
  <c r="G12" i="44" s="1"/>
  <c r="G13" i="44" s="1"/>
  <c r="G14" i="44" s="1"/>
  <c r="G15" i="44" s="1"/>
  <c r="G16" i="44" s="1"/>
  <c r="G17" i="44" s="1"/>
  <c r="G18" i="44" s="1"/>
  <c r="G19" i="44" s="1"/>
  <c r="G20" i="44" s="1"/>
  <c r="G21" i="44" s="1"/>
  <c r="E9" i="44"/>
  <c r="H9" i="44" s="1"/>
  <c r="H10" i="44" s="1"/>
  <c r="H11" i="44" s="1"/>
  <c r="H12" i="44" s="1"/>
  <c r="H13" i="44" s="1"/>
  <c r="H14" i="44" s="1"/>
  <c r="H15" i="44" s="1"/>
  <c r="H16" i="44" s="1"/>
  <c r="H17" i="44" s="1"/>
  <c r="H18" i="44" s="1"/>
  <c r="H19" i="44" s="1"/>
  <c r="H20" i="44" s="1"/>
  <c r="H21" i="44" s="1"/>
  <c r="A6" i="44"/>
  <c r="D3" i="44"/>
  <c r="A3" i="44"/>
  <c r="A2" i="44"/>
  <c r="A1" i="44"/>
  <c r="E12" i="43"/>
  <c r="G22" i="42"/>
  <c r="D12" i="39" s="1"/>
  <c r="H9" i="42"/>
  <c r="H10" i="42" s="1"/>
  <c r="H11" i="42" s="1"/>
  <c r="H12" i="42" s="1"/>
  <c r="H13" i="42" s="1"/>
  <c r="H14" i="42" s="1"/>
  <c r="H15" i="42" s="1"/>
  <c r="H16" i="42" s="1"/>
  <c r="H17" i="42" s="1"/>
  <c r="H18" i="42" s="1"/>
  <c r="H19" i="42" s="1"/>
  <c r="H20" i="42" s="1"/>
  <c r="A7" i="42"/>
  <c r="E3" i="42"/>
  <c r="A3" i="42"/>
  <c r="A2" i="42"/>
  <c r="A1" i="42"/>
  <c r="G26" i="41"/>
  <c r="E11" i="39" s="1"/>
  <c r="E26" i="41"/>
  <c r="D11" i="39" s="1"/>
  <c r="H12" i="41"/>
  <c r="H13" i="41" s="1"/>
  <c r="H14" i="41" s="1"/>
  <c r="H15" i="41" s="1"/>
  <c r="H16" i="41" s="1"/>
  <c r="H17" i="41" s="1"/>
  <c r="H18" i="41" s="1"/>
  <c r="H19" i="41" s="1"/>
  <c r="H20" i="41" s="1"/>
  <c r="H21" i="41" s="1"/>
  <c r="H22" i="41" s="1"/>
  <c r="H23" i="41" s="1"/>
  <c r="H24" i="41" s="1"/>
  <c r="F9" i="41"/>
  <c r="F10" i="41" s="1"/>
  <c r="F11" i="41" s="1"/>
  <c r="F12" i="41" s="1"/>
  <c r="F13" i="41" s="1"/>
  <c r="F14" i="41" s="1"/>
  <c r="F15" i="41" s="1"/>
  <c r="F16" i="41" s="1"/>
  <c r="F17" i="41" s="1"/>
  <c r="F18" i="41" s="1"/>
  <c r="F19" i="41" s="1"/>
  <c r="F20" i="41" s="1"/>
  <c r="F21" i="41" s="1"/>
  <c r="F22" i="41" s="1"/>
  <c r="F23" i="41" s="1"/>
  <c r="F24" i="41" s="1"/>
  <c r="A7" i="41"/>
  <c r="E3" i="41"/>
  <c r="A3" i="41"/>
  <c r="A2" i="41"/>
  <c r="A1" i="41"/>
  <c r="F23" i="40"/>
  <c r="E10" i="39" s="1"/>
  <c r="D23" i="40"/>
  <c r="D10" i="39" s="1"/>
  <c r="G10" i="40"/>
  <c r="G11" i="40" s="1"/>
  <c r="G12" i="40" s="1"/>
  <c r="G13" i="40" s="1"/>
  <c r="G14" i="40" s="1"/>
  <c r="G15" i="40" s="1"/>
  <c r="G16" i="40" s="1"/>
  <c r="G17" i="40" s="1"/>
  <c r="G18" i="40" s="1"/>
  <c r="G19" i="40" s="1"/>
  <c r="G20" i="40" s="1"/>
  <c r="G21" i="40" s="1"/>
  <c r="E9" i="40"/>
  <c r="H9" i="40" s="1"/>
  <c r="H10" i="40" s="1"/>
  <c r="H11" i="40" s="1"/>
  <c r="H12" i="40" s="1"/>
  <c r="H13" i="40" s="1"/>
  <c r="H14" i="40" s="1"/>
  <c r="H15" i="40" s="1"/>
  <c r="H16" i="40" s="1"/>
  <c r="H17" i="40" s="1"/>
  <c r="H18" i="40" s="1"/>
  <c r="H19" i="40" s="1"/>
  <c r="H20" i="40" s="1"/>
  <c r="H21" i="40" s="1"/>
  <c r="A6" i="40"/>
  <c r="D3" i="40"/>
  <c r="A3" i="40"/>
  <c r="A2" i="40"/>
  <c r="A1" i="40"/>
  <c r="E12" i="39"/>
  <c r="G22" i="38"/>
  <c r="H9" i="38"/>
  <c r="H10" i="38" s="1"/>
  <c r="H11" i="38" s="1"/>
  <c r="H12" i="38" s="1"/>
  <c r="H13" i="38" s="1"/>
  <c r="H14" i="38" s="1"/>
  <c r="H15" i="38" s="1"/>
  <c r="H16" i="38" s="1"/>
  <c r="H17" i="38" s="1"/>
  <c r="H18" i="38" s="1"/>
  <c r="H19" i="38" s="1"/>
  <c r="H20" i="38" s="1"/>
  <c r="A7" i="38"/>
  <c r="E3" i="38"/>
  <c r="A3" i="38"/>
  <c r="A2" i="38"/>
  <c r="A1" i="38"/>
  <c r="G23" i="37"/>
  <c r="E11" i="35" s="1"/>
  <c r="E23" i="37"/>
  <c r="D11" i="35" s="1"/>
  <c r="H10" i="37"/>
  <c r="H11" i="37" s="1"/>
  <c r="H12" i="37" s="1"/>
  <c r="H13" i="37" s="1"/>
  <c r="H14" i="37" s="1"/>
  <c r="H15" i="37" s="1"/>
  <c r="H16" i="37" s="1"/>
  <c r="H17" i="37" s="1"/>
  <c r="H18" i="37" s="1"/>
  <c r="H19" i="37" s="1"/>
  <c r="H20" i="37" s="1"/>
  <c r="H21" i="37" s="1"/>
  <c r="F9" i="37"/>
  <c r="F10" i="37" s="1"/>
  <c r="F11" i="37" s="1"/>
  <c r="F12" i="37" s="1"/>
  <c r="F13" i="37" s="1"/>
  <c r="F14" i="37" s="1"/>
  <c r="F15" i="37" s="1"/>
  <c r="F16" i="37" s="1"/>
  <c r="F17" i="37" s="1"/>
  <c r="F18" i="37" s="1"/>
  <c r="F19" i="37" s="1"/>
  <c r="F20" i="37" s="1"/>
  <c r="F21" i="37" s="1"/>
  <c r="A7" i="37"/>
  <c r="E3" i="37"/>
  <c r="A3" i="37"/>
  <c r="A2" i="37"/>
  <c r="A1" i="37"/>
  <c r="F28" i="36"/>
  <c r="D28" i="36"/>
  <c r="H27" i="36"/>
  <c r="H26" i="36"/>
  <c r="F23" i="36"/>
  <c r="D23" i="36"/>
  <c r="D10" i="35" s="1"/>
  <c r="G10" i="36"/>
  <c r="G11" i="36" s="1"/>
  <c r="G12" i="36" s="1"/>
  <c r="G13" i="36" s="1"/>
  <c r="G14" i="36" s="1"/>
  <c r="G15" i="36" s="1"/>
  <c r="G16" i="36" s="1"/>
  <c r="G17" i="36" s="1"/>
  <c r="G18" i="36" s="1"/>
  <c r="G19" i="36" s="1"/>
  <c r="G20" i="36" s="1"/>
  <c r="G21" i="36" s="1"/>
  <c r="E9" i="36"/>
  <c r="H9" i="36" s="1"/>
  <c r="H10" i="36" s="1"/>
  <c r="H11" i="36" s="1"/>
  <c r="H12" i="36" s="1"/>
  <c r="H13" i="36" s="1"/>
  <c r="H14" i="36" s="1"/>
  <c r="H15" i="36" s="1"/>
  <c r="H16" i="36" s="1"/>
  <c r="H17" i="36" s="1"/>
  <c r="H18" i="36" s="1"/>
  <c r="H19" i="36" s="1"/>
  <c r="H20" i="36" s="1"/>
  <c r="H21" i="36" s="1"/>
  <c r="A6" i="36"/>
  <c r="D3" i="36"/>
  <c r="A3" i="36"/>
  <c r="A2" i="36"/>
  <c r="A1" i="36"/>
  <c r="G22" i="34"/>
  <c r="D12" i="31" s="1"/>
  <c r="H9" i="34"/>
  <c r="H10" i="34" s="1"/>
  <c r="H11" i="34" s="1"/>
  <c r="H12" i="34" s="1"/>
  <c r="H13" i="34" s="1"/>
  <c r="H14" i="34" s="1"/>
  <c r="H15" i="34" s="1"/>
  <c r="H16" i="34" s="1"/>
  <c r="H17" i="34" s="1"/>
  <c r="H18" i="34" s="1"/>
  <c r="H19" i="34" s="1"/>
  <c r="H20" i="34" s="1"/>
  <c r="A7" i="34"/>
  <c r="E3" i="34"/>
  <c r="A3" i="34"/>
  <c r="A2" i="34"/>
  <c r="A1" i="34"/>
  <c r="G23" i="33"/>
  <c r="E11" i="31" s="1"/>
  <c r="E23" i="33"/>
  <c r="H10" i="33"/>
  <c r="H11" i="33" s="1"/>
  <c r="H12" i="33" s="1"/>
  <c r="H13" i="33" s="1"/>
  <c r="H14" i="33" s="1"/>
  <c r="H15" i="33" s="1"/>
  <c r="H16" i="33" s="1"/>
  <c r="H17" i="33" s="1"/>
  <c r="H18" i="33" s="1"/>
  <c r="H19" i="33" s="1"/>
  <c r="H20" i="33" s="1"/>
  <c r="H21" i="33" s="1"/>
  <c r="F9" i="33"/>
  <c r="I9" i="33" s="1"/>
  <c r="I10" i="33" s="1"/>
  <c r="I11" i="33" s="1"/>
  <c r="I12" i="33" s="1"/>
  <c r="I13" i="33" s="1"/>
  <c r="I14" i="33" s="1"/>
  <c r="I15" i="33" s="1"/>
  <c r="I16" i="33" s="1"/>
  <c r="I17" i="33" s="1"/>
  <c r="I18" i="33" s="1"/>
  <c r="I19" i="33" s="1"/>
  <c r="I20" i="33" s="1"/>
  <c r="I21" i="33" s="1"/>
  <c r="A7" i="33"/>
  <c r="E3" i="33"/>
  <c r="A3" i="33"/>
  <c r="A2" i="33"/>
  <c r="A1" i="33"/>
  <c r="F28" i="32"/>
  <c r="D28" i="32"/>
  <c r="H27" i="32"/>
  <c r="H26" i="32"/>
  <c r="F23" i="32"/>
  <c r="E10" i="31" s="1"/>
  <c r="D23" i="32"/>
  <c r="G10" i="32"/>
  <c r="G11" i="32" s="1"/>
  <c r="G12" i="32" s="1"/>
  <c r="G13" i="32" s="1"/>
  <c r="G14" i="32" s="1"/>
  <c r="G15" i="32" s="1"/>
  <c r="G16" i="32" s="1"/>
  <c r="G17" i="32" s="1"/>
  <c r="G18" i="32" s="1"/>
  <c r="G19" i="32" s="1"/>
  <c r="G20" i="32" s="1"/>
  <c r="G21" i="32" s="1"/>
  <c r="E9" i="32"/>
  <c r="E10" i="32" s="1"/>
  <c r="E11" i="32" s="1"/>
  <c r="E12" i="32" s="1"/>
  <c r="E13" i="32" s="1"/>
  <c r="E14" i="32" s="1"/>
  <c r="E15" i="32" s="1"/>
  <c r="E16" i="32" s="1"/>
  <c r="E17" i="32" s="1"/>
  <c r="E18" i="32" s="1"/>
  <c r="E19" i="32" s="1"/>
  <c r="E20" i="32" s="1"/>
  <c r="E21" i="32" s="1"/>
  <c r="A6" i="32"/>
  <c r="D3" i="32"/>
  <c r="A3" i="32"/>
  <c r="A2" i="32"/>
  <c r="A1" i="32"/>
  <c r="E12" i="31"/>
  <c r="F12" i="63" l="1"/>
  <c r="D12" i="71"/>
  <c r="E12" i="71"/>
  <c r="F12" i="100"/>
  <c r="D12" i="51"/>
  <c r="F12" i="51" s="1"/>
  <c r="H28" i="44"/>
  <c r="D12" i="55"/>
  <c r="D17" i="55" s="1"/>
  <c r="H29" i="6" s="1"/>
  <c r="E12" i="55"/>
  <c r="E17" i="55" s="1"/>
  <c r="F12" i="75"/>
  <c r="H28" i="64"/>
  <c r="D12" i="79"/>
  <c r="F12" i="79" s="1"/>
  <c r="E12" i="79"/>
  <c r="D12" i="35"/>
  <c r="D15" i="35" s="1"/>
  <c r="H24" i="6" s="1"/>
  <c r="E12" i="35"/>
  <c r="H28" i="32"/>
  <c r="H9" i="68"/>
  <c r="H10" i="68" s="1"/>
  <c r="H11" i="68" s="1"/>
  <c r="H12" i="68" s="1"/>
  <c r="H13" i="68" s="1"/>
  <c r="H14" i="68" s="1"/>
  <c r="H15" i="68" s="1"/>
  <c r="H16" i="68" s="1"/>
  <c r="H17" i="68" s="1"/>
  <c r="H18" i="68" s="1"/>
  <c r="H19" i="68" s="1"/>
  <c r="H20" i="68" s="1"/>
  <c r="H21" i="68" s="1"/>
  <c r="H23" i="60"/>
  <c r="F10" i="59" s="1"/>
  <c r="H28" i="88"/>
  <c r="H28" i="84"/>
  <c r="F10" i="89"/>
  <c r="F11" i="89" s="1"/>
  <c r="F12" i="89" s="1"/>
  <c r="F13" i="89" s="1"/>
  <c r="F14" i="89" s="1"/>
  <c r="F15" i="89" s="1"/>
  <c r="F16" i="89" s="1"/>
  <c r="F17" i="89" s="1"/>
  <c r="F18" i="89" s="1"/>
  <c r="F19" i="89" s="1"/>
  <c r="F20" i="89" s="1"/>
  <c r="F21" i="89" s="1"/>
  <c r="F12" i="83"/>
  <c r="H28" i="76"/>
  <c r="I9" i="77"/>
  <c r="I10" i="77" s="1"/>
  <c r="I11" i="77" s="1"/>
  <c r="I12" i="77" s="1"/>
  <c r="I13" i="77" s="1"/>
  <c r="I14" i="77" s="1"/>
  <c r="I15" i="77" s="1"/>
  <c r="I16" i="77" s="1"/>
  <c r="I17" i="77" s="1"/>
  <c r="I18" i="77" s="1"/>
  <c r="I19" i="77" s="1"/>
  <c r="I20" i="77" s="1"/>
  <c r="I21" i="77" s="1"/>
  <c r="H28" i="48"/>
  <c r="H28" i="72"/>
  <c r="E10" i="72"/>
  <c r="E11" i="72" s="1"/>
  <c r="E12" i="72" s="1"/>
  <c r="E13" i="72" s="1"/>
  <c r="E14" i="72" s="1"/>
  <c r="E15" i="72" s="1"/>
  <c r="E16" i="72" s="1"/>
  <c r="E17" i="72" s="1"/>
  <c r="E18" i="72" s="1"/>
  <c r="E19" i="72" s="1"/>
  <c r="E20" i="72" s="1"/>
  <c r="E21" i="72" s="1"/>
  <c r="I23" i="98"/>
  <c r="F11" i="96" s="1"/>
  <c r="I23" i="77"/>
  <c r="I23" i="65"/>
  <c r="F11" i="63" s="1"/>
  <c r="E15" i="51"/>
  <c r="I28" i="6" s="1"/>
  <c r="D16" i="91"/>
  <c r="H38" i="6" s="1"/>
  <c r="E10" i="60"/>
  <c r="E11" i="60" s="1"/>
  <c r="E12" i="60" s="1"/>
  <c r="E13" i="60" s="1"/>
  <c r="E14" i="60" s="1"/>
  <c r="E15" i="60" s="1"/>
  <c r="E16" i="60" s="1"/>
  <c r="E17" i="60" s="1"/>
  <c r="E18" i="60" s="1"/>
  <c r="E19" i="60" s="1"/>
  <c r="E20" i="60" s="1"/>
  <c r="E21" i="60" s="1"/>
  <c r="H28" i="36"/>
  <c r="H23" i="36"/>
  <c r="F10" i="35" s="1"/>
  <c r="D11" i="63"/>
  <c r="D15" i="63" s="1"/>
  <c r="H31" i="6" s="1"/>
  <c r="I26" i="49"/>
  <c r="F10" i="73"/>
  <c r="F11" i="73" s="1"/>
  <c r="F12" i="73" s="1"/>
  <c r="F13" i="73" s="1"/>
  <c r="F14" i="73" s="1"/>
  <c r="F15" i="73" s="1"/>
  <c r="F16" i="73" s="1"/>
  <c r="F17" i="73" s="1"/>
  <c r="F18" i="73" s="1"/>
  <c r="F19" i="73" s="1"/>
  <c r="F20" i="73" s="1"/>
  <c r="F21" i="73" s="1"/>
  <c r="I9" i="49"/>
  <c r="I10" i="49" s="1"/>
  <c r="I11" i="49" s="1"/>
  <c r="I12" i="49" s="1"/>
  <c r="I13" i="49" s="1"/>
  <c r="I14" i="49" s="1"/>
  <c r="I15" i="49" s="1"/>
  <c r="I16" i="49" s="1"/>
  <c r="I17" i="49" s="1"/>
  <c r="I18" i="49" s="1"/>
  <c r="I19" i="49" s="1"/>
  <c r="I20" i="49" s="1"/>
  <c r="I21" i="49" s="1"/>
  <c r="I22" i="49" s="1"/>
  <c r="I23" i="49" s="1"/>
  <c r="I24" i="49" s="1"/>
  <c r="F10" i="33"/>
  <c r="F11" i="33" s="1"/>
  <c r="F12" i="33" s="1"/>
  <c r="F13" i="33" s="1"/>
  <c r="F14" i="33" s="1"/>
  <c r="F15" i="33" s="1"/>
  <c r="F16" i="33" s="1"/>
  <c r="F17" i="33" s="1"/>
  <c r="F18" i="33" s="1"/>
  <c r="F19" i="33" s="1"/>
  <c r="F20" i="33" s="1"/>
  <c r="F21" i="33" s="1"/>
  <c r="D15" i="39"/>
  <c r="H25" i="6" s="1"/>
  <c r="F12" i="43"/>
  <c r="H28" i="52"/>
  <c r="I23" i="81"/>
  <c r="E15" i="39"/>
  <c r="I25" i="6" s="1"/>
  <c r="F12" i="47"/>
  <c r="F10" i="53"/>
  <c r="F11" i="53" s="1"/>
  <c r="F12" i="53" s="1"/>
  <c r="F13" i="53" s="1"/>
  <c r="F14" i="53" s="1"/>
  <c r="F15" i="53" s="1"/>
  <c r="F16" i="53" s="1"/>
  <c r="F17" i="53" s="1"/>
  <c r="F18" i="53" s="1"/>
  <c r="F19" i="53" s="1"/>
  <c r="F20" i="53" s="1"/>
  <c r="F21" i="53" s="1"/>
  <c r="H28" i="56"/>
  <c r="H9" i="64"/>
  <c r="H10" i="64" s="1"/>
  <c r="H11" i="64" s="1"/>
  <c r="H12" i="64" s="1"/>
  <c r="H13" i="64" s="1"/>
  <c r="H14" i="64" s="1"/>
  <c r="H15" i="64" s="1"/>
  <c r="H16" i="64" s="1"/>
  <c r="H17" i="64" s="1"/>
  <c r="H18" i="64" s="1"/>
  <c r="H19" i="64" s="1"/>
  <c r="H20" i="64" s="1"/>
  <c r="H21" i="64" s="1"/>
  <c r="E15" i="100"/>
  <c r="I40" i="6" s="1"/>
  <c r="H23" i="88"/>
  <c r="F10" i="87" s="1"/>
  <c r="H28" i="101"/>
  <c r="E15" i="31"/>
  <c r="I23" i="6" s="1"/>
  <c r="E10" i="36"/>
  <c r="E11" i="36" s="1"/>
  <c r="E12" i="36" s="1"/>
  <c r="E13" i="36" s="1"/>
  <c r="E14" i="36" s="1"/>
  <c r="E15" i="36" s="1"/>
  <c r="E16" i="36" s="1"/>
  <c r="E17" i="36" s="1"/>
  <c r="E18" i="36" s="1"/>
  <c r="E19" i="36" s="1"/>
  <c r="E20" i="36" s="1"/>
  <c r="E21" i="36" s="1"/>
  <c r="H23" i="44"/>
  <c r="F10" i="43" s="1"/>
  <c r="I23" i="53"/>
  <c r="I26" i="93"/>
  <c r="F12" i="67"/>
  <c r="F12" i="96"/>
  <c r="I23" i="85"/>
  <c r="I23" i="102"/>
  <c r="E15" i="67"/>
  <c r="I32" i="6" s="1"/>
  <c r="E14" i="87"/>
  <c r="I37" i="6" s="1"/>
  <c r="F12" i="39"/>
  <c r="I26" i="41"/>
  <c r="E16" i="47"/>
  <c r="I27" i="6" s="1"/>
  <c r="H9" i="76"/>
  <c r="H10" i="76" s="1"/>
  <c r="H11" i="76" s="1"/>
  <c r="H12" i="76" s="1"/>
  <c r="H13" i="76" s="1"/>
  <c r="H14" i="76" s="1"/>
  <c r="H15" i="76" s="1"/>
  <c r="H16" i="76" s="1"/>
  <c r="H17" i="76" s="1"/>
  <c r="H18" i="76" s="1"/>
  <c r="H19" i="76" s="1"/>
  <c r="H20" i="76" s="1"/>
  <c r="H21" i="76" s="1"/>
  <c r="H9" i="80"/>
  <c r="H10" i="80" s="1"/>
  <c r="H11" i="80" s="1"/>
  <c r="H12" i="80" s="1"/>
  <c r="H13" i="80" s="1"/>
  <c r="H14" i="80" s="1"/>
  <c r="H15" i="80" s="1"/>
  <c r="H16" i="80" s="1"/>
  <c r="H17" i="80" s="1"/>
  <c r="H18" i="80" s="1"/>
  <c r="H19" i="80" s="1"/>
  <c r="H20" i="80" s="1"/>
  <c r="H21" i="80" s="1"/>
  <c r="H23" i="84"/>
  <c r="F10" i="83" s="1"/>
  <c r="E14" i="83"/>
  <c r="I36" i="6" s="1"/>
  <c r="D15" i="67"/>
  <c r="H32" i="6" s="1"/>
  <c r="H23" i="32"/>
  <c r="F10" i="31" s="1"/>
  <c r="I23" i="33"/>
  <c r="F12" i="31"/>
  <c r="D16" i="43"/>
  <c r="H26" i="6" s="1"/>
  <c r="I26" i="57"/>
  <c r="E15" i="63"/>
  <c r="I31" i="6" s="1"/>
  <c r="D10" i="87"/>
  <c r="D14" i="87" s="1"/>
  <c r="H37" i="6" s="1"/>
  <c r="I23" i="89"/>
  <c r="F12" i="87"/>
  <c r="H28" i="92"/>
  <c r="E15" i="96"/>
  <c r="I39" i="6" s="1"/>
  <c r="E16" i="91"/>
  <c r="I38" i="6" s="1"/>
  <c r="D11" i="96"/>
  <c r="D15" i="96" s="1"/>
  <c r="H39" i="6" s="1"/>
  <c r="I23" i="45"/>
  <c r="H23" i="48"/>
  <c r="F10" i="47" s="1"/>
  <c r="D10" i="59"/>
  <c r="D15" i="59" s="1"/>
  <c r="H30" i="6" s="1"/>
  <c r="I9" i="69"/>
  <c r="I10" i="69" s="1"/>
  <c r="I11" i="69" s="1"/>
  <c r="I12" i="69" s="1"/>
  <c r="I13" i="69" s="1"/>
  <c r="I14" i="69" s="1"/>
  <c r="I15" i="69" s="1"/>
  <c r="I16" i="69" s="1"/>
  <c r="I17" i="69" s="1"/>
  <c r="I18" i="69" s="1"/>
  <c r="I19" i="69" s="1"/>
  <c r="I20" i="69" s="1"/>
  <c r="I21" i="69" s="1"/>
  <c r="E14" i="75"/>
  <c r="I34" i="6" s="1"/>
  <c r="I9" i="85"/>
  <c r="I10" i="85" s="1"/>
  <c r="I11" i="85" s="1"/>
  <c r="I12" i="85" s="1"/>
  <c r="I13" i="85" s="1"/>
  <c r="I14" i="85" s="1"/>
  <c r="I15" i="85" s="1"/>
  <c r="I16" i="85" s="1"/>
  <c r="I17" i="85" s="1"/>
  <c r="I18" i="85" s="1"/>
  <c r="I19" i="85" s="1"/>
  <c r="I20" i="85" s="1"/>
  <c r="I21" i="85" s="1"/>
  <c r="I9" i="93"/>
  <c r="I10" i="93" s="1"/>
  <c r="I11" i="93" s="1"/>
  <c r="I12" i="93" s="1"/>
  <c r="I13" i="93" s="1"/>
  <c r="I14" i="93" s="1"/>
  <c r="I15" i="93" s="1"/>
  <c r="I16" i="93" s="1"/>
  <c r="I17" i="93" s="1"/>
  <c r="I18" i="93" s="1"/>
  <c r="I19" i="93" s="1"/>
  <c r="I20" i="93" s="1"/>
  <c r="I21" i="93" s="1"/>
  <c r="I22" i="93" s="1"/>
  <c r="I23" i="93" s="1"/>
  <c r="I24" i="93" s="1"/>
  <c r="I9" i="98"/>
  <c r="I10" i="98" s="1"/>
  <c r="I11" i="98" s="1"/>
  <c r="I12" i="98" s="1"/>
  <c r="I13" i="98" s="1"/>
  <c r="I14" i="98" s="1"/>
  <c r="I15" i="98" s="1"/>
  <c r="I16" i="98" s="1"/>
  <c r="I17" i="98" s="1"/>
  <c r="I18" i="98" s="1"/>
  <c r="I19" i="98" s="1"/>
  <c r="I20" i="98" s="1"/>
  <c r="I21" i="98" s="1"/>
  <c r="H23" i="40"/>
  <c r="F10" i="39" s="1"/>
  <c r="E15" i="59"/>
  <c r="I30" i="6" s="1"/>
  <c r="D11" i="83"/>
  <c r="D14" i="83" s="1"/>
  <c r="H36" i="6" s="1"/>
  <c r="E15" i="71"/>
  <c r="I33" i="6" s="1"/>
  <c r="D10" i="31"/>
  <c r="E16" i="43"/>
  <c r="I26" i="6" s="1"/>
  <c r="I9" i="45"/>
  <c r="I10" i="45" s="1"/>
  <c r="I11" i="45" s="1"/>
  <c r="I12" i="45" s="1"/>
  <c r="I13" i="45" s="1"/>
  <c r="I14" i="45" s="1"/>
  <c r="I15" i="45" s="1"/>
  <c r="I16" i="45" s="1"/>
  <c r="I17" i="45" s="1"/>
  <c r="I18" i="45" s="1"/>
  <c r="I19" i="45" s="1"/>
  <c r="I20" i="45" s="1"/>
  <c r="I21" i="45" s="1"/>
  <c r="H9" i="52"/>
  <c r="H10" i="52" s="1"/>
  <c r="H11" i="52" s="1"/>
  <c r="H12" i="52" s="1"/>
  <c r="H13" i="52" s="1"/>
  <c r="H14" i="52" s="1"/>
  <c r="H15" i="52" s="1"/>
  <c r="H16" i="52" s="1"/>
  <c r="H17" i="52" s="1"/>
  <c r="H18" i="52" s="1"/>
  <c r="H19" i="52" s="1"/>
  <c r="H20" i="52" s="1"/>
  <c r="H21" i="52" s="1"/>
  <c r="I9" i="57"/>
  <c r="I10" i="57" s="1"/>
  <c r="I11" i="57" s="1"/>
  <c r="I12" i="57" s="1"/>
  <c r="I13" i="57" s="1"/>
  <c r="I14" i="57" s="1"/>
  <c r="I15" i="57" s="1"/>
  <c r="I16" i="57" s="1"/>
  <c r="I17" i="57" s="1"/>
  <c r="I18" i="57" s="1"/>
  <c r="I19" i="57" s="1"/>
  <c r="I20" i="57" s="1"/>
  <c r="I21" i="57" s="1"/>
  <c r="I22" i="57" s="1"/>
  <c r="I23" i="57" s="1"/>
  <c r="I24" i="57" s="1"/>
  <c r="H28" i="60"/>
  <c r="E15" i="79"/>
  <c r="I35" i="6" s="1"/>
  <c r="F12" i="91"/>
  <c r="D11" i="31"/>
  <c r="D15" i="31" s="1"/>
  <c r="H23" i="6" s="1"/>
  <c r="D11" i="47"/>
  <c r="D16" i="47" s="1"/>
  <c r="H27" i="6" s="1"/>
  <c r="E10" i="56"/>
  <c r="E11" i="56" s="1"/>
  <c r="E12" i="56" s="1"/>
  <c r="E13" i="56" s="1"/>
  <c r="E14" i="56" s="1"/>
  <c r="E15" i="56" s="1"/>
  <c r="E16" i="56" s="1"/>
  <c r="E17" i="56" s="1"/>
  <c r="E18" i="56" s="1"/>
  <c r="E19" i="56" s="1"/>
  <c r="E20" i="56" s="1"/>
  <c r="E21" i="56" s="1"/>
  <c r="F12" i="59"/>
  <c r="H23" i="68"/>
  <c r="F10" i="67" s="1"/>
  <c r="I23" i="69"/>
  <c r="I26" i="73"/>
  <c r="H28" i="80"/>
  <c r="D11" i="100"/>
  <c r="D15" i="100" s="1"/>
  <c r="H40" i="6" s="1"/>
  <c r="H23" i="101"/>
  <c r="F10" i="100" s="1"/>
  <c r="I9" i="102"/>
  <c r="I10" i="102" s="1"/>
  <c r="I11" i="102" s="1"/>
  <c r="I12" i="102" s="1"/>
  <c r="I13" i="102" s="1"/>
  <c r="I14" i="102" s="1"/>
  <c r="I15" i="102" s="1"/>
  <c r="I16" i="102" s="1"/>
  <c r="I17" i="102" s="1"/>
  <c r="I18" i="102" s="1"/>
  <c r="I19" i="102" s="1"/>
  <c r="I20" i="102" s="1"/>
  <c r="I21" i="102" s="1"/>
  <c r="H23" i="92"/>
  <c r="F10" i="91" s="1"/>
  <c r="H9" i="92"/>
  <c r="H10" i="92" s="1"/>
  <c r="H11" i="92" s="1"/>
  <c r="H12" i="92" s="1"/>
  <c r="H13" i="92" s="1"/>
  <c r="H14" i="92" s="1"/>
  <c r="H15" i="92" s="1"/>
  <c r="H16" i="92" s="1"/>
  <c r="H17" i="92" s="1"/>
  <c r="H18" i="92" s="1"/>
  <c r="H19" i="92" s="1"/>
  <c r="H20" i="92" s="1"/>
  <c r="H21" i="92" s="1"/>
  <c r="H9" i="88"/>
  <c r="H10" i="88" s="1"/>
  <c r="H11" i="88" s="1"/>
  <c r="H12" i="88" s="1"/>
  <c r="H13" i="88" s="1"/>
  <c r="H14" i="88" s="1"/>
  <c r="H15" i="88" s="1"/>
  <c r="H16" i="88" s="1"/>
  <c r="H17" i="88" s="1"/>
  <c r="H18" i="88" s="1"/>
  <c r="H19" i="88" s="1"/>
  <c r="H20" i="88" s="1"/>
  <c r="H21" i="88" s="1"/>
  <c r="H9" i="84"/>
  <c r="H10" i="84" s="1"/>
  <c r="H11" i="84" s="1"/>
  <c r="H12" i="84" s="1"/>
  <c r="H13" i="84" s="1"/>
  <c r="H14" i="84" s="1"/>
  <c r="H15" i="84" s="1"/>
  <c r="H16" i="84" s="1"/>
  <c r="H17" i="84" s="1"/>
  <c r="H18" i="84" s="1"/>
  <c r="H19" i="84" s="1"/>
  <c r="H20" i="84" s="1"/>
  <c r="H21" i="84" s="1"/>
  <c r="H23" i="80"/>
  <c r="F10" i="79" s="1"/>
  <c r="I9" i="81"/>
  <c r="I10" i="81" s="1"/>
  <c r="I11" i="81" s="1"/>
  <c r="I12" i="81" s="1"/>
  <c r="I13" i="81" s="1"/>
  <c r="I14" i="81" s="1"/>
  <c r="I15" i="81" s="1"/>
  <c r="I16" i="81" s="1"/>
  <c r="I17" i="81" s="1"/>
  <c r="I18" i="81" s="1"/>
  <c r="I19" i="81" s="1"/>
  <c r="I20" i="81" s="1"/>
  <c r="I21" i="81" s="1"/>
  <c r="D11" i="75"/>
  <c r="D14" i="75" s="1"/>
  <c r="H34" i="6" s="1"/>
  <c r="H23" i="76"/>
  <c r="F10" i="75" s="1"/>
  <c r="D11" i="71"/>
  <c r="H23" i="72"/>
  <c r="F10" i="71" s="1"/>
  <c r="H23" i="64"/>
  <c r="F10" i="63" s="1"/>
  <c r="I9" i="65"/>
  <c r="I10" i="65" s="1"/>
  <c r="I11" i="65" s="1"/>
  <c r="I12" i="65" s="1"/>
  <c r="I13" i="65" s="1"/>
  <c r="I14" i="65" s="1"/>
  <c r="I15" i="65" s="1"/>
  <c r="I16" i="65" s="1"/>
  <c r="I17" i="65" s="1"/>
  <c r="I18" i="65" s="1"/>
  <c r="I19" i="65" s="1"/>
  <c r="I20" i="65" s="1"/>
  <c r="I21" i="65" s="1"/>
  <c r="F10" i="61"/>
  <c r="F11" i="61" s="1"/>
  <c r="F12" i="61" s="1"/>
  <c r="F13" i="61" s="1"/>
  <c r="F14" i="61" s="1"/>
  <c r="F15" i="61" s="1"/>
  <c r="F16" i="61" s="1"/>
  <c r="F17" i="61" s="1"/>
  <c r="F18" i="61" s="1"/>
  <c r="F19" i="61" s="1"/>
  <c r="F20" i="61" s="1"/>
  <c r="F21" i="61" s="1"/>
  <c r="I23" i="61"/>
  <c r="H23" i="56"/>
  <c r="F10" i="55" s="1"/>
  <c r="D11" i="51"/>
  <c r="D15" i="51" s="1"/>
  <c r="H28" i="6" s="1"/>
  <c r="H23" i="52"/>
  <c r="F10" i="51" s="1"/>
  <c r="H9" i="48"/>
  <c r="H10" i="48" s="1"/>
  <c r="H11" i="48" s="1"/>
  <c r="H12" i="48" s="1"/>
  <c r="H13" i="48" s="1"/>
  <c r="H14" i="48" s="1"/>
  <c r="H15" i="48" s="1"/>
  <c r="H16" i="48" s="1"/>
  <c r="H17" i="48" s="1"/>
  <c r="H18" i="48" s="1"/>
  <c r="H19" i="48" s="1"/>
  <c r="H20" i="48" s="1"/>
  <c r="H21" i="48" s="1"/>
  <c r="E10" i="44"/>
  <c r="E11" i="44" s="1"/>
  <c r="E12" i="44" s="1"/>
  <c r="E13" i="44" s="1"/>
  <c r="E14" i="44" s="1"/>
  <c r="E15" i="44" s="1"/>
  <c r="E16" i="44" s="1"/>
  <c r="E17" i="44" s="1"/>
  <c r="E18" i="44" s="1"/>
  <c r="E19" i="44" s="1"/>
  <c r="E20" i="44" s="1"/>
  <c r="E21" i="44" s="1"/>
  <c r="E10" i="40"/>
  <c r="E11" i="40" s="1"/>
  <c r="E12" i="40" s="1"/>
  <c r="E13" i="40" s="1"/>
  <c r="E14" i="40" s="1"/>
  <c r="E15" i="40" s="1"/>
  <c r="E16" i="40" s="1"/>
  <c r="E17" i="40" s="1"/>
  <c r="E18" i="40" s="1"/>
  <c r="E19" i="40" s="1"/>
  <c r="E20" i="40" s="1"/>
  <c r="E21" i="40" s="1"/>
  <c r="I9" i="41"/>
  <c r="I23" i="37"/>
  <c r="I9" i="37"/>
  <c r="I10" i="37" s="1"/>
  <c r="I11" i="37" s="1"/>
  <c r="I12" i="37" s="1"/>
  <c r="I13" i="37" s="1"/>
  <c r="I14" i="37" s="1"/>
  <c r="I15" i="37" s="1"/>
  <c r="I16" i="37" s="1"/>
  <c r="I17" i="37" s="1"/>
  <c r="I18" i="37" s="1"/>
  <c r="I19" i="37" s="1"/>
  <c r="I20" i="37" s="1"/>
  <c r="I21" i="37" s="1"/>
  <c r="E10" i="35"/>
  <c r="H9" i="32"/>
  <c r="H10" i="32" s="1"/>
  <c r="H11" i="32" s="1"/>
  <c r="H12" i="32" s="1"/>
  <c r="H13" i="32" s="1"/>
  <c r="H14" i="32" s="1"/>
  <c r="H15" i="32" s="1"/>
  <c r="H16" i="32" s="1"/>
  <c r="H17" i="32" s="1"/>
  <c r="H18" i="32" s="1"/>
  <c r="H19" i="32" s="1"/>
  <c r="H20" i="32" s="1"/>
  <c r="H21" i="32" s="1"/>
  <c r="F12" i="71" l="1"/>
  <c r="F12" i="55"/>
  <c r="D15" i="71"/>
  <c r="H33" i="6" s="1"/>
  <c r="D15" i="79"/>
  <c r="H35" i="6" s="1"/>
  <c r="F12" i="35"/>
  <c r="E15" i="35"/>
  <c r="F15" i="35" s="1"/>
  <c r="J24" i="6" s="1"/>
  <c r="F11" i="87"/>
  <c r="O31" i="6"/>
  <c r="F11" i="83"/>
  <c r="O39" i="6"/>
  <c r="F11" i="75"/>
  <c r="O34" i="6"/>
  <c r="F11" i="43"/>
  <c r="O26" i="6"/>
  <c r="F11" i="35"/>
  <c r="O24" i="6"/>
  <c r="F11" i="31"/>
  <c r="O23" i="6"/>
  <c r="F11" i="100"/>
  <c r="O40" i="6"/>
  <c r="F15" i="67"/>
  <c r="J32" i="6" s="1"/>
  <c r="F11" i="67"/>
  <c r="O32" i="6"/>
  <c r="F11" i="51"/>
  <c r="O28" i="6"/>
  <c r="F11" i="79"/>
  <c r="O35" i="6"/>
  <c r="F11" i="71"/>
  <c r="O33" i="6"/>
  <c r="F11" i="55"/>
  <c r="O29" i="6"/>
  <c r="F11" i="47"/>
  <c r="O27" i="6"/>
  <c r="F11" i="91"/>
  <c r="O38" i="6"/>
  <c r="I10" i="41"/>
  <c r="I11" i="41" s="1"/>
  <c r="I12" i="41" s="1"/>
  <c r="I13" i="41" s="1"/>
  <c r="I14" i="41" s="1"/>
  <c r="I15" i="41" s="1"/>
  <c r="I16" i="41" s="1"/>
  <c r="I17" i="41" s="1"/>
  <c r="I18" i="41" s="1"/>
  <c r="I19" i="41" s="1"/>
  <c r="I20" i="41" s="1"/>
  <c r="I21" i="41" s="1"/>
  <c r="I22" i="41" s="1"/>
  <c r="I23" i="41" s="1"/>
  <c r="I24" i="41" s="1"/>
  <c r="F11" i="39"/>
  <c r="O25" i="6"/>
  <c r="F11" i="59"/>
  <c r="O30" i="6"/>
  <c r="F16" i="91"/>
  <c r="J38" i="6" s="1"/>
  <c r="F15" i="39"/>
  <c r="J25" i="6" s="1"/>
  <c r="F15" i="96"/>
  <c r="J39" i="6" s="1"/>
  <c r="F16" i="43"/>
  <c r="J26" i="6" s="1"/>
  <c r="F15" i="63"/>
  <c r="J31" i="6" s="1"/>
  <c r="F15" i="79"/>
  <c r="J35" i="6" s="1"/>
  <c r="F17" i="55"/>
  <c r="J29" i="6" s="1"/>
  <c r="I29" i="6"/>
  <c r="F15" i="59"/>
  <c r="J30" i="6" s="1"/>
  <c r="F15" i="100"/>
  <c r="J40" i="6" s="1"/>
  <c r="F14" i="87"/>
  <c r="J37" i="6" s="1"/>
  <c r="F14" i="83"/>
  <c r="J36" i="6" s="1"/>
  <c r="F14" i="75"/>
  <c r="J34" i="6" s="1"/>
  <c r="F15" i="71"/>
  <c r="J33" i="6" s="1"/>
  <c r="F15" i="51"/>
  <c r="J28" i="6" s="1"/>
  <c r="F16" i="47"/>
  <c r="J27" i="6" s="1"/>
  <c r="F15" i="31"/>
  <c r="J23" i="6" s="1"/>
  <c r="I24" i="6" l="1"/>
  <c r="G22" i="30"/>
  <c r="H9" i="30"/>
  <c r="H10" i="30" s="1"/>
  <c r="H11" i="30" s="1"/>
  <c r="H12" i="30" s="1"/>
  <c r="H13" i="30" s="1"/>
  <c r="H14" i="30" s="1"/>
  <c r="H15" i="30" s="1"/>
  <c r="H16" i="30" s="1"/>
  <c r="H17" i="30" s="1"/>
  <c r="H18" i="30" s="1"/>
  <c r="H19" i="30" s="1"/>
  <c r="H20" i="30" s="1"/>
  <c r="A7" i="30"/>
  <c r="E3" i="30"/>
  <c r="A3" i="30"/>
  <c r="A2" i="30"/>
  <c r="A1" i="30"/>
  <c r="G23" i="29"/>
  <c r="E23" i="29"/>
  <c r="H10" i="29"/>
  <c r="H11" i="29" s="1"/>
  <c r="H12" i="29" s="1"/>
  <c r="H13" i="29" s="1"/>
  <c r="H14" i="29" s="1"/>
  <c r="H15" i="29" s="1"/>
  <c r="H16" i="29" s="1"/>
  <c r="H17" i="29" s="1"/>
  <c r="H18" i="29" s="1"/>
  <c r="H19" i="29" s="1"/>
  <c r="H20" i="29" s="1"/>
  <c r="H21" i="29" s="1"/>
  <c r="F9" i="29"/>
  <c r="F10" i="29" s="1"/>
  <c r="F11" i="29" s="1"/>
  <c r="F12" i="29" s="1"/>
  <c r="F13" i="29" s="1"/>
  <c r="F14" i="29" s="1"/>
  <c r="F15" i="29" s="1"/>
  <c r="F16" i="29" s="1"/>
  <c r="F17" i="29" s="1"/>
  <c r="F18" i="29" s="1"/>
  <c r="F19" i="29" s="1"/>
  <c r="F20" i="29" s="1"/>
  <c r="F21" i="29" s="1"/>
  <c r="A7" i="29"/>
  <c r="E3" i="29"/>
  <c r="A3" i="29"/>
  <c r="A2" i="29"/>
  <c r="A1" i="29"/>
  <c r="F28" i="28"/>
  <c r="D28" i="28"/>
  <c r="H27" i="28"/>
  <c r="H26" i="28"/>
  <c r="F23" i="28"/>
  <c r="E10" i="27" s="1"/>
  <c r="D23" i="28"/>
  <c r="D10" i="27" s="1"/>
  <c r="G10" i="28"/>
  <c r="G11" i="28" s="1"/>
  <c r="G12" i="28" s="1"/>
  <c r="G13" i="28" s="1"/>
  <c r="G14" i="28" s="1"/>
  <c r="G15" i="28" s="1"/>
  <c r="G16" i="28" s="1"/>
  <c r="G17" i="28" s="1"/>
  <c r="G18" i="28" s="1"/>
  <c r="G19" i="28" s="1"/>
  <c r="G20" i="28" s="1"/>
  <c r="G21" i="28" s="1"/>
  <c r="E9" i="28"/>
  <c r="E10" i="28" s="1"/>
  <c r="E11" i="28" s="1"/>
  <c r="E12" i="28" s="1"/>
  <c r="E13" i="28" s="1"/>
  <c r="E14" i="28" s="1"/>
  <c r="E15" i="28" s="1"/>
  <c r="E16" i="28" s="1"/>
  <c r="E17" i="28" s="1"/>
  <c r="E18" i="28" s="1"/>
  <c r="E19" i="28" s="1"/>
  <c r="E20" i="28" s="1"/>
  <c r="E21" i="28" s="1"/>
  <c r="A6" i="28"/>
  <c r="D3" i="28"/>
  <c r="A3" i="28"/>
  <c r="A2" i="28"/>
  <c r="A1" i="28"/>
  <c r="E12" i="27"/>
  <c r="D12" i="27"/>
  <c r="D11" i="27"/>
  <c r="G22" i="26"/>
  <c r="D12" i="23" s="1"/>
  <c r="H9" i="26"/>
  <c r="H10" i="26" s="1"/>
  <c r="H11" i="26" s="1"/>
  <c r="H12" i="26" s="1"/>
  <c r="H13" i="26" s="1"/>
  <c r="H14" i="26" s="1"/>
  <c r="H15" i="26" s="1"/>
  <c r="H16" i="26" s="1"/>
  <c r="H17" i="26" s="1"/>
  <c r="H18" i="26" s="1"/>
  <c r="H19" i="26" s="1"/>
  <c r="H20" i="26" s="1"/>
  <c r="A7" i="26"/>
  <c r="E3" i="26"/>
  <c r="A3" i="26"/>
  <c r="A2" i="26"/>
  <c r="A1" i="26"/>
  <c r="G23" i="25"/>
  <c r="E11" i="23" s="1"/>
  <c r="E23" i="25"/>
  <c r="H10" i="25"/>
  <c r="H11" i="25" s="1"/>
  <c r="H12" i="25" s="1"/>
  <c r="H13" i="25" s="1"/>
  <c r="H14" i="25" s="1"/>
  <c r="H15" i="25" s="1"/>
  <c r="H16" i="25" s="1"/>
  <c r="H17" i="25" s="1"/>
  <c r="H18" i="25" s="1"/>
  <c r="H19" i="25" s="1"/>
  <c r="H20" i="25" s="1"/>
  <c r="H21" i="25" s="1"/>
  <c r="F9" i="25"/>
  <c r="F10" i="25" s="1"/>
  <c r="F11" i="25" s="1"/>
  <c r="F12" i="25" s="1"/>
  <c r="F13" i="25" s="1"/>
  <c r="F14" i="25" s="1"/>
  <c r="F15" i="25" s="1"/>
  <c r="F16" i="25" s="1"/>
  <c r="F17" i="25" s="1"/>
  <c r="F18" i="25" s="1"/>
  <c r="F19" i="25" s="1"/>
  <c r="F20" i="25" s="1"/>
  <c r="F21" i="25" s="1"/>
  <c r="A7" i="25"/>
  <c r="E3" i="25"/>
  <c r="A3" i="25"/>
  <c r="A2" i="25"/>
  <c r="A1" i="25"/>
  <c r="F28" i="24"/>
  <c r="D28" i="24"/>
  <c r="H27" i="24"/>
  <c r="H26" i="24"/>
  <c r="F23" i="24"/>
  <c r="D23" i="24"/>
  <c r="G10" i="24"/>
  <c r="G11" i="24" s="1"/>
  <c r="G12" i="24" s="1"/>
  <c r="G13" i="24" s="1"/>
  <c r="G14" i="24" s="1"/>
  <c r="G15" i="24" s="1"/>
  <c r="G16" i="24" s="1"/>
  <c r="G17" i="24" s="1"/>
  <c r="G18" i="24" s="1"/>
  <c r="G19" i="24" s="1"/>
  <c r="G20" i="24" s="1"/>
  <c r="G21" i="24" s="1"/>
  <c r="E9" i="24"/>
  <c r="E10" i="24" s="1"/>
  <c r="E11" i="24" s="1"/>
  <c r="E12" i="24" s="1"/>
  <c r="E13" i="24" s="1"/>
  <c r="E14" i="24" s="1"/>
  <c r="E15" i="24" s="1"/>
  <c r="E16" i="24" s="1"/>
  <c r="E17" i="24" s="1"/>
  <c r="E18" i="24" s="1"/>
  <c r="E19" i="24" s="1"/>
  <c r="E20" i="24" s="1"/>
  <c r="E21" i="24" s="1"/>
  <c r="A6" i="24"/>
  <c r="D3" i="24"/>
  <c r="A3" i="24"/>
  <c r="A2" i="24"/>
  <c r="A1" i="24"/>
  <c r="E12" i="23"/>
  <c r="E10" i="23"/>
  <c r="I23" i="29" l="1"/>
  <c r="F11" i="27" s="1"/>
  <c r="H28" i="28"/>
  <c r="I23" i="25"/>
  <c r="H28" i="24"/>
  <c r="I9" i="25"/>
  <c r="I10" i="25" s="1"/>
  <c r="I11" i="25" s="1"/>
  <c r="I12" i="25" s="1"/>
  <c r="I13" i="25" s="1"/>
  <c r="I14" i="25" s="1"/>
  <c r="I15" i="25" s="1"/>
  <c r="I16" i="25" s="1"/>
  <c r="I17" i="25" s="1"/>
  <c r="I18" i="25" s="1"/>
  <c r="I19" i="25" s="1"/>
  <c r="I20" i="25" s="1"/>
  <c r="I21" i="25" s="1"/>
  <c r="F11" i="23"/>
  <c r="E11" i="27"/>
  <c r="E14" i="27" s="1"/>
  <c r="I22" i="6" s="1"/>
  <c r="H23" i="24"/>
  <c r="F10" i="23" s="1"/>
  <c r="E14" i="23"/>
  <c r="I21" i="6" s="1"/>
  <c r="H9" i="24"/>
  <c r="H10" i="24" s="1"/>
  <c r="H11" i="24" s="1"/>
  <c r="H12" i="24" s="1"/>
  <c r="H13" i="24" s="1"/>
  <c r="H14" i="24" s="1"/>
  <c r="H15" i="24" s="1"/>
  <c r="H16" i="24" s="1"/>
  <c r="H17" i="24" s="1"/>
  <c r="H18" i="24" s="1"/>
  <c r="H19" i="24" s="1"/>
  <c r="H20" i="24" s="1"/>
  <c r="H21" i="24" s="1"/>
  <c r="F12" i="27"/>
  <c r="H9" i="28"/>
  <c r="H10" i="28" s="1"/>
  <c r="H11" i="28" s="1"/>
  <c r="H12" i="28" s="1"/>
  <c r="H13" i="28" s="1"/>
  <c r="H14" i="28" s="1"/>
  <c r="H15" i="28" s="1"/>
  <c r="H16" i="28" s="1"/>
  <c r="H17" i="28" s="1"/>
  <c r="H18" i="28" s="1"/>
  <c r="H19" i="28" s="1"/>
  <c r="H20" i="28" s="1"/>
  <c r="H21" i="28" s="1"/>
  <c r="F12" i="23"/>
  <c r="H23" i="28"/>
  <c r="F10" i="27" s="1"/>
  <c r="D10" i="23"/>
  <c r="D14" i="27"/>
  <c r="H22" i="6" s="1"/>
  <c r="I9" i="29"/>
  <c r="I10" i="29" s="1"/>
  <c r="I11" i="29" s="1"/>
  <c r="I12" i="29" s="1"/>
  <c r="I13" i="29" s="1"/>
  <c r="I14" i="29" s="1"/>
  <c r="I15" i="29" s="1"/>
  <c r="I16" i="29" s="1"/>
  <c r="I17" i="29" s="1"/>
  <c r="I18" i="29" s="1"/>
  <c r="I19" i="29" s="1"/>
  <c r="I20" i="29" s="1"/>
  <c r="I21" i="29" s="1"/>
  <c r="D11" i="23"/>
  <c r="G40" i="6"/>
  <c r="C8" i="100" s="1"/>
  <c r="F14" i="27" l="1"/>
  <c r="J22" i="6" s="1"/>
  <c r="D14" i="23"/>
  <c r="H21" i="6" s="1"/>
  <c r="C15" i="100"/>
  <c r="G15" i="100"/>
  <c r="K40" i="6" s="1"/>
  <c r="F14" i="23" l="1"/>
  <c r="J21" i="6" s="1"/>
  <c r="F30" i="22"/>
  <c r="D30" i="22"/>
  <c r="H27" i="22"/>
  <c r="H28" i="22"/>
  <c r="H29" i="22"/>
  <c r="H26" i="22"/>
  <c r="F23" i="22"/>
  <c r="E13" i="2" s="1"/>
  <c r="D23" i="22"/>
  <c r="G10" i="22"/>
  <c r="G11" i="22" s="1"/>
  <c r="G12" i="22" s="1"/>
  <c r="G13" i="22" s="1"/>
  <c r="G14" i="22" s="1"/>
  <c r="G15" i="22" s="1"/>
  <c r="G16" i="22" s="1"/>
  <c r="G17" i="22" s="1"/>
  <c r="G18" i="22" s="1"/>
  <c r="G19" i="22" s="1"/>
  <c r="G20" i="22" s="1"/>
  <c r="G21" i="22" s="1"/>
  <c r="E9" i="22"/>
  <c r="H9" i="22" s="1"/>
  <c r="H10" i="22" s="1"/>
  <c r="H11" i="22" s="1"/>
  <c r="H12" i="22" s="1"/>
  <c r="H13" i="22" s="1"/>
  <c r="H14" i="22" s="1"/>
  <c r="H15" i="22" s="1"/>
  <c r="H16" i="22" s="1"/>
  <c r="H17" i="22" s="1"/>
  <c r="H18" i="22" s="1"/>
  <c r="H19" i="22" s="1"/>
  <c r="H20" i="22" s="1"/>
  <c r="H21" i="22" s="1"/>
  <c r="A6" i="22"/>
  <c r="D3" i="22"/>
  <c r="A3" i="22"/>
  <c r="A2" i="22"/>
  <c r="A1" i="22"/>
  <c r="H30" i="22" l="1"/>
  <c r="H23" i="22"/>
  <c r="F13" i="2" s="1"/>
  <c r="D13" i="2"/>
  <c r="E10" i="22"/>
  <c r="E11" i="22" s="1"/>
  <c r="E12" i="22" s="1"/>
  <c r="E13" i="22" s="1"/>
  <c r="E14" i="22" s="1"/>
  <c r="E15" i="22" s="1"/>
  <c r="E16" i="22" s="1"/>
  <c r="E17" i="22" s="1"/>
  <c r="E18" i="22" s="1"/>
  <c r="E19" i="22" s="1"/>
  <c r="E20" i="22" s="1"/>
  <c r="E21" i="22" s="1"/>
  <c r="G12" i="8" l="1"/>
  <c r="G11" i="8" l="1"/>
  <c r="G39" i="8" s="1"/>
  <c r="A1" i="21" l="1"/>
  <c r="G22" i="21"/>
  <c r="D12" i="18" s="1"/>
  <c r="H9" i="21"/>
  <c r="H10" i="21" s="1"/>
  <c r="H11" i="21" s="1"/>
  <c r="H12" i="21" s="1"/>
  <c r="H13" i="21" s="1"/>
  <c r="H14" i="21" s="1"/>
  <c r="H15" i="21" s="1"/>
  <c r="H16" i="21" s="1"/>
  <c r="H17" i="21" s="1"/>
  <c r="H18" i="21" s="1"/>
  <c r="H19" i="21" s="1"/>
  <c r="H20" i="21" s="1"/>
  <c r="A7" i="21"/>
  <c r="E3" i="21"/>
  <c r="A3" i="21"/>
  <c r="A2" i="21"/>
  <c r="E11" i="18"/>
  <c r="E28" i="20"/>
  <c r="H10" i="20"/>
  <c r="H11" i="20" s="1"/>
  <c r="H12" i="20" s="1"/>
  <c r="H13" i="20" s="1"/>
  <c r="H14" i="20" s="1"/>
  <c r="H15" i="20" s="1"/>
  <c r="H16" i="20" s="1"/>
  <c r="H17" i="20" s="1"/>
  <c r="H18" i="20" s="1"/>
  <c r="H19" i="20" s="1"/>
  <c r="H20" i="20" s="1"/>
  <c r="H21" i="20" s="1"/>
  <c r="H22" i="20" s="1"/>
  <c r="H23" i="20" s="1"/>
  <c r="F9" i="20"/>
  <c r="I9" i="20" s="1"/>
  <c r="I10" i="20" s="1"/>
  <c r="I11" i="20" s="1"/>
  <c r="I12" i="20" s="1"/>
  <c r="I13" i="20" s="1"/>
  <c r="I14" i="20" s="1"/>
  <c r="I15" i="20" s="1"/>
  <c r="I16" i="20" s="1"/>
  <c r="I17" i="20" s="1"/>
  <c r="I18" i="20" s="1"/>
  <c r="I19" i="20" s="1"/>
  <c r="I20" i="20" s="1"/>
  <c r="I21" i="20" s="1"/>
  <c r="I22" i="20" s="1"/>
  <c r="I23" i="20" s="1"/>
  <c r="A7" i="20"/>
  <c r="E3" i="20"/>
  <c r="A3" i="20"/>
  <c r="A2" i="20"/>
  <c r="A1" i="20"/>
  <c r="F23" i="19"/>
  <c r="E13" i="18" s="1"/>
  <c r="D23" i="19"/>
  <c r="D13" i="18" s="1"/>
  <c r="G10" i="19"/>
  <c r="G11" i="19" s="1"/>
  <c r="G12" i="19" s="1"/>
  <c r="G13" i="19" s="1"/>
  <c r="G14" i="19" s="1"/>
  <c r="G15" i="19" s="1"/>
  <c r="G16" i="19" s="1"/>
  <c r="G17" i="19" s="1"/>
  <c r="G18" i="19" s="1"/>
  <c r="G19" i="19" s="1"/>
  <c r="G20" i="19" s="1"/>
  <c r="G21" i="19" s="1"/>
  <c r="E9" i="19"/>
  <c r="H9" i="19" s="1"/>
  <c r="H10" i="19" s="1"/>
  <c r="H11" i="19" s="1"/>
  <c r="H12" i="19" s="1"/>
  <c r="H13" i="19" s="1"/>
  <c r="H14" i="19" s="1"/>
  <c r="H15" i="19" s="1"/>
  <c r="H16" i="19" s="1"/>
  <c r="H17" i="19" s="1"/>
  <c r="H18" i="19" s="1"/>
  <c r="H19" i="19" s="1"/>
  <c r="H20" i="19" s="1"/>
  <c r="H21" i="19" s="1"/>
  <c r="A6" i="19"/>
  <c r="D3" i="19"/>
  <c r="A3" i="19"/>
  <c r="A2" i="19"/>
  <c r="A1" i="19"/>
  <c r="E12" i="18"/>
  <c r="F10" i="20" l="1"/>
  <c r="F11" i="20" s="1"/>
  <c r="F12" i="20" s="1"/>
  <c r="F13" i="20" s="1"/>
  <c r="F14" i="20" s="1"/>
  <c r="F15" i="20" s="1"/>
  <c r="F16" i="20" s="1"/>
  <c r="F17" i="20" s="1"/>
  <c r="F18" i="20" s="1"/>
  <c r="F19" i="20" s="1"/>
  <c r="F20" i="20" s="1"/>
  <c r="F21" i="20" s="1"/>
  <c r="F22" i="20" s="1"/>
  <c r="F23" i="20" s="1"/>
  <c r="I28" i="20"/>
  <c r="F11" i="18" s="1"/>
  <c r="F12" i="18"/>
  <c r="E16" i="18"/>
  <c r="I20" i="6" s="1"/>
  <c r="D11" i="18"/>
  <c r="D16" i="18" s="1"/>
  <c r="H23" i="19"/>
  <c r="F13" i="18" s="1"/>
  <c r="E10" i="19"/>
  <c r="E11" i="19" s="1"/>
  <c r="E12" i="19" s="1"/>
  <c r="E13" i="19" s="1"/>
  <c r="E14" i="19" s="1"/>
  <c r="E15" i="19" s="1"/>
  <c r="E16" i="19" s="1"/>
  <c r="E17" i="19" s="1"/>
  <c r="E18" i="19" s="1"/>
  <c r="E19" i="19" s="1"/>
  <c r="E20" i="19" s="1"/>
  <c r="E21" i="19" s="1"/>
  <c r="G11" i="4"/>
  <c r="G10" i="4"/>
  <c r="G11" i="11"/>
  <c r="G10" i="11"/>
  <c r="O20" i="6" l="1"/>
  <c r="H20" i="6"/>
  <c r="F16" i="18"/>
  <c r="J20" i="6" s="1"/>
  <c r="G30" i="4"/>
  <c r="G22" i="16" l="1"/>
  <c r="D12" i="13" s="1"/>
  <c r="H9" i="16"/>
  <c r="H10" i="16" s="1"/>
  <c r="H11" i="16" s="1"/>
  <c r="H12" i="16" s="1"/>
  <c r="H13" i="16" s="1"/>
  <c r="H14" i="16" s="1"/>
  <c r="H15" i="16" s="1"/>
  <c r="H16" i="16" s="1"/>
  <c r="H17" i="16" s="1"/>
  <c r="H18" i="16" s="1"/>
  <c r="H19" i="16" s="1"/>
  <c r="H20" i="16" s="1"/>
  <c r="A7" i="16"/>
  <c r="E3" i="16"/>
  <c r="A3" i="16"/>
  <c r="A2" i="16"/>
  <c r="A1" i="16"/>
  <c r="G23" i="15"/>
  <c r="E11" i="13" s="1"/>
  <c r="E23" i="15"/>
  <c r="D11" i="13" s="1"/>
  <c r="H10" i="15"/>
  <c r="H11" i="15" s="1"/>
  <c r="H12" i="15" s="1"/>
  <c r="H13" i="15" s="1"/>
  <c r="H14" i="15" s="1"/>
  <c r="H15" i="15" s="1"/>
  <c r="H16" i="15" s="1"/>
  <c r="H17" i="15" s="1"/>
  <c r="H18" i="15" s="1"/>
  <c r="H19" i="15" s="1"/>
  <c r="H20" i="15" s="1"/>
  <c r="H21" i="15" s="1"/>
  <c r="F9" i="15"/>
  <c r="I9" i="15" s="1"/>
  <c r="I10" i="15" s="1"/>
  <c r="I11" i="15" s="1"/>
  <c r="I12" i="15" s="1"/>
  <c r="I13" i="15" s="1"/>
  <c r="I14" i="15" s="1"/>
  <c r="I15" i="15" s="1"/>
  <c r="I16" i="15" s="1"/>
  <c r="I17" i="15" s="1"/>
  <c r="I18" i="15" s="1"/>
  <c r="I19" i="15" s="1"/>
  <c r="I20" i="15" s="1"/>
  <c r="I21" i="15" s="1"/>
  <c r="A7" i="15"/>
  <c r="E3" i="15"/>
  <c r="A3" i="15"/>
  <c r="A2" i="15"/>
  <c r="A1" i="15"/>
  <c r="F23" i="14"/>
  <c r="E10" i="13" s="1"/>
  <c r="D23" i="14"/>
  <c r="D10" i="13" s="1"/>
  <c r="G10" i="14"/>
  <c r="G11" i="14" s="1"/>
  <c r="G12" i="14" s="1"/>
  <c r="G13" i="14" s="1"/>
  <c r="G14" i="14" s="1"/>
  <c r="G15" i="14" s="1"/>
  <c r="G16" i="14" s="1"/>
  <c r="G17" i="14" s="1"/>
  <c r="G18" i="14" s="1"/>
  <c r="G19" i="14" s="1"/>
  <c r="G20" i="14" s="1"/>
  <c r="G21" i="14" s="1"/>
  <c r="E9" i="14"/>
  <c r="H9" i="14" s="1"/>
  <c r="H10" i="14" s="1"/>
  <c r="H11" i="14" s="1"/>
  <c r="H12" i="14" s="1"/>
  <c r="H13" i="14" s="1"/>
  <c r="H14" i="14" s="1"/>
  <c r="H15" i="14" s="1"/>
  <c r="H16" i="14" s="1"/>
  <c r="H17" i="14" s="1"/>
  <c r="H18" i="14" s="1"/>
  <c r="H19" i="14" s="1"/>
  <c r="H20" i="14" s="1"/>
  <c r="H21" i="14" s="1"/>
  <c r="A6" i="14"/>
  <c r="D3" i="14"/>
  <c r="A3" i="14"/>
  <c r="A2" i="14"/>
  <c r="A1" i="14"/>
  <c r="E12" i="13"/>
  <c r="C14" i="13"/>
  <c r="F10" i="15" l="1"/>
  <c r="F11" i="15" s="1"/>
  <c r="F12" i="15" s="1"/>
  <c r="F13" i="15" s="1"/>
  <c r="F14" i="15" s="1"/>
  <c r="F15" i="15" s="1"/>
  <c r="F16" i="15" s="1"/>
  <c r="F17" i="15" s="1"/>
  <c r="F18" i="15" s="1"/>
  <c r="F19" i="15" s="1"/>
  <c r="F20" i="15" s="1"/>
  <c r="F21" i="15" s="1"/>
  <c r="D14" i="13"/>
  <c r="H41" i="6" s="1"/>
  <c r="E14" i="13"/>
  <c r="I41" i="6" s="1"/>
  <c r="I23" i="15"/>
  <c r="H23" i="14"/>
  <c r="F10" i="13" s="1"/>
  <c r="F12" i="13"/>
  <c r="E10" i="14"/>
  <c r="E11" i="14" s="1"/>
  <c r="E12" i="14" s="1"/>
  <c r="E13" i="14" s="1"/>
  <c r="E14" i="14" s="1"/>
  <c r="E15" i="14" s="1"/>
  <c r="E16" i="14" s="1"/>
  <c r="E17" i="14" s="1"/>
  <c r="E18" i="14" s="1"/>
  <c r="E19" i="14" s="1"/>
  <c r="E20" i="14" s="1"/>
  <c r="E21" i="14" s="1"/>
  <c r="G22" i="12"/>
  <c r="H9" i="12"/>
  <c r="H10" i="12" s="1"/>
  <c r="H11" i="12" s="1"/>
  <c r="H12" i="12" s="1"/>
  <c r="H13" i="12" s="1"/>
  <c r="H14" i="12" s="1"/>
  <c r="H15" i="12" s="1"/>
  <c r="H16" i="12" s="1"/>
  <c r="H17" i="12" s="1"/>
  <c r="H18" i="12" s="1"/>
  <c r="H19" i="12" s="1"/>
  <c r="H20" i="12" s="1"/>
  <c r="A7" i="12"/>
  <c r="E3" i="12"/>
  <c r="A3" i="12"/>
  <c r="A2" i="12"/>
  <c r="A1" i="12"/>
  <c r="G30" i="11"/>
  <c r="E11" i="9" s="1"/>
  <c r="E30" i="11"/>
  <c r="H10" i="11"/>
  <c r="H11" i="11" s="1"/>
  <c r="H12" i="11" s="1"/>
  <c r="H13" i="11" s="1"/>
  <c r="H14" i="11" s="1"/>
  <c r="H15" i="11" s="1"/>
  <c r="H16" i="11" s="1"/>
  <c r="H17" i="11" s="1"/>
  <c r="H18" i="11" s="1"/>
  <c r="H19" i="11" s="1"/>
  <c r="H20" i="11" s="1"/>
  <c r="H21" i="11" s="1"/>
  <c r="H22" i="11" s="1"/>
  <c r="H23" i="11" s="1"/>
  <c r="H24" i="11" s="1"/>
  <c r="H25" i="11" s="1"/>
  <c r="F9" i="11"/>
  <c r="F10" i="11" s="1"/>
  <c r="F11" i="11" s="1"/>
  <c r="F12" i="11" s="1"/>
  <c r="F13" i="11" s="1"/>
  <c r="F14" i="11" s="1"/>
  <c r="F15" i="11" s="1"/>
  <c r="F16" i="11" s="1"/>
  <c r="F17" i="11" s="1"/>
  <c r="F18" i="11" s="1"/>
  <c r="F19" i="11" s="1"/>
  <c r="F20" i="11" s="1"/>
  <c r="F21" i="11" s="1"/>
  <c r="F22" i="11" s="1"/>
  <c r="F23" i="11" s="1"/>
  <c r="F24" i="11" s="1"/>
  <c r="F25" i="11" s="1"/>
  <c r="A7" i="11"/>
  <c r="E3" i="11"/>
  <c r="A3" i="11"/>
  <c r="A2" i="11"/>
  <c r="A1" i="11"/>
  <c r="F28" i="10"/>
  <c r="D28" i="10"/>
  <c r="H27" i="10"/>
  <c r="H26" i="10"/>
  <c r="F23" i="10"/>
  <c r="E10" i="9" s="1"/>
  <c r="D23" i="10"/>
  <c r="G10" i="10"/>
  <c r="G11" i="10" s="1"/>
  <c r="G12" i="10" s="1"/>
  <c r="G13" i="10" s="1"/>
  <c r="G14" i="10" s="1"/>
  <c r="G15" i="10" s="1"/>
  <c r="G16" i="10" s="1"/>
  <c r="G17" i="10" s="1"/>
  <c r="G18" i="10" s="1"/>
  <c r="G19" i="10" s="1"/>
  <c r="G20" i="10" s="1"/>
  <c r="G21" i="10" s="1"/>
  <c r="E9" i="10"/>
  <c r="H9" i="10" s="1"/>
  <c r="H10" i="10" s="1"/>
  <c r="H11" i="10" s="1"/>
  <c r="H12" i="10" s="1"/>
  <c r="H13" i="10" s="1"/>
  <c r="H14" i="10" s="1"/>
  <c r="H15" i="10" s="1"/>
  <c r="H16" i="10" s="1"/>
  <c r="H17" i="10" s="1"/>
  <c r="H18" i="10" s="1"/>
  <c r="H19" i="10" s="1"/>
  <c r="H20" i="10" s="1"/>
  <c r="H21" i="10" s="1"/>
  <c r="A6" i="10"/>
  <c r="D3" i="10"/>
  <c r="A3" i="10"/>
  <c r="A2" i="10"/>
  <c r="A1" i="10"/>
  <c r="D10" i="9"/>
  <c r="C8" i="9"/>
  <c r="D12" i="9" l="1"/>
  <c r="E12" i="9"/>
  <c r="E15" i="9" s="1"/>
  <c r="I18" i="6" s="1"/>
  <c r="F11" i="13"/>
  <c r="O41" i="6"/>
  <c r="G14" i="13"/>
  <c r="K41" i="6" s="1"/>
  <c r="F14" i="13"/>
  <c r="J41" i="6" s="1"/>
  <c r="H23" i="10"/>
  <c r="F10" i="9" s="1"/>
  <c r="H28" i="10"/>
  <c r="I30" i="11"/>
  <c r="F11" i="9" s="1"/>
  <c r="I9" i="11"/>
  <c r="I10" i="11" s="1"/>
  <c r="I11" i="11" s="1"/>
  <c r="I12" i="11" s="1"/>
  <c r="I13" i="11" s="1"/>
  <c r="I14" i="11" s="1"/>
  <c r="I15" i="11" s="1"/>
  <c r="I16" i="11" s="1"/>
  <c r="I17" i="11" s="1"/>
  <c r="I18" i="11" s="1"/>
  <c r="I19" i="11" s="1"/>
  <c r="I20" i="11" s="1"/>
  <c r="I21" i="11" s="1"/>
  <c r="I22" i="11" s="1"/>
  <c r="I23" i="11" s="1"/>
  <c r="I24" i="11" s="1"/>
  <c r="I25" i="11" s="1"/>
  <c r="D11" i="9"/>
  <c r="C15" i="9"/>
  <c r="E10" i="10"/>
  <c r="E11" i="10" s="1"/>
  <c r="E12" i="10" s="1"/>
  <c r="E13" i="10" s="1"/>
  <c r="E14" i="10" s="1"/>
  <c r="E15" i="10" s="1"/>
  <c r="E16" i="10" s="1"/>
  <c r="E17" i="10" s="1"/>
  <c r="E18" i="10" s="1"/>
  <c r="E19" i="10" s="1"/>
  <c r="E20" i="10" s="1"/>
  <c r="E21" i="10" s="1"/>
  <c r="C8" i="7"/>
  <c r="D15" i="9" l="1"/>
  <c r="H18" i="6" s="1"/>
  <c r="F12" i="9"/>
  <c r="O18" i="6"/>
  <c r="D28" i="3"/>
  <c r="H27" i="3"/>
  <c r="H26" i="3"/>
  <c r="F15" i="9" l="1"/>
  <c r="J18" i="6" s="1"/>
  <c r="G15" i="9"/>
  <c r="K18" i="6" s="1"/>
  <c r="H28" i="3"/>
  <c r="F28" i="3"/>
  <c r="E39" i="8" l="1"/>
  <c r="H10" i="8"/>
  <c r="H11" i="8" s="1"/>
  <c r="H12" i="8" s="1"/>
  <c r="H13" i="8" s="1"/>
  <c r="H14" i="8" s="1"/>
  <c r="H15" i="8" s="1"/>
  <c r="H16" i="8" s="1"/>
  <c r="H17" i="8" s="1"/>
  <c r="H18" i="8" s="1"/>
  <c r="H19" i="8" s="1"/>
  <c r="H20" i="8" s="1"/>
  <c r="H21" i="8" s="1"/>
  <c r="H22" i="8" s="1"/>
  <c r="H23" i="8" s="1"/>
  <c r="H24" i="8" s="1"/>
  <c r="H25" i="8" s="1"/>
  <c r="H26" i="8" s="1"/>
  <c r="H27" i="8" s="1"/>
  <c r="H28" i="8" s="1"/>
  <c r="H29" i="8" s="1"/>
  <c r="H30" i="8" s="1"/>
  <c r="H31" i="8" s="1"/>
  <c r="H32" i="8" s="1"/>
  <c r="H33" i="8" s="1"/>
  <c r="H34" i="8" s="1"/>
  <c r="H35" i="8" s="1"/>
  <c r="H36" i="8" s="1"/>
  <c r="H37" i="8" s="1"/>
  <c r="F9" i="8"/>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F34" i="8" s="1"/>
  <c r="F35" i="8" s="1"/>
  <c r="F36" i="8" s="1"/>
  <c r="F37" i="8" s="1"/>
  <c r="A7" i="8"/>
  <c r="E3" i="8"/>
  <c r="A3" i="8"/>
  <c r="A2" i="8"/>
  <c r="A1" i="8"/>
  <c r="C14" i="7"/>
  <c r="E12" i="7"/>
  <c r="I39" i="8" l="1"/>
  <c r="O15" i="6" s="1"/>
  <c r="E11" i="7"/>
  <c r="I9" i="8"/>
  <c r="I10" i="8" s="1"/>
  <c r="I11" i="8" s="1"/>
  <c r="I12" i="8" s="1"/>
  <c r="I13" i="8" s="1"/>
  <c r="I14"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D11" i="7"/>
  <c r="F11" i="7" l="1"/>
  <c r="F50" i="6"/>
  <c r="G39" i="6"/>
  <c r="C8" i="96" s="1"/>
  <c r="G38" i="6"/>
  <c r="C8" i="91" s="1"/>
  <c r="G37" i="6"/>
  <c r="C8" i="87" s="1"/>
  <c r="G36" i="6"/>
  <c r="C8" i="83" s="1"/>
  <c r="G35" i="6"/>
  <c r="C8" i="79" s="1"/>
  <c r="G34" i="6"/>
  <c r="C8" i="75" s="1"/>
  <c r="G33" i="6"/>
  <c r="C8" i="71" s="1"/>
  <c r="G32" i="6"/>
  <c r="C8" i="67" s="1"/>
  <c r="G31" i="6"/>
  <c r="C8" i="63" s="1"/>
  <c r="G30" i="6"/>
  <c r="C8" i="59" s="1"/>
  <c r="G29" i="6"/>
  <c r="C8" i="55" s="1"/>
  <c r="G28" i="6"/>
  <c r="C8" i="51" s="1"/>
  <c r="G27" i="6"/>
  <c r="C8" i="47" s="1"/>
  <c r="G26" i="6"/>
  <c r="C8" i="43" s="1"/>
  <c r="G25" i="6"/>
  <c r="C8" i="39" s="1"/>
  <c r="G24" i="6"/>
  <c r="C8" i="35" s="1"/>
  <c r="G23" i="6"/>
  <c r="C8" i="31" s="1"/>
  <c r="G22" i="6"/>
  <c r="C8" i="27" s="1"/>
  <c r="G21" i="6"/>
  <c r="C8" i="23" s="1"/>
  <c r="G20" i="6"/>
  <c r="C8" i="18" s="1"/>
  <c r="G19" i="6"/>
  <c r="C8" i="2" s="1"/>
  <c r="C18" i="2" s="1"/>
  <c r="G15" i="6"/>
  <c r="E6" i="6"/>
  <c r="J54" i="6" s="1"/>
  <c r="G22" i="5"/>
  <c r="E12" i="2" s="1"/>
  <c r="H9" i="5"/>
  <c r="H10" i="5" s="1"/>
  <c r="H11" i="5" s="1"/>
  <c r="H12" i="5" s="1"/>
  <c r="H13" i="5" s="1"/>
  <c r="H14" i="5" s="1"/>
  <c r="H15" i="5" s="1"/>
  <c r="H16" i="5" s="1"/>
  <c r="H17" i="5" s="1"/>
  <c r="H18" i="5" s="1"/>
  <c r="H19" i="5" s="1"/>
  <c r="H20" i="5" s="1"/>
  <c r="A7" i="5"/>
  <c r="E3" i="5"/>
  <c r="A3" i="5"/>
  <c r="A2" i="5"/>
  <c r="A1" i="5"/>
  <c r="E11" i="2"/>
  <c r="E30" i="4"/>
  <c r="H10" i="4"/>
  <c r="H11" i="4" s="1"/>
  <c r="H12" i="4" s="1"/>
  <c r="H13" i="4" s="1"/>
  <c r="H14" i="4" s="1"/>
  <c r="H15" i="4" s="1"/>
  <c r="H16" i="4" s="1"/>
  <c r="H17" i="4" s="1"/>
  <c r="H18" i="4" s="1"/>
  <c r="H19" i="4" s="1"/>
  <c r="H20" i="4" s="1"/>
  <c r="H21" i="4" s="1"/>
  <c r="H22" i="4" s="1"/>
  <c r="H23" i="4" s="1"/>
  <c r="H24" i="4" s="1"/>
  <c r="H25" i="4" s="1"/>
  <c r="F9" i="4"/>
  <c r="I9" i="4" s="1"/>
  <c r="I10" i="4" s="1"/>
  <c r="I11" i="4" s="1"/>
  <c r="I12" i="4" s="1"/>
  <c r="I13" i="4" s="1"/>
  <c r="I14" i="4" s="1"/>
  <c r="I15" i="4" s="1"/>
  <c r="I16" i="4" s="1"/>
  <c r="I17" i="4" s="1"/>
  <c r="I18" i="4" s="1"/>
  <c r="I19" i="4" s="1"/>
  <c r="I20" i="4" s="1"/>
  <c r="I21" i="4" s="1"/>
  <c r="I22" i="4" s="1"/>
  <c r="I23" i="4" s="1"/>
  <c r="I24" i="4" s="1"/>
  <c r="I25" i="4" s="1"/>
  <c r="A7" i="4"/>
  <c r="E3" i="4"/>
  <c r="A3" i="4"/>
  <c r="A2" i="4"/>
  <c r="A1" i="4"/>
  <c r="F23" i="3"/>
  <c r="E14" i="7" s="1"/>
  <c r="I15" i="6" s="1"/>
  <c r="D23" i="3"/>
  <c r="G10" i="3"/>
  <c r="G11" i="3" s="1"/>
  <c r="G12" i="3" s="1"/>
  <c r="G13" i="3" s="1"/>
  <c r="G14" i="3" s="1"/>
  <c r="G15" i="3" s="1"/>
  <c r="G16" i="3" s="1"/>
  <c r="G17" i="3" s="1"/>
  <c r="G18" i="3" s="1"/>
  <c r="G19" i="3" s="1"/>
  <c r="G20" i="3" s="1"/>
  <c r="G21" i="3" s="1"/>
  <c r="E9" i="3"/>
  <c r="E10" i="3" s="1"/>
  <c r="E11" i="3" s="1"/>
  <c r="E12" i="3" s="1"/>
  <c r="E13" i="3" s="1"/>
  <c r="E14" i="3" s="1"/>
  <c r="E15" i="3" s="1"/>
  <c r="E16" i="3" s="1"/>
  <c r="E17" i="3" s="1"/>
  <c r="E18" i="3" s="1"/>
  <c r="E19" i="3" s="1"/>
  <c r="E20" i="3" s="1"/>
  <c r="E21" i="3" s="1"/>
  <c r="A6" i="3"/>
  <c r="D3" i="3"/>
  <c r="A3" i="3"/>
  <c r="A2" i="3"/>
  <c r="A1" i="3"/>
  <c r="C14" i="75" l="1"/>
  <c r="G14" i="75"/>
  <c r="K34" i="6" s="1"/>
  <c r="C16" i="47"/>
  <c r="G16" i="47"/>
  <c r="K27" i="6" s="1"/>
  <c r="C15" i="79"/>
  <c r="G15" i="79"/>
  <c r="K35" i="6" s="1"/>
  <c r="C14" i="83"/>
  <c r="G14" i="83"/>
  <c r="K36" i="6" s="1"/>
  <c r="C14" i="23"/>
  <c r="G14" i="23"/>
  <c r="K21" i="6" s="1"/>
  <c r="C17" i="55"/>
  <c r="G17" i="55"/>
  <c r="K29" i="6" s="1"/>
  <c r="C14" i="87"/>
  <c r="G14" i="87"/>
  <c r="K37" i="6" s="1"/>
  <c r="C16" i="43"/>
  <c r="G16" i="43"/>
  <c r="K26" i="6" s="1"/>
  <c r="C15" i="59"/>
  <c r="G15" i="59"/>
  <c r="K30" i="6" s="1"/>
  <c r="C16" i="91"/>
  <c r="G16" i="91"/>
  <c r="K38" i="6" s="1"/>
  <c r="C15" i="31"/>
  <c r="G15" i="31"/>
  <c r="K23" i="6" s="1"/>
  <c r="C15" i="63"/>
  <c r="G15" i="63"/>
  <c r="K31" i="6" s="1"/>
  <c r="C15" i="96"/>
  <c r="G15" i="96"/>
  <c r="K39" i="6" s="1"/>
  <c r="C14" i="27"/>
  <c r="G14" i="27"/>
  <c r="K22" i="6" s="1"/>
  <c r="C15" i="35"/>
  <c r="G15" i="35"/>
  <c r="K24" i="6" s="1"/>
  <c r="C15" i="67"/>
  <c r="G15" i="67"/>
  <c r="K32" i="6" s="1"/>
  <c r="C15" i="51"/>
  <c r="G15" i="51"/>
  <c r="K28" i="6" s="1"/>
  <c r="C15" i="39"/>
  <c r="G15" i="39"/>
  <c r="K25" i="6" s="1"/>
  <c r="C15" i="71"/>
  <c r="G15" i="71"/>
  <c r="K33" i="6" s="1"/>
  <c r="E10" i="2"/>
  <c r="E18" i="2" s="1"/>
  <c r="I19" i="6" s="1"/>
  <c r="I50" i="6" s="1"/>
  <c r="C16" i="18"/>
  <c r="G16" i="18"/>
  <c r="K20" i="6" s="1"/>
  <c r="I30" i="4"/>
  <c r="D12" i="2"/>
  <c r="F12" i="2" s="1"/>
  <c r="F12" i="7"/>
  <c r="D11" i="2"/>
  <c r="D10" i="2"/>
  <c r="G18" i="6"/>
  <c r="G50" i="6" s="1"/>
  <c r="H9" i="3"/>
  <c r="H10" i="3" s="1"/>
  <c r="H11" i="3" s="1"/>
  <c r="H12" i="3" s="1"/>
  <c r="H13" i="3" s="1"/>
  <c r="H14" i="3" s="1"/>
  <c r="H15" i="3" s="1"/>
  <c r="H16" i="3" s="1"/>
  <c r="H17" i="3" s="1"/>
  <c r="H18" i="3" s="1"/>
  <c r="H19" i="3" s="1"/>
  <c r="H20" i="3" s="1"/>
  <c r="H21" i="3" s="1"/>
  <c r="H23" i="3"/>
  <c r="F10" i="4"/>
  <c r="F11" i="4" s="1"/>
  <c r="F12" i="4" s="1"/>
  <c r="F13" i="4" s="1"/>
  <c r="F14" i="4" s="1"/>
  <c r="F15" i="4" s="1"/>
  <c r="F16" i="4" s="1"/>
  <c r="F17" i="4" s="1"/>
  <c r="F18" i="4" s="1"/>
  <c r="F19" i="4" s="1"/>
  <c r="F20" i="4" s="1"/>
  <c r="F21" i="4" s="1"/>
  <c r="F22" i="4" s="1"/>
  <c r="F23" i="4" s="1"/>
  <c r="F24" i="4" s="1"/>
  <c r="F25" i="4" s="1"/>
  <c r="D18" i="2" l="1"/>
  <c r="F11" i="2"/>
  <c r="O19" i="6"/>
  <c r="O50" i="6" s="1"/>
  <c r="D14" i="7"/>
  <c r="H15" i="6" s="1"/>
  <c r="E7" i="6"/>
  <c r="E8" i="6" s="1"/>
  <c r="K52" i="6" s="1"/>
  <c r="F10" i="2"/>
  <c r="F18" i="2" l="1"/>
  <c r="J19" i="6" s="1"/>
  <c r="H19" i="6"/>
  <c r="H50" i="6" s="1"/>
  <c r="J55" i="6" s="1"/>
  <c r="K55" i="6" s="1"/>
  <c r="G18" i="2"/>
  <c r="K19" i="6" s="1"/>
  <c r="F14" i="7"/>
  <c r="J15" i="6" s="1"/>
  <c r="G14" i="7"/>
  <c r="K15" i="6" s="1"/>
  <c r="K50" i="6" l="1"/>
  <c r="K53" i="6" s="1"/>
  <c r="K56" i="6" s="1"/>
  <c r="J5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17" authorId="0" shapeId="0" xr:uid="{A62357FF-5BFF-4E4A-A685-C5ED13C963A6}">
      <text>
        <r>
          <rPr>
            <b/>
            <sz val="11"/>
            <color indexed="81"/>
            <rFont val="Tahoma"/>
            <family val="2"/>
          </rPr>
          <t>Huggins, Joni [DAS]:</t>
        </r>
        <r>
          <rPr>
            <sz val="11"/>
            <color indexed="81"/>
            <rFont val="Tahoma"/>
            <family val="2"/>
          </rPr>
          <t xml:space="preserve">
9455.00 - Giangreco Hall Water Infiltration Mitigation - MM26 - Return of Funds
$Joni
Elliott, Jennie
Sat, Jan 24, 1:07 PM (2 days ago)
to me, Geoff, Jennifer
Please reduce the Overall Budget for 9455.00 in MM26 from $4,600,000.00 down to $3,700,000.00.
The remaining $900,000.00 can be returned to the Total Unassigned/Unallocated budget in MM26.
Thank you,
Jennie Elliott</t>
        </r>
      </text>
    </comment>
    <comment ref="E20" authorId="0" shapeId="0" xr:uid="{2965E8F9-EE97-403F-A7CD-6398CA3FE3E8}">
      <text>
        <r>
          <rPr>
            <b/>
            <sz val="11"/>
            <color indexed="81"/>
            <rFont val="Tahoma"/>
            <family val="2"/>
          </rPr>
          <t>Huggins, Joni [DAS]:</t>
        </r>
        <r>
          <rPr>
            <sz val="11"/>
            <color indexed="81"/>
            <rFont val="Tahoma"/>
            <family val="2"/>
          </rPr>
          <t xml:space="preserve">
Major Maintenance Fund Return 3-2-2026
$Joni
Shimp, Oliver
Mon, Mar 2, 12:52 PM (20 hours ago)
to me, Geoff, Brandon, Jennifer
Good Afternoon, 
Could you please return the below dollar amounts from their projects to their respective Major Maintenance funds?
MM26
9491.00 DOC 7 JD RTU #2 Replacement; return $150,000.00 of unallocated to MM26 pool</t>
        </r>
      </text>
    </comment>
    <comment ref="E25" authorId="0" shapeId="0" xr:uid="{0B9A122F-B575-40BB-A43A-03D7BB36BA5E}">
      <text>
        <r>
          <rPr>
            <b/>
            <sz val="11"/>
            <color indexed="81"/>
            <rFont val="Tahoma"/>
            <family val="2"/>
          </rPr>
          <t>Huggins, Joni [DAS]:</t>
        </r>
        <r>
          <rPr>
            <sz val="11"/>
            <color indexed="81"/>
            <rFont val="Tahoma"/>
            <family val="2"/>
          </rPr>
          <t xml:space="preserve">
</t>
        </r>
        <r>
          <rPr>
            <b/>
            <sz val="11"/>
            <color indexed="81"/>
            <rFont val="Tahoma"/>
            <family val="2"/>
          </rPr>
          <t>9498.00 - DAS TH Parking Lot Retaining Wall Repairs - MM26 Budget
$Joni
Trower, James
9:19 AM (3 hours ago)
to me
Finance -
Please add $35,000 in MM26 funds to project 9498.00. Of that $35,000, please increase PM Time by $2,000.
Thanks,
James Trower</t>
        </r>
      </text>
    </comment>
    <comment ref="E30" authorId="0" shapeId="0" xr:uid="{888DD70C-A7CA-4372-ABC8-29B99A1E5907}">
      <text>
        <r>
          <rPr>
            <b/>
            <sz val="11"/>
            <color indexed="81"/>
            <rFont val="Tahoma"/>
            <family val="2"/>
          </rPr>
          <t>Huggins, Joni [DAS]:</t>
        </r>
        <r>
          <rPr>
            <sz val="11"/>
            <color indexed="81"/>
            <rFont val="Tahoma"/>
            <family val="2"/>
          </rPr>
          <t xml:space="preserve">
MM26 9502.00 Added Funds
$Joni
Adams, Brandon
10:37 AM (0 minutes ago)
to me, Geoff, Jennifer
Finance,
Please add $450,000 to MM26 9502.00 DOC MPCF Hot and Cold Water Main Replacement project from MM26 funds.
Regards,
Brandon Adams</t>
        </r>
      </text>
    </comment>
    <comment ref="E32" authorId="0" shapeId="0" xr:uid="{18267B53-1CCE-4D4E-A8C1-0917D4B7BAB5}">
      <text>
        <r>
          <rPr>
            <b/>
            <sz val="11"/>
            <color indexed="81"/>
            <rFont val="Tahoma"/>
            <family val="2"/>
          </rPr>
          <t>Huggins, Joni [DAS]:</t>
        </r>
        <r>
          <rPr>
            <sz val="11"/>
            <color indexed="81"/>
            <rFont val="Tahoma"/>
            <family val="2"/>
          </rPr>
          <t xml:space="preserve">
9505.00 - DOC FDCF Sally Port Operator Replacement - MM26
$Joni
Elliott, Jennie
2:14 PM (2 minutes ago)
to me, Geoff
Please increase the budget in MM26 for project 9505.00 by $106,000.  This should bring the total project budget to $491,000.00
Thank you,
Jennie Elliott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69371F3E-8CF4-4886-B3F4-E0BAE970797C}">
      <text>
        <r>
          <rPr>
            <b/>
            <sz val="11"/>
            <color indexed="81"/>
            <rFont val="Tahoma"/>
            <family val="2"/>
          </rPr>
          <t>Huggins, Joni [DAS]:</t>
        </r>
        <r>
          <rPr>
            <sz val="11"/>
            <color indexed="81"/>
            <rFont val="Tahoma"/>
            <family val="2"/>
          </rPr>
          <t xml:space="preserve">
PM Time Budgets to Establish
$Joni
Elliott, Jennie
Sun, Nov 2,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A64AC92-14EB-476F-8407-F0F3311BE55D}">
      <text>
        <r>
          <rPr>
            <b/>
            <sz val="11"/>
            <color indexed="81"/>
            <rFont val="Tahoma"/>
            <family val="2"/>
          </rPr>
          <t>Huggins, Joni [DAS]:</t>
        </r>
        <r>
          <rPr>
            <sz val="11"/>
            <color indexed="81"/>
            <rFont val="Tahoma"/>
            <family val="2"/>
          </rPr>
          <t xml:space="preserve">
PM Time Budgets to Establish
$Joni
Elliott, Jennie
Sun, Nov 2,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D7FF068D-6A7B-4A1E-B266-D52FA41FBE38}">
      <text>
        <r>
          <rPr>
            <b/>
            <sz val="11"/>
            <color indexed="81"/>
            <rFont val="Tahoma"/>
            <family val="2"/>
          </rPr>
          <t>Huggins, Joni [DAS]:</t>
        </r>
        <r>
          <rPr>
            <sz val="11"/>
            <color indexed="81"/>
            <rFont val="Tahoma"/>
            <family val="2"/>
          </rPr>
          <t xml:space="preserve">
Project #s 9507 &amp; 9508
$Joni
Wheelock, Geoff
Mon, Nov 24, 4:37 PM (15 hours ago)
to me
Could you please set up a PM Time budget for these referenced projects in the amount of:
9507.00 = $15,000
9508.00 = $36,000
I greatly appreciate your help on this. 
Thank you,</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E132915D-5D31-4FC7-8285-C375141F4E32}">
      <text>
        <r>
          <rPr>
            <b/>
            <sz val="11"/>
            <color indexed="81"/>
            <rFont val="Tahoma"/>
            <family val="2"/>
          </rPr>
          <t>Huggins, Joni [DAS]:</t>
        </r>
        <r>
          <rPr>
            <sz val="11"/>
            <color indexed="81"/>
            <rFont val="Tahoma"/>
            <family val="2"/>
          </rPr>
          <t xml:space="preserve">
PM Time Budget Request
$Joni
Elliott, Jennie
Sun, Nov 2, 4:38 PM (2 days ago)
to me, Geoff
Please establish a PM Time budget in the project as follows: 
9508.00 - FDCF Unit A, B, &amp; G Roof Repl - $9,500.00
Thank you,
Jennie Elliott
Project #s 9507 &amp; 9508
$Joni
Wheelock, Geoff
Nov 24, 2025, 4:37 PM (15 hours ago)
to me
Could you please set up a PM Time budget for these referenced projects in the amount of:
9507.00 = $15,000
9508.00 = $36,000
I greatly appreciate your help on this. 
Thank you,</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222665AF-0B0D-4E52-98DC-6D09D85F7B2C}">
      <text>
        <r>
          <rPr>
            <b/>
            <sz val="11"/>
            <color indexed="81"/>
            <rFont val="Tahoma"/>
            <family val="2"/>
          </rPr>
          <t>Huggins, Joni [DAS]:</t>
        </r>
        <r>
          <rPr>
            <sz val="11"/>
            <color indexed="81"/>
            <rFont val="Tahoma"/>
            <family val="2"/>
          </rPr>
          <t xml:space="preserve">
Project 9508/9509/9510
$Joni
Wheelock, Geoff
Mon, Nov 24, 12:42 PM (19 hours ago)
to me, Jennie
Good Morning,
These projects were all being rolled up into 9508 with their respective budgets being moved into 9508. Can you please assist with closing out 9509 &amp; 9510 and moving all items to the 9508 project?
Thank you,
Geoff Wheelock
Bureau Chief, State Design &amp; Construction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53AC5AF8-E6A5-4F3E-9E64-517353699C6D}">
      <text>
        <r>
          <rPr>
            <b/>
            <sz val="11"/>
            <color indexed="81"/>
            <rFont val="Tahoma"/>
            <family val="2"/>
          </rPr>
          <t>Huggins, Joni [DAS]:</t>
        </r>
        <r>
          <rPr>
            <sz val="11"/>
            <color indexed="81"/>
            <rFont val="Tahoma"/>
            <family val="2"/>
          </rPr>
          <t xml:space="preserve">
Project 9508/9509/9510
$Joni
Wheelock, Geoff
Mon, Nov 24, 12:42 PM (19 hours ago)
to me, Jennie
Good Morning,
These projects were all being rolled up into 9508 with their respective budgets being moved into 9508. Can you please assist with closing out 9509 &amp; 9510 and moving all items to the 9508 project?
Thank you,
Geoff Wheelock
Bureau Chief, State Design &amp; Construction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9112AD08-F66F-4C4B-85AA-239BA4E72B45}">
      <text>
        <r>
          <rPr>
            <b/>
            <sz val="11"/>
            <color indexed="81"/>
            <rFont val="Tahoma"/>
            <family val="2"/>
          </rPr>
          <t>Huggins, Joni [DAS]:</t>
        </r>
        <r>
          <rPr>
            <sz val="11"/>
            <color indexed="81"/>
            <rFont val="Tahoma"/>
            <family val="2"/>
          </rPr>
          <t xml:space="preserve">
Re: February PM Time Posted
$Joni
Shimp, Oliver
Mar 13, 2026, 8:26 AM (3 days ago)
to me
Good Morning, 
Thank for you the list, could you please make the following adjustments?
DA25 9358.01  $(361.98)
Please move $5,000.00 from unallocated to PM Time
DA26 9534.00  $(298.97)
Please move $5,000.00 from unallocated to PM Time
MM24 9226.00 $(290.03)
Please move $5,000.00 from unallocated to PM Time.
MM24 9392.00 $(264.99)
Please move $3,000 from unallocated to PM Time
MM25 9451.00 $(130.91)
Please move $2,000.00 from unallocated to PM Time
MM26 9491.00 $(646.75)
Please move $5,000.00 from unallocated to PM Time
MM26 9512.00 $(560.94)
Please move $5,000 from unallocated to PM Time
X674  9464.00  $(96.94)
I'll have Brent add additional $100 to this project.
Thank you,
Oliver Shimp</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6FA583DA-59C6-4A70-8347-A43E02B3E546}">
      <text>
        <r>
          <rPr>
            <b/>
            <sz val="11"/>
            <color indexed="81"/>
            <rFont val="Tahoma"/>
            <family val="2"/>
          </rPr>
          <t>Huggins, Joni [DAS]:</t>
        </r>
        <r>
          <rPr>
            <sz val="11"/>
            <color indexed="81"/>
            <rFont val="Tahoma"/>
            <family val="2"/>
          </rPr>
          <t xml:space="preserve">
PM Time Budgets to Establish
$Joni
Elliott, Jennie
Nov 2, 2025,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543C73EC-148E-4694-8E5D-6674059CC889}">
      <text>
        <r>
          <rPr>
            <b/>
            <sz val="11"/>
            <color indexed="81"/>
            <rFont val="Tahoma"/>
            <family val="2"/>
          </rPr>
          <t>Huggins, Joni [DAS]:</t>
        </r>
        <r>
          <rPr>
            <sz val="11"/>
            <color indexed="81"/>
            <rFont val="Tahoma"/>
            <family val="2"/>
          </rPr>
          <t xml:space="preserve">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MM26 9497.00 (858.68) Please increase the PM time budget by $10,000.00 to $10,000.00  from the unallocated budget.
MM26 9514.00 (1,400.83) Please increase the PM time budget by $2,000.00 to $2,000.00 from the unallocated budget.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A4A3E45B-8EB6-48CD-8BFC-A8A94E055631}">
      <text>
        <r>
          <rPr>
            <b/>
            <sz val="9"/>
            <color indexed="81"/>
            <rFont val="Tahoma"/>
            <family val="2"/>
          </rPr>
          <t>Jurgenson, John [DAS]:</t>
        </r>
        <r>
          <rPr>
            <sz val="9"/>
            <color indexed="81"/>
            <rFont val="Tahoma"/>
            <family val="2"/>
          </rPr>
          <t xml:space="preserve">
Re: FY 26 9997.26 PM Time
Inbox
Cross, Charlee
8:33 AM (1 minute ago)
to me
Yes.  Thank you!
Charlee Cross
Chief Operating Officer 
General Services Enterprise 
Iowa Department of Administrative Services
109 SE 13th Street
Des Moines, Iowa 50319
515-725-2281 (desk)
515-802-1653 (mobile)
charlee.cross@iowa.gov 
https://das.iowa.gov
On Thu, Jul 3, 2025 at 8:25 AM Jurgenson, John &lt;john.jurgenson@iowa.gov&gt; wrote:
Hello Charlee
May I have permission to set up a 9997.26 FY26 PM time budget as we have in the past with a $75,000.00 budget?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9E61930E-3789-4B30-95DB-58A8F9924ED2}">
      <text>
        <r>
          <rPr>
            <b/>
            <sz val="11"/>
            <color indexed="81"/>
            <rFont val="Tahoma"/>
            <family val="2"/>
          </rPr>
          <t>Huggins, Joni [DAS]:</t>
        </r>
        <r>
          <rPr>
            <sz val="11"/>
            <color indexed="81"/>
            <rFont val="Tahoma"/>
            <family val="2"/>
          </rPr>
          <t xml:space="preserve">
Re: FY26 - New Project Set Up Request in MM26
$Joni
Tonyan, Brad
Wed, Jul 16, 2:29 PM (16 hours ago)
to me
Joni,
Yes, please see below:
9483.00 - Set up PM time of $75,000
9484.00 - Set up PM time of $20,000
Thank you,
Brad Tonyan, CPM, 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CE74B7B-3D4F-431C-8A86-5908EA6A01EB}">
      <text>
        <r>
          <rPr>
            <b/>
            <sz val="11"/>
            <color indexed="81"/>
            <rFont val="Tahoma"/>
            <family val="2"/>
          </rPr>
          <t>Huggins, Joni [DAS]:</t>
        </r>
        <r>
          <rPr>
            <sz val="11"/>
            <color indexed="81"/>
            <rFont val="Tahoma"/>
            <family val="2"/>
          </rPr>
          <t xml:space="preserve">
Re: FY26 - New Project Set Up Request in MM26
$Joni
Tonyan, Brad
Wed, Jul 16, 2:29 PM (16 hours ago)
to me
Joni,
Yes, please see below:
9483.00 - Set up PM time of $75,000
9484.00 - Set up PM time of $20,000
Thank you,
Brad Tonyan, CPM, LEED Green Assoc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41EB8BA-92F9-49CA-B7C8-F5592ED92285}">
      <text>
        <r>
          <rPr>
            <b/>
            <sz val="11"/>
            <color indexed="81"/>
            <rFont val="Tahoma"/>
            <family val="2"/>
          </rPr>
          <t>Huggins, Joni [DAS]:</t>
        </r>
        <r>
          <rPr>
            <sz val="11"/>
            <color indexed="81"/>
            <rFont val="Tahoma"/>
            <family val="2"/>
          </rPr>
          <t xml:space="preserve">
Shimp, Oliver
Mon, Nov 10,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Re: February PM Time Posted
$Joni
Shimp, Oliver
Mar 13, 2026, 8:26 AM (3 days ago)
to me
Good Morning, 
Thank for you the list, could you please make the following adjustments?
DA25 9358.01  $(361.98)
Please move $5,000.00 from unallocated to PM Time
DA26 9534.00  $(298.97)
Please move $5,000.00 from unallocated to PM Time
MM24 9226.00 $(290.03)
Please move $5,000.00 from unallocated to PM Time.
MM24 9392.00 $(264.99)
Please move $3,000 from unallocated to PM Time
MM25 9451.00 $(130.91)
Please move $2,000.00 from unallocated to PM Time
MM26 9491.00 $(646.75)
Please move $5,000.00 from unallocated to PM Time
MM26 9512.00 $(560.94)
Please move $5,000 from unallocated to PM Time
X674  9464.00  $(96.94)
I'll have Brent add additional $100 to this project.
Thank you,
Oliver Shimp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46B405F1-F429-4FC2-8384-655661E0CEAE}">
      <text>
        <r>
          <rPr>
            <b/>
            <sz val="11"/>
            <color indexed="81"/>
            <rFont val="Tahoma"/>
            <family val="2"/>
          </rPr>
          <t>Huggins, Joni [DAS]:</t>
        </r>
        <r>
          <rPr>
            <sz val="11"/>
            <color indexed="81"/>
            <rFont val="Tahoma"/>
            <family val="2"/>
          </rPr>
          <t xml:space="preserve">
Re: MM26 Projects Set Up
$Joni
Wheelock, Geoff
Oct 3, 2025, 12:22 PM (3 days ago)
to me
Good afternoon,
I apologize for having to ask to make this change. Can you please make the following changes:
Increase budget for 9474.00 to be $1,500,000
Close 9495 - This project number can be reused for a different project we will be looking to set up in Q3. If you would like to know which project so you don't have to close the job please let me know. 
The reason for this change is because 9474 is the design portion of 9495 and it makes more sense to continue utilizing the remaining excess of MM25 for the continuation of that project, freeing up MM26 funds for true FY26 project setups. 
If you have any questions please feel free to reach out. 
Thank you,
Geoff Wheelock
Bureau Chief, State Design &amp; Construction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B76521FF-C3CC-4ACC-A875-B53898A462F2}">
      <text>
        <r>
          <rPr>
            <b/>
            <sz val="11"/>
            <color indexed="81"/>
            <rFont val="Tahoma"/>
            <family val="2"/>
          </rPr>
          <t>Huggins, Joni [DAS]:</t>
        </r>
        <r>
          <rPr>
            <sz val="11"/>
            <color indexed="81"/>
            <rFont val="Tahoma"/>
            <family val="2"/>
          </rPr>
          <t xml:space="preserve">
PM Time Budgets to Establish
$Joni
Elliott, Jennie
Nov 2, 2025,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EB4BE836-6D44-4F51-A565-6AB16BCF15D6}">
      <text>
        <r>
          <rPr>
            <b/>
            <sz val="11"/>
            <color indexed="81"/>
            <rFont val="Tahoma"/>
            <family val="2"/>
          </rPr>
          <t>Huggins, Joni [DAS]:</t>
        </r>
        <r>
          <rPr>
            <sz val="11"/>
            <color indexed="81"/>
            <rFont val="Tahoma"/>
            <family val="2"/>
          </rPr>
          <t xml:space="preserve">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MM26 9497.00 (858.68) Please increase the PM time budget by $10,000.00 to $10,000.00  from the unallocated budget.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CB092113-D862-4AA6-A457-CBF0E1F5EEAD}">
      <text>
        <r>
          <rPr>
            <b/>
            <sz val="11"/>
            <color indexed="81"/>
            <rFont val="Tahoma"/>
            <family val="2"/>
          </rPr>
          <t>Huggins, Joni [DAS]:</t>
        </r>
        <r>
          <rPr>
            <sz val="11"/>
            <color indexed="81"/>
            <rFont val="Tahoma"/>
            <family val="2"/>
          </rPr>
          <t xml:space="preserve">
9498.00 - DAS TH Parking Lot Retaining Wall Repairs - MM26 Budget
$Joni
Trower, James
9:19 AM (3 hours ago)
to me
Finance -
Please add $35,000 in MM26 funds to project 9498.00. Of that $35,000, please increase PM Time by $2,000.
Thanks,
James Trower</t>
        </r>
      </text>
    </comment>
  </commentList>
</comments>
</file>

<file path=xl/sharedStrings.xml><?xml version="1.0" encoding="utf-8"?>
<sst xmlns="http://schemas.openxmlformats.org/spreadsheetml/2006/main" count="4213" uniqueCount="748">
  <si>
    <t>Major Program xxxx</t>
  </si>
  <si>
    <t>Recap</t>
  </si>
  <si>
    <t xml:space="preserve"> </t>
  </si>
  <si>
    <t>TRANSFERS</t>
  </si>
  <si>
    <t>CONTRACTED</t>
  </si>
  <si>
    <t>EXPENDED</t>
  </si>
  <si>
    <t>CONTRACTED,  NOT EXPENDED</t>
  </si>
  <si>
    <t>UNDER(OVER)
Budget</t>
  </si>
  <si>
    <t>Budget</t>
  </si>
  <si>
    <t>VendorA</t>
  </si>
  <si>
    <t>PM TIME</t>
  </si>
  <si>
    <t>Misc.</t>
  </si>
  <si>
    <t>Total Project Cost</t>
  </si>
  <si>
    <t>Vendor A</t>
  </si>
  <si>
    <t>Vendor:</t>
  </si>
  <si>
    <t>Activity code:</t>
  </si>
  <si>
    <t>Doc
  #</t>
  </si>
  <si>
    <t>Date</t>
  </si>
  <si>
    <t>Activity</t>
  </si>
  <si>
    <t>Contract 
&amp; C.O.'s</t>
  </si>
  <si>
    <t>Contract
Total</t>
  </si>
  <si>
    <t>Payment 
Amount</t>
  </si>
  <si>
    <t>Total
Paid</t>
  </si>
  <si>
    <t>Balance</t>
  </si>
  <si>
    <t>Totals:</t>
  </si>
  <si>
    <t>Internal documents</t>
  </si>
  <si>
    <t>eDAS</t>
  </si>
  <si>
    <t>Object Code</t>
  </si>
  <si>
    <t>Activity Code</t>
  </si>
  <si>
    <t>Budget amount</t>
  </si>
  <si>
    <t>Misc</t>
  </si>
  <si>
    <t>Do not code PM, EADOC, or Builders Risk here</t>
  </si>
  <si>
    <t xml:space="preserve">Doc #  </t>
  </si>
  <si>
    <t>Invoice</t>
  </si>
  <si>
    <t>Status</t>
  </si>
  <si>
    <t>PROJECT NUMBER</t>
  </si>
  <si>
    <t>PROJECT TITLE</t>
  </si>
  <si>
    <t>Project Mgr.</t>
  </si>
  <si>
    <t>Vertical Infrastructure Project Allocation</t>
  </si>
  <si>
    <t>Additional Funds</t>
  </si>
  <si>
    <t>Total Project Budget</t>
  </si>
  <si>
    <t>Contracted Amount</t>
  </si>
  <si>
    <t>Expended Amount</t>
  </si>
  <si>
    <t>Contracted Not Expended</t>
  </si>
  <si>
    <t>Not                Encumbered</t>
  </si>
  <si>
    <t>Sales Tax Refunds</t>
  </si>
  <si>
    <t>Total Funds &amp; Sales Tax Refunds</t>
  </si>
  <si>
    <t>.</t>
  </si>
  <si>
    <t>Less: Total Assigned</t>
  </si>
  <si>
    <t>Total Unassigned / Unallocated</t>
  </si>
  <si>
    <t>Major Maintenance Projects</t>
  </si>
  <si>
    <t>hard code</t>
  </si>
  <si>
    <t>link to project recap</t>
  </si>
  <si>
    <t>link to this page budget column</t>
  </si>
  <si>
    <t>Funds Received</t>
  </si>
  <si>
    <t>Project Management Time</t>
  </si>
  <si>
    <t>Major Maintenance Totals</t>
  </si>
  <si>
    <t>Total funds not allocated to the projects listed above</t>
  </si>
  <si>
    <t>For these projects the recap budget page will link to the Vertical Infrastructure project allocation and not the Total Budget column</t>
  </si>
  <si>
    <t>Subtotal</t>
  </si>
  <si>
    <t>Total funds Available</t>
  </si>
  <si>
    <t>Total obligated by contract or PO</t>
  </si>
  <si>
    <t>Variance</t>
  </si>
  <si>
    <t>9997.26</t>
  </si>
  <si>
    <t>Acct. Codes-0017-335-MM26</t>
  </si>
  <si>
    <r>
      <t>Acct. Codes-0017-335-MM26-</t>
    </r>
    <r>
      <rPr>
        <b/>
        <sz val="11"/>
        <color indexed="10"/>
        <rFont val="Arial"/>
        <family val="2"/>
      </rPr>
      <t>xxxx</t>
    </r>
  </si>
  <si>
    <t>Acct. Codes-0017-335-MM26-xxxx</t>
  </si>
  <si>
    <t>Total:</t>
  </si>
  <si>
    <t>Project # 9997.26</t>
  </si>
  <si>
    <t>Program code 999726</t>
  </si>
  <si>
    <t>eDAS: 733L</t>
  </si>
  <si>
    <t>9483.00</t>
  </si>
  <si>
    <t>9484.00</t>
  </si>
  <si>
    <t>DVA IVH Dack and Malloy Building Roof Replacements</t>
  </si>
  <si>
    <t>ILEA JOH Hydraulic Elevator Replacement</t>
  </si>
  <si>
    <t>Brad T.</t>
  </si>
  <si>
    <t>Project # 9483.00</t>
  </si>
  <si>
    <t>Program code 948300</t>
  </si>
  <si>
    <t>Project Manager - Brad T.</t>
  </si>
  <si>
    <t>Major Program 4D02</t>
  </si>
  <si>
    <t>Project # 9484.00</t>
  </si>
  <si>
    <t>Program code 948400</t>
  </si>
  <si>
    <t>Major Program 4D03</t>
  </si>
  <si>
    <t>eDAS:  733Q</t>
  </si>
  <si>
    <t>eDAS:  733R</t>
  </si>
  <si>
    <t>Total Appropriation R52</t>
  </si>
  <si>
    <t>2024 Iowa Acts, Chapter 1155, Section 1 (FY2025)</t>
  </si>
  <si>
    <t>IET DAS202601115300001</t>
  </si>
  <si>
    <t>Finance Support for July 01-31, 2025</t>
  </si>
  <si>
    <t>DAS Support for July 01-31, 2025</t>
  </si>
  <si>
    <t>9491.00</t>
  </si>
  <si>
    <t>DOC 7 JD RTU #2 Replacement</t>
  </si>
  <si>
    <t>Oliver S.</t>
  </si>
  <si>
    <t>Project # 9491.00</t>
  </si>
  <si>
    <t>Program code 949100</t>
  </si>
  <si>
    <t>Project Manager - Oliver Shimp</t>
  </si>
  <si>
    <t>Major Program 4B01</t>
  </si>
  <si>
    <t>Shipping Code:</t>
  </si>
  <si>
    <t>eDAS:  911F</t>
  </si>
  <si>
    <t>Project Manager - Geoff W.</t>
  </si>
  <si>
    <t>Geoff W.</t>
  </si>
  <si>
    <t>CDE 33526246821</t>
  </si>
  <si>
    <t>Move expense to 9436.00</t>
  </si>
  <si>
    <t>Move expense to 9440.00</t>
  </si>
  <si>
    <t>Move expense to 9420.00</t>
  </si>
  <si>
    <t>DCI Group</t>
  </si>
  <si>
    <t>Acct. Codes-0017-335-MM26-9255</t>
  </si>
  <si>
    <t>Vendor:  00003025029</t>
  </si>
  <si>
    <t>RFP1821335228-DCI11012021</t>
  </si>
  <si>
    <t>Activity code:  CMGR</t>
  </si>
  <si>
    <t>PO 33526255901</t>
  </si>
  <si>
    <t>PO Procore</t>
  </si>
  <si>
    <t>CM Services</t>
  </si>
  <si>
    <t>Reimbursables</t>
  </si>
  <si>
    <t>PO 33526259901</t>
  </si>
  <si>
    <t>Shipping Code:  558</t>
  </si>
  <si>
    <t>OPN Architects</t>
  </si>
  <si>
    <t>Acct. Codes-0017-335-MM26-9260</t>
  </si>
  <si>
    <t>Vendor:  00003035830</t>
  </si>
  <si>
    <t>RFP#948400-01</t>
  </si>
  <si>
    <t>Activity code:  DSGN</t>
  </si>
  <si>
    <t>PO 33526259909</t>
  </si>
  <si>
    <t>Investigation &amp; Design Docs</t>
  </si>
  <si>
    <t>Construction Docs</t>
  </si>
  <si>
    <t>Bidding &amp; Negotiaion</t>
  </si>
  <si>
    <t>Construction Phase</t>
  </si>
  <si>
    <t>IET DAS202602115300001</t>
  </si>
  <si>
    <t>Finance Support for August 01-31, 2025</t>
  </si>
  <si>
    <t>DAS Support for August 01-31, 2025</t>
  </si>
  <si>
    <t>PRC 3352625PA5901</t>
  </si>
  <si>
    <t>Inv. 25-022 PC 01</t>
  </si>
  <si>
    <t>9494.00</t>
  </si>
  <si>
    <t>9495.00</t>
  </si>
  <si>
    <t>9496.00</t>
  </si>
  <si>
    <t>9497.00</t>
  </si>
  <si>
    <t>9498.00</t>
  </si>
  <si>
    <t>9499.00</t>
  </si>
  <si>
    <t>9500.00</t>
  </si>
  <si>
    <t>9501.00</t>
  </si>
  <si>
    <t>9502.00</t>
  </si>
  <si>
    <t>9503.00</t>
  </si>
  <si>
    <t>9504.00</t>
  </si>
  <si>
    <t>9505.00</t>
  </si>
  <si>
    <t>9506.00</t>
  </si>
  <si>
    <t>9507.00</t>
  </si>
  <si>
    <t>9508.00</t>
  </si>
  <si>
    <t>9509.00</t>
  </si>
  <si>
    <t>9510.00</t>
  </si>
  <si>
    <t>9511.00</t>
  </si>
  <si>
    <t>9512.00</t>
  </si>
  <si>
    <t>9513.00</t>
  </si>
  <si>
    <t>IDOE ISD Giangreco Hall Gutter, Dentil and Roof Repairs</t>
  </si>
  <si>
    <t>HHS IMHI Boiler #3 Replacement</t>
  </si>
  <si>
    <t>DOC NCCF Replace Windows in Education Building</t>
  </si>
  <si>
    <t>HHS IMHI Warehouse Roof Replacement</t>
  </si>
  <si>
    <t>DAS TH Parking Lot Retaining Wall Repairs</t>
  </si>
  <si>
    <t>IPBS 6535 Corporate Drive Parking Lot Replacement</t>
  </si>
  <si>
    <t>DOC MPCF Spill Containment for Diesel Tank</t>
  </si>
  <si>
    <t>DOC NCCF Air Handler Replacment and Condenser Coils Unit A and B</t>
  </si>
  <si>
    <t>HHS WRC CDC Freezer Repair</t>
  </si>
  <si>
    <t>HHS WRC Food Service Elevator Replacement</t>
  </si>
  <si>
    <t>DOC FDCF Sally Port Operator Replacement</t>
  </si>
  <si>
    <t>DOC IMCC Cooling Tower Replacement</t>
  </si>
  <si>
    <t>DOC FDCF Unit A Roof Replacement</t>
  </si>
  <si>
    <t>DOC FDCF Boone Unit Roof Replacement</t>
  </si>
  <si>
    <t>DOC FDCF Grove Unit Roof Replacement</t>
  </si>
  <si>
    <t>DPS P13 Upper Parking Lot Replacement</t>
  </si>
  <si>
    <t>IDOE IPBS 6450 Corporate Drive Repair Auditorium Exterior Fire Exit</t>
  </si>
  <si>
    <t>HHS CHMHI Tuckpointing Phase 2.2</t>
  </si>
  <si>
    <t>Jennie E.</t>
  </si>
  <si>
    <t>Oliver S.(JE)</t>
  </si>
  <si>
    <t>James T.</t>
  </si>
  <si>
    <t>Oliver S. (BA)</t>
  </si>
  <si>
    <t>Brandon A.</t>
  </si>
  <si>
    <t>Jennifer K.</t>
  </si>
  <si>
    <t>Geoff W(JK)</t>
  </si>
  <si>
    <t>Geoff W(JE)</t>
  </si>
  <si>
    <t>DOC MPCF Hot and Cold Water Mains Replacement</t>
  </si>
  <si>
    <t>DOC MPCF Perimeter Fence and Wagon Gates</t>
  </si>
  <si>
    <t>Project # 9494.00</t>
  </si>
  <si>
    <t>Project Manager - Jennie E.</t>
  </si>
  <si>
    <t>Project # 9495.00</t>
  </si>
  <si>
    <t>Program code 949500</t>
  </si>
  <si>
    <t>Project Manager - Oliver S. (JE)</t>
  </si>
  <si>
    <t>Program code 949400</t>
  </si>
  <si>
    <t>Major Program 4E02</t>
  </si>
  <si>
    <t>Major Program 4E19</t>
  </si>
  <si>
    <t>Project # 9496.00</t>
  </si>
  <si>
    <t>Program code 949600</t>
  </si>
  <si>
    <t>Major Program 4E01</t>
  </si>
  <si>
    <t>Project # 9497.00</t>
  </si>
  <si>
    <t>Program code 949700</t>
  </si>
  <si>
    <t>Project Manager - Oliver S.</t>
  </si>
  <si>
    <t>Project # 9498.00</t>
  </si>
  <si>
    <t>Program code 949800</t>
  </si>
  <si>
    <t>Major Program 4D04</t>
  </si>
  <si>
    <t>Project Manager - James T.</t>
  </si>
  <si>
    <t>Project # 9499.00</t>
  </si>
  <si>
    <t>Program code 949900</t>
  </si>
  <si>
    <t>Project Manager -  Oliver S (BA)</t>
  </si>
  <si>
    <t>Project # 9500.00</t>
  </si>
  <si>
    <t>Program code 950000</t>
  </si>
  <si>
    <t>Project Manager - Brandon A.</t>
  </si>
  <si>
    <t>Project # 9501.00</t>
  </si>
  <si>
    <t>Major Program 4F03</t>
  </si>
  <si>
    <t>Program code 950100</t>
  </si>
  <si>
    <t>Project # 9502.00</t>
  </si>
  <si>
    <t>Program code 950200</t>
  </si>
  <si>
    <t>Major Program 4F04</t>
  </si>
  <si>
    <t>Project # 9503.00</t>
  </si>
  <si>
    <t>Program code 950300</t>
  </si>
  <si>
    <t>Project Manager - Jennifer K.</t>
  </si>
  <si>
    <t>Project # 9504.00</t>
  </si>
  <si>
    <t>Program code 950400</t>
  </si>
  <si>
    <t>Project # 9505.00</t>
  </si>
  <si>
    <t>Program code 950500</t>
  </si>
  <si>
    <t>Project # 9506.00</t>
  </si>
  <si>
    <t>Program code 950600</t>
  </si>
  <si>
    <t>Project # 9507.00</t>
  </si>
  <si>
    <t>Program code 950700</t>
  </si>
  <si>
    <t>Project Manager - Geoff W.(JK)</t>
  </si>
  <si>
    <t>Project # 9508.00</t>
  </si>
  <si>
    <t>Program code 950800</t>
  </si>
  <si>
    <t>Project Manager - Geoff W.(JE)</t>
  </si>
  <si>
    <t>Project # 9509.00</t>
  </si>
  <si>
    <t>Program code 950900</t>
  </si>
  <si>
    <t>Project Manager - Geoff W. (JE)</t>
  </si>
  <si>
    <t>Project # 9510.00</t>
  </si>
  <si>
    <t>Program code 951000</t>
  </si>
  <si>
    <t>Project # 9511.00</t>
  </si>
  <si>
    <t>Program code 951100</t>
  </si>
  <si>
    <t>Major Program 4E12</t>
  </si>
  <si>
    <t>Project # 9512.00</t>
  </si>
  <si>
    <t>Program code 951200</t>
  </si>
  <si>
    <t>Project Manager -Oliver S. (BA)</t>
  </si>
  <si>
    <t>Project # 9513.00</t>
  </si>
  <si>
    <t>Program code 951300</t>
  </si>
  <si>
    <t>Major Program 4E10</t>
  </si>
  <si>
    <t>eDAS  734J</t>
  </si>
  <si>
    <t>eDAS  734K</t>
  </si>
  <si>
    <t>eDAS 734L</t>
  </si>
  <si>
    <t>eDAS 734M</t>
  </si>
  <si>
    <t>eDAS 734N</t>
  </si>
  <si>
    <t>eDAS  734O</t>
  </si>
  <si>
    <t>eDAS 734P</t>
  </si>
  <si>
    <t>eDAS 734Q</t>
  </si>
  <si>
    <t>eDAS 734R</t>
  </si>
  <si>
    <t>eDAS 734S</t>
  </si>
  <si>
    <t>eDAS 734T</t>
  </si>
  <si>
    <t>eDAS  734U</t>
  </si>
  <si>
    <t>eDAS 734V</t>
  </si>
  <si>
    <t>eDAS 734W</t>
  </si>
  <si>
    <t>eDAS 734X</t>
  </si>
  <si>
    <t>eDAS 734Y</t>
  </si>
  <si>
    <t>eDAS 734Z</t>
  </si>
  <si>
    <t>eDAS 735A</t>
  </si>
  <si>
    <t>eDAS 735B</t>
  </si>
  <si>
    <t>eDAS 735C</t>
  </si>
  <si>
    <t>C</t>
  </si>
  <si>
    <t>Closing Per Geoff Wheelock Email 10/03/25</t>
  </si>
  <si>
    <t>PO 33526279901</t>
  </si>
  <si>
    <t>McGough Construction</t>
  </si>
  <si>
    <t>Vendor:  00003193334</t>
  </si>
  <si>
    <t>RFP1821335228-McGough11012021</t>
  </si>
  <si>
    <t>9514.00</t>
  </si>
  <si>
    <t>DAS Union Sunday School Structural Investigation</t>
  </si>
  <si>
    <t>Project # 9514.00</t>
  </si>
  <si>
    <t>Program code 951400</t>
  </si>
  <si>
    <t>IET DAS202603115300001</t>
  </si>
  <si>
    <t>2507</t>
  </si>
  <si>
    <t>Finance Support for September 01-30, 2025</t>
  </si>
  <si>
    <t>DAS Support for September 01-30, 2025</t>
  </si>
  <si>
    <t>CDE 33526281901</t>
  </si>
  <si>
    <t>Moving cost from MM26 9495.00 to MM25 9474.00</t>
  </si>
  <si>
    <t>PRC 3352625PB5901</t>
  </si>
  <si>
    <t>Inv. 25-022 PC 02</t>
  </si>
  <si>
    <t>Project # XXXX.XX</t>
  </si>
  <si>
    <t>Program code XXXXXX</t>
  </si>
  <si>
    <t xml:space="preserve">Project Manager - </t>
  </si>
  <si>
    <t xml:space="preserve">Major Program </t>
  </si>
  <si>
    <t>eDAS:  735D</t>
  </si>
  <si>
    <t>Closed per PM 10/10/25</t>
  </si>
  <si>
    <t>Horizon Architecture</t>
  </si>
  <si>
    <t>Vendor:  00003108847</t>
  </si>
  <si>
    <t>SRVV5</t>
  </si>
  <si>
    <t>Shipping Code:  C16</t>
  </si>
  <si>
    <t>Story Construction</t>
  </si>
  <si>
    <t>Vendor:  00002110695</t>
  </si>
  <si>
    <t>RFP1821335228-Story11012021</t>
  </si>
  <si>
    <t>PO 33526288901</t>
  </si>
  <si>
    <t>Shipping Code: 556</t>
  </si>
  <si>
    <t>PO 33526289900</t>
  </si>
  <si>
    <t>SystemWorks</t>
  </si>
  <si>
    <t>Vendor:  00002144353</t>
  </si>
  <si>
    <t>MA 00521396C</t>
  </si>
  <si>
    <t>Activity code:  CNST</t>
  </si>
  <si>
    <t>PO 33526290900</t>
  </si>
  <si>
    <t>Shipping Code:  564</t>
  </si>
  <si>
    <t>PRC 3352625PA9901</t>
  </si>
  <si>
    <t>Inv. 25-021 PC 01</t>
  </si>
  <si>
    <t>Shipping Code:  570</t>
  </si>
  <si>
    <t>Shipping Code:  C21</t>
  </si>
  <si>
    <t>Shipping Code: 171</t>
  </si>
  <si>
    <t>KCL Engineering</t>
  </si>
  <si>
    <t>Vendor:  00002103747</t>
  </si>
  <si>
    <t>949100-01</t>
  </si>
  <si>
    <t>PO 33526296902</t>
  </si>
  <si>
    <t>Design Development Docs</t>
  </si>
  <si>
    <t>Bidding/Negotiation</t>
  </si>
  <si>
    <t>`</t>
  </si>
  <si>
    <t>RFP181335228-DCI11012021</t>
  </si>
  <si>
    <t>PO 33526301907</t>
  </si>
  <si>
    <t>PO 33526259900</t>
  </si>
  <si>
    <t>PRC 3352625PA9900</t>
  </si>
  <si>
    <t>Inv. 25-033 PC 01</t>
  </si>
  <si>
    <t>PO 33526308900</t>
  </si>
  <si>
    <t>Shipping Code:  178</t>
  </si>
  <si>
    <t>PO 33526287905</t>
  </si>
  <si>
    <t>PRC 3352625PA9909</t>
  </si>
  <si>
    <t>Inv. 25832000-1</t>
  </si>
  <si>
    <t>PRC 3352627PA9901</t>
  </si>
  <si>
    <t>Inv. 101368.015-PC01</t>
  </si>
  <si>
    <t>IET DAS202604115300001</t>
  </si>
  <si>
    <t>Finance Support for October 01-31, 2025</t>
  </si>
  <si>
    <t>DAS Support for October 01-31, 2025</t>
  </si>
  <si>
    <t>CDE 33526317909</t>
  </si>
  <si>
    <t>Move from DA26 9481.00</t>
  </si>
  <si>
    <t>PRC 3352625PC5901</t>
  </si>
  <si>
    <t>Inv. 25-022 PC 03</t>
  </si>
  <si>
    <t>PO 33526322901</t>
  </si>
  <si>
    <r>
      <t>Acct. Codes-0017-335-MM26-</t>
    </r>
    <r>
      <rPr>
        <b/>
        <sz val="11"/>
        <color indexed="10"/>
        <rFont val="Arial"/>
        <family val="2"/>
      </rPr>
      <t>9255</t>
    </r>
  </si>
  <si>
    <t>PO 33526323905</t>
  </si>
  <si>
    <t>PRC 3352625PB9900</t>
  </si>
  <si>
    <t>Inv. 25-033 PC 02</t>
  </si>
  <si>
    <t>PRC 3352630PA1907</t>
  </si>
  <si>
    <t>Inv. 9498.00 PC 01</t>
  </si>
  <si>
    <t>Genesis Architectural</t>
  </si>
  <si>
    <t>Vendor:  00002092152</t>
  </si>
  <si>
    <t>RFB948300-01</t>
  </si>
  <si>
    <t>PO 33526328905</t>
  </si>
  <si>
    <t>50% CD Design Phase</t>
  </si>
  <si>
    <t>100% Construction Docs</t>
  </si>
  <si>
    <t>Bidding Phase Services</t>
  </si>
  <si>
    <t>Construction Phase Services</t>
  </si>
  <si>
    <t>PO 33526329902</t>
  </si>
  <si>
    <t>Shipping Code:  171</t>
  </si>
  <si>
    <t>Closed per Geoff 11/25/25</t>
  </si>
  <si>
    <t>PRC 3352625PB9901</t>
  </si>
  <si>
    <t>Inv. 25-021 PC 02</t>
  </si>
  <si>
    <t>RFP949800-01</t>
  </si>
  <si>
    <t>PO 33526337908</t>
  </si>
  <si>
    <t>PRC 3352625PB9909</t>
  </si>
  <si>
    <t>Inv. 25832000-2</t>
  </si>
  <si>
    <t>9455.00</t>
  </si>
  <si>
    <t>IDOE ISD Giangreco Hall Water Infiltration Mitigation</t>
  </si>
  <si>
    <t>Jennie E</t>
  </si>
  <si>
    <t>Project Title</t>
  </si>
  <si>
    <t>Project # 9455.00</t>
  </si>
  <si>
    <t>Program code 945500</t>
  </si>
  <si>
    <t>Boyd Jones</t>
  </si>
  <si>
    <t>Vendor:  00003193325</t>
  </si>
  <si>
    <t>RFP1821335228-BoydJones11012021</t>
  </si>
  <si>
    <t>PO 33526342905</t>
  </si>
  <si>
    <t>eDAS  735L</t>
  </si>
  <si>
    <t>PRC 3352627PB9901</t>
  </si>
  <si>
    <t>Inv. 101368.015-PC02</t>
  </si>
  <si>
    <t>PO 33526344905</t>
  </si>
  <si>
    <t>Shipping Code: 548</t>
  </si>
  <si>
    <t>Beeline &amp; Blue V#(00002108204)</t>
  </si>
  <si>
    <t>PRC 33526345900</t>
  </si>
  <si>
    <t>9500</t>
  </si>
  <si>
    <t>CNST</t>
  </si>
  <si>
    <t>Inv. INV054322</t>
  </si>
  <si>
    <t>IET DAS202605115300001</t>
  </si>
  <si>
    <t>Finance Support for November 1-30, 2025</t>
  </si>
  <si>
    <t>DAS Support for November 1-30, 2025</t>
  </si>
  <si>
    <t>PRC 33526356903</t>
  </si>
  <si>
    <t>Rapids Reproductions V#(00002111375)</t>
  </si>
  <si>
    <t>Inv. INVCL2382</t>
  </si>
  <si>
    <t>PRC 3352625PD5901</t>
  </si>
  <si>
    <t>Inv. 25-022 PC 04</t>
  </si>
  <si>
    <t>PRC 3352625PC9901</t>
  </si>
  <si>
    <t>Inv. 25-021 PC 03</t>
  </si>
  <si>
    <t>Modus Engineering</t>
  </si>
  <si>
    <t>Vendor:  00003034025</t>
  </si>
  <si>
    <t>RFP950200-01</t>
  </si>
  <si>
    <t>PO 33526357904</t>
  </si>
  <si>
    <t>PRC 3352629PA6902</t>
  </si>
  <si>
    <t>Inv. 13053</t>
  </si>
  <si>
    <t>PRC 3352625PC9900</t>
  </si>
  <si>
    <t>Inv. 25-033 PC 03</t>
  </si>
  <si>
    <t>PRC 3352630PA8900</t>
  </si>
  <si>
    <t>Inv. 35080</t>
  </si>
  <si>
    <t>GTG Construction</t>
  </si>
  <si>
    <t>Vendor:  00003032746</t>
  </si>
  <si>
    <t>Activity code:  BRUM</t>
  </si>
  <si>
    <t>PO 33526363904</t>
  </si>
  <si>
    <t>PRC 3352630PB1907</t>
  </si>
  <si>
    <t>Inv. 9498.00 PC 02</t>
  </si>
  <si>
    <t>McKinnis Roofing &amp; Sheet Metal</t>
  </si>
  <si>
    <t>Shipping Code:  231A</t>
  </si>
  <si>
    <t>PRC 3352634PA2905</t>
  </si>
  <si>
    <t>Inv. 9499.00-01</t>
  </si>
  <si>
    <t>Cannon Moss Brygger Architects</t>
  </si>
  <si>
    <t>CMB Architects</t>
  </si>
  <si>
    <t>Vendor:  00003050901</t>
  </si>
  <si>
    <t>950800-001</t>
  </si>
  <si>
    <t>PO 33526007909</t>
  </si>
  <si>
    <t>Construction Documents</t>
  </si>
  <si>
    <t>Bidding Assistance</t>
  </si>
  <si>
    <t>Kezlo Group</t>
  </si>
  <si>
    <t>Vendor:  00003234487</t>
  </si>
  <si>
    <t>RFP951300-01</t>
  </si>
  <si>
    <t>PO 33526007911</t>
  </si>
  <si>
    <t>50% CD's</t>
  </si>
  <si>
    <t>100% CD's</t>
  </si>
  <si>
    <t>Bidding/Negoitation</t>
  </si>
  <si>
    <t>Shive Hattery</t>
  </si>
  <si>
    <t>Vendor:  00002108803</t>
  </si>
  <si>
    <t>950500-01</t>
  </si>
  <si>
    <t>PO 33526008908</t>
  </si>
  <si>
    <t>Schematic Design Docs</t>
  </si>
  <si>
    <t>Schumacher Elevator</t>
  </si>
  <si>
    <t>Vendor:  00002108471</t>
  </si>
  <si>
    <t>RFB #948400-01</t>
  </si>
  <si>
    <t>PO 33526009905</t>
  </si>
  <si>
    <t>PRC 3352627PC9901</t>
  </si>
  <si>
    <t>Inv. 101368.015-PC03</t>
  </si>
  <si>
    <t>PRC 3352625PC9909</t>
  </si>
  <si>
    <t>Inv. 25832000-3</t>
  </si>
  <si>
    <t>Larson Engineering</t>
  </si>
  <si>
    <t>Vendor:  VS000002162</t>
  </si>
  <si>
    <t>949900-01</t>
  </si>
  <si>
    <t>IET DAS202606115300001</t>
  </si>
  <si>
    <t>Finance Support for December 1-31, 2025</t>
  </si>
  <si>
    <t>DAS Support for December 1-31, 2025</t>
  </si>
  <si>
    <t>Advanced Environmental V#(00002125877)</t>
  </si>
  <si>
    <t>Inv. 12418</t>
  </si>
  <si>
    <t>PRC 33526014910</t>
  </si>
  <si>
    <t>PRC 3352628PA9900</t>
  </si>
  <si>
    <t>Inv. 35121</t>
  </si>
  <si>
    <t>ECS Midwest, LLC</t>
  </si>
  <si>
    <t>ECS Midwest</t>
  </si>
  <si>
    <t>Vendor:  00003234598</t>
  </si>
  <si>
    <t>949700-01</t>
  </si>
  <si>
    <t>Bid/Negotiation Phase</t>
  </si>
  <si>
    <t>PO 33526020905</t>
  </si>
  <si>
    <t>PO 33526020906</t>
  </si>
  <si>
    <t>PRC 3352630PB8900</t>
  </si>
  <si>
    <t>Inv. 35120</t>
  </si>
  <si>
    <t>PRC 3352634PA4905</t>
  </si>
  <si>
    <t>Inv. 9513.00 PC 01</t>
  </si>
  <si>
    <t>PRC 3352625PE5901</t>
  </si>
  <si>
    <t>Inv. 25-022 PC 05 FINAL</t>
  </si>
  <si>
    <t>FINAL</t>
  </si>
  <si>
    <t>Inv. 2693264</t>
  </si>
  <si>
    <t>PRC 33526021912</t>
  </si>
  <si>
    <t>ACT Group V#(00002134218)</t>
  </si>
  <si>
    <t>PRC 33526022905</t>
  </si>
  <si>
    <t>Inv. INVCL2444</t>
  </si>
  <si>
    <t>PRC 3352628PA8901</t>
  </si>
  <si>
    <t>Inv. 35119</t>
  </si>
  <si>
    <t>PRC 3352625PD9900</t>
  </si>
  <si>
    <t>Inv. 25-033 PC 04</t>
  </si>
  <si>
    <t>PO 33526023912</t>
  </si>
  <si>
    <t>Topographic Survey</t>
  </si>
  <si>
    <t>Geotechnical Investigation</t>
  </si>
  <si>
    <t>Design Development</t>
  </si>
  <si>
    <t>Shipping Code:  220</t>
  </si>
  <si>
    <t>PO 33526023914</t>
  </si>
  <si>
    <t>DOC NCCF Air Handler Replacement and Condenser Coils Unit A and B</t>
  </si>
  <si>
    <t>Shipping Code:  177</t>
  </si>
  <si>
    <t>Project Manager - Jennie E</t>
  </si>
  <si>
    <t>PO 33526023915</t>
  </si>
  <si>
    <t>PRC 3352630PC1907</t>
  </si>
  <si>
    <t>Inv. 9498.00 PC 03</t>
  </si>
  <si>
    <t>PRC 3352625PD9901</t>
  </si>
  <si>
    <t>Inv. 25-021 PC 04</t>
  </si>
  <si>
    <t>CO #1</t>
  </si>
  <si>
    <t>PRC 3352635PA7904</t>
  </si>
  <si>
    <t>Inv. 22640</t>
  </si>
  <si>
    <t>Samuels Group</t>
  </si>
  <si>
    <t>Vendor:  00003033402</t>
  </si>
  <si>
    <t>RFP1821335228-Samuels11012021</t>
  </si>
  <si>
    <t>PO 33526029913</t>
  </si>
  <si>
    <t>Reimbursables (Hotels, Mileage, Meals)</t>
  </si>
  <si>
    <t>Reimbursables(Temp Trailer $600 monthly)</t>
  </si>
  <si>
    <t>Reimbursables(Temp Power Utilities)</t>
  </si>
  <si>
    <t>4% Samuels GroupFee</t>
  </si>
  <si>
    <t>McKinnis Roofing</t>
  </si>
  <si>
    <t>Activity code:  BRIN</t>
  </si>
  <si>
    <t>PO 33526002900</t>
  </si>
  <si>
    <t>RFB945500-01</t>
  </si>
  <si>
    <t>Vendor:  00003217305</t>
  </si>
  <si>
    <t>PO 33526030910</t>
  </si>
  <si>
    <t>PRC 3352602PA0906</t>
  </si>
  <si>
    <t>Inv. 9505.00-01</t>
  </si>
  <si>
    <t>9440.01</t>
  </si>
  <si>
    <t>DAS CC Historical Building Elevators Replacement PH1</t>
  </si>
  <si>
    <t>Project # 9440.01</t>
  </si>
  <si>
    <t>Program code 944001</t>
  </si>
  <si>
    <t>Project Manager - Brad T</t>
  </si>
  <si>
    <t>9519.00</t>
  </si>
  <si>
    <t>HHS IMHI Infirmary Building Roof Repair</t>
  </si>
  <si>
    <t>DPS D1 1333 Ohio Roof Replacement</t>
  </si>
  <si>
    <t>9521.00</t>
  </si>
  <si>
    <t>9524.00</t>
  </si>
  <si>
    <t>DOC ASP SallyPort Tunnel &amp; Living Unit B Tunnel Repair</t>
  </si>
  <si>
    <t>HHS CHMHI Four Corners Elevator Replacement</t>
  </si>
  <si>
    <t>9527.00</t>
  </si>
  <si>
    <t>9529.00</t>
  </si>
  <si>
    <t>9530.00</t>
  </si>
  <si>
    <t>HHS CHMHI Wirth Hall Tunnel Repairs</t>
  </si>
  <si>
    <t>DOC FDCF Unit L Pre-Cast Sealant &amp; Warehouse W Freezer Floor Repair</t>
  </si>
  <si>
    <t>Project # 9519.00</t>
  </si>
  <si>
    <t>Program code 951900</t>
  </si>
  <si>
    <t>Project # 9521.00</t>
  </si>
  <si>
    <t>Program code 952100</t>
  </si>
  <si>
    <t>Major Program  4E02</t>
  </si>
  <si>
    <t>Project # 9524.00</t>
  </si>
  <si>
    <t>Program code 952400</t>
  </si>
  <si>
    <t>Project Manager - Oliver S</t>
  </si>
  <si>
    <t>Project # 9527.00</t>
  </si>
  <si>
    <t>Program code 952700</t>
  </si>
  <si>
    <t>Project Manager - Brandon A</t>
  </si>
  <si>
    <t>Project # 9529.00</t>
  </si>
  <si>
    <t>Program code 952900</t>
  </si>
  <si>
    <t>Major Program 4G01</t>
  </si>
  <si>
    <t>Project # 9530.00</t>
  </si>
  <si>
    <t>Program code 953000</t>
  </si>
  <si>
    <t>eDAS 911I</t>
  </si>
  <si>
    <t>eDAS 911J</t>
  </si>
  <si>
    <t>eDAS 911L</t>
  </si>
  <si>
    <t>eDAS 911O</t>
  </si>
  <si>
    <t>eDAS  911R</t>
  </si>
  <si>
    <t>eDAS  911T</t>
  </si>
  <si>
    <t>eDAS 911U</t>
  </si>
  <si>
    <t>DCI Group (2)</t>
  </si>
  <si>
    <t>PO 33526033911</t>
  </si>
  <si>
    <t>PRC 3352636PA3904</t>
  </si>
  <si>
    <t>Retainage</t>
  </si>
  <si>
    <t>Inv. 9484.00-001</t>
  </si>
  <si>
    <t>PRC 3352602PA9913</t>
  </si>
  <si>
    <t>Inv. 7850.51945500</t>
  </si>
  <si>
    <t>Inv. INV054777</t>
  </si>
  <si>
    <t>PRC 33526034910</t>
  </si>
  <si>
    <t>Bolton And Menk</t>
  </si>
  <si>
    <t>Bolton and Menk</t>
  </si>
  <si>
    <t>Vendor:  00002104085</t>
  </si>
  <si>
    <t>RFP951100-01</t>
  </si>
  <si>
    <t>PO 33526034918</t>
  </si>
  <si>
    <t>Shipping Code:  859</t>
  </si>
  <si>
    <r>
      <t>Acct. Codes-0017-335-MM26-</t>
    </r>
    <r>
      <rPr>
        <b/>
        <sz val="11"/>
        <color indexed="10"/>
        <rFont val="Arial"/>
        <family val="2"/>
      </rPr>
      <t>9260</t>
    </r>
  </si>
  <si>
    <t>RFP950000-01</t>
  </si>
  <si>
    <t>PO 33526034919</t>
  </si>
  <si>
    <t>PRC 3352602PB0906</t>
  </si>
  <si>
    <t>Inv. 9505.00-02</t>
  </si>
  <si>
    <t>PRC 3352600PA7909</t>
  </si>
  <si>
    <t>Inv. 66908</t>
  </si>
  <si>
    <t>IET DAS202607115300001</t>
  </si>
  <si>
    <t>Finance Support for January 1-31, 2026</t>
  </si>
  <si>
    <t>DAS Support for January 1-31, 2026</t>
  </si>
  <si>
    <t>PRC 3352602PA3915</t>
  </si>
  <si>
    <t>Inv. 101537.004PC-01</t>
  </si>
  <si>
    <t>PRC 3352625PD9909</t>
  </si>
  <si>
    <t>Inv. 25832000-4</t>
  </si>
  <si>
    <t>PRC 3352632PA2901</t>
  </si>
  <si>
    <t>Inv. 101537.003-PC01</t>
  </si>
  <si>
    <t>PRC 3352632PA3905</t>
  </si>
  <si>
    <t>Inv. 101537.002-PC01</t>
  </si>
  <si>
    <t>PRC 3352630PD1907</t>
  </si>
  <si>
    <t>Inv. 9498.00 PC 04</t>
  </si>
  <si>
    <t>PRC 3352634PB2905</t>
  </si>
  <si>
    <t>Inv. 9499.00-02</t>
  </si>
  <si>
    <t>PRC 3352634PB4905</t>
  </si>
  <si>
    <t>Inv. 9513.00 PC 02</t>
  </si>
  <si>
    <t>PRC 3352628PA7905</t>
  </si>
  <si>
    <t>Inv. 9514.00-01</t>
  </si>
  <si>
    <t>PRC 3352627PD9901</t>
  </si>
  <si>
    <t>Inv. 101368.015-PC04</t>
  </si>
  <si>
    <t>Terracon Consultants</t>
  </si>
  <si>
    <t>MA25049</t>
  </si>
  <si>
    <t>Vendor:  00002116513</t>
  </si>
  <si>
    <t>PO 33526049912</t>
  </si>
  <si>
    <t>Geotechnical Line3</t>
  </si>
  <si>
    <t>Soil Moisture Content Line2</t>
  </si>
  <si>
    <t>Soil Atterberg linits Line 2</t>
  </si>
  <si>
    <t>Labor Project Mngr Line 5</t>
  </si>
  <si>
    <t>Testing Tech Line 6</t>
  </si>
  <si>
    <t>Travel Line 7 300miles@.50</t>
  </si>
  <si>
    <t>Specialized Vehicles Line 8</t>
  </si>
  <si>
    <t>PRC 3352632PA9902</t>
  </si>
  <si>
    <t>Inv. 101537.001-PC01</t>
  </si>
  <si>
    <t>PRC 3352628PB8901</t>
  </si>
  <si>
    <t>Inv. 35153</t>
  </si>
  <si>
    <t>PRC 3352602PA3912</t>
  </si>
  <si>
    <t>PRC 3352633PA7908</t>
  </si>
  <si>
    <t>Inv. 24853006-1</t>
  </si>
  <si>
    <t>PRC 3352630PC8900</t>
  </si>
  <si>
    <t>Inv. 35154</t>
  </si>
  <si>
    <t>PO 33526054910</t>
  </si>
  <si>
    <t>Shipping Code:  1515</t>
  </si>
  <si>
    <t>PRC 3352625PE9901</t>
  </si>
  <si>
    <t>Inv. 25-021 PC 05</t>
  </si>
  <si>
    <t>PRC 3352625PE9900</t>
  </si>
  <si>
    <t>Inv. 25-033 PC 05</t>
  </si>
  <si>
    <t>PRC 3352600PA7911</t>
  </si>
  <si>
    <t>Inv. 25-139.01</t>
  </si>
  <si>
    <t>PRC 3352602PA3914</t>
  </si>
  <si>
    <t>Inv. 101537.005PC-01</t>
  </si>
  <si>
    <t xml:space="preserve">Major Program:  4D03 </t>
  </si>
  <si>
    <t>PO 33526055913</t>
  </si>
  <si>
    <t>Modern Piping Services</t>
  </si>
  <si>
    <t>Modern Piping Service</t>
  </si>
  <si>
    <t>Vendor:  00002108094</t>
  </si>
  <si>
    <t>RFB949100-01</t>
  </si>
  <si>
    <t>PO 33526057908</t>
  </si>
  <si>
    <t>PRC 3352602PB9913</t>
  </si>
  <si>
    <t>Inv. 7850.52945500</t>
  </si>
  <si>
    <t>PRC 3352602PA0905</t>
  </si>
  <si>
    <t>RFP944000-01</t>
  </si>
  <si>
    <t>PO 33526062911</t>
  </si>
  <si>
    <t>Elevator #3</t>
  </si>
  <si>
    <t>50% CDs</t>
  </si>
  <si>
    <t>100% CDs</t>
  </si>
  <si>
    <t>Bid</t>
  </si>
  <si>
    <t>Construction Admin</t>
  </si>
  <si>
    <t>Sub Total</t>
  </si>
  <si>
    <t>Elevator #4</t>
  </si>
  <si>
    <t>Elevator #5</t>
  </si>
  <si>
    <t>Grand Total</t>
  </si>
  <si>
    <t>Shipping Code:  035</t>
  </si>
  <si>
    <t>DO 33526062913</t>
  </si>
  <si>
    <t>DO Procore</t>
  </si>
  <si>
    <t>Line 2 - Moisture test 12@15</t>
  </si>
  <si>
    <t>Line 2 - Atterberg Limits 2@130</t>
  </si>
  <si>
    <t>Line 3 - Standard Penetration 2@70</t>
  </si>
  <si>
    <t>Line 5 - Labor Project Mngr 25@130</t>
  </si>
  <si>
    <t>Line 6 - Labor Testing 20@70</t>
  </si>
  <si>
    <t>Line 7 - 150 Miles @.05</t>
  </si>
  <si>
    <t>Line 8 - Specialized vehicles 1@520</t>
  </si>
  <si>
    <t>RFP949600-01</t>
  </si>
  <si>
    <t>PO 33526062916</t>
  </si>
  <si>
    <t>Shipping Code: 177</t>
  </si>
  <si>
    <t>Inv. 2133019</t>
  </si>
  <si>
    <t>Inv. INVCL2576</t>
  </si>
  <si>
    <t>PRC 33526063911</t>
  </si>
  <si>
    <t xml:space="preserve"> Holmes Murphy V#(00002110543)</t>
  </si>
  <si>
    <t>Inv. 880061</t>
  </si>
  <si>
    <t>PRC 33526065905</t>
  </si>
  <si>
    <t>PRC 3352629PA0900</t>
  </si>
  <si>
    <t>Inv. 12814</t>
  </si>
  <si>
    <t>PRC 3352600PB7909</t>
  </si>
  <si>
    <t>Inv. 67011</t>
  </si>
  <si>
    <t>McGough Construction (2)</t>
  </si>
  <si>
    <t>PO 33526069901</t>
  </si>
  <si>
    <t>Fee</t>
  </si>
  <si>
    <t>PRC 3352602PB3914</t>
  </si>
  <si>
    <t>Inv. 101537.005PC-02</t>
  </si>
  <si>
    <t>PRC 3352602PB3915</t>
  </si>
  <si>
    <t>Inv. 101537.004PC-02</t>
  </si>
  <si>
    <t>PRC 3352625PE9909</t>
  </si>
  <si>
    <t>Inv. 25832000-5</t>
  </si>
  <si>
    <t>IET DAS202608115300001</t>
  </si>
  <si>
    <t>Finance Support for February 1-28, 2026</t>
  </si>
  <si>
    <t>DAS Support for February 1-28, 2026</t>
  </si>
  <si>
    <t>RFP950600-02</t>
  </si>
  <si>
    <t>PO 33526069909</t>
  </si>
  <si>
    <t xml:space="preserve">Construction Phase </t>
  </si>
  <si>
    <t>Modern Companies</t>
  </si>
  <si>
    <t>RFB950200-01</t>
  </si>
  <si>
    <t>PO 33526075914</t>
  </si>
  <si>
    <t>ATC Group V#(00002134218)</t>
  </si>
  <si>
    <t>Inv. 2701106</t>
  </si>
  <si>
    <t>PRC 33526076900</t>
  </si>
  <si>
    <t>PRC 3352630PD8900</t>
  </si>
  <si>
    <t>Inv. 35198</t>
  </si>
  <si>
    <t>PRC 3352603PA0910</t>
  </si>
  <si>
    <t>Inv. 35197</t>
  </si>
  <si>
    <t>PRC 3352600PA8908</t>
  </si>
  <si>
    <t>Inv. 2250021640-1</t>
  </si>
  <si>
    <t>PRC 3352602PC0906</t>
  </si>
  <si>
    <t>Inv. 9505.00-03</t>
  </si>
  <si>
    <t>PO 33526078911</t>
  </si>
  <si>
    <t>PRC 3352634PC2905</t>
  </si>
  <si>
    <t>Inv. 9499.00-03</t>
  </si>
  <si>
    <t>PRC 3352632PB3905</t>
  </si>
  <si>
    <t>Inv. 101537.002-PC02</t>
  </si>
  <si>
    <t>PRC 3352602PB0905</t>
  </si>
  <si>
    <t>Inv. 2141568</t>
  </si>
  <si>
    <t>PRC 3352628PC8901</t>
  </si>
  <si>
    <t>Inv. 35196</t>
  </si>
  <si>
    <t>Inv. 12622</t>
  </si>
  <si>
    <t>PRC 33526079901</t>
  </si>
  <si>
    <t>PRC 3352606PA2916</t>
  </si>
  <si>
    <t>Inv. 67012</t>
  </si>
  <si>
    <t>PRC 3352632PB2901</t>
  </si>
  <si>
    <t>Inv. 101537.003-PC02</t>
  </si>
  <si>
    <t>PRC 3352625PF9901</t>
  </si>
  <si>
    <t>Inv. 25-021 PC 06</t>
  </si>
  <si>
    <t>IMEG Corp</t>
  </si>
  <si>
    <t>Vendor:  00003224175</t>
  </si>
  <si>
    <t>RFP950100-01</t>
  </si>
  <si>
    <t>PO 33526082902</t>
  </si>
  <si>
    <t>Design Documents</t>
  </si>
  <si>
    <t>PRC 3352632PB9902</t>
  </si>
  <si>
    <t>Inv. 101537.001-PC02</t>
  </si>
  <si>
    <t>PRC 3352603PA4919</t>
  </si>
  <si>
    <t>Inv. 13599</t>
  </si>
  <si>
    <t>PRC 3352635PB7904</t>
  </si>
  <si>
    <t>Inv. 22756</t>
  </si>
  <si>
    <t>PRC 3352635PC7904</t>
  </si>
  <si>
    <t>Inv. 22880</t>
  </si>
  <si>
    <t>PRC 3352627PE9901</t>
  </si>
  <si>
    <t>Inv. 101368.015-PC05 - FINAL</t>
  </si>
  <si>
    <t>PRC 3352603PA4918</t>
  </si>
  <si>
    <t>Inv. 9511.00-01</t>
  </si>
  <si>
    <t>PRC 3352629PB6902</t>
  </si>
  <si>
    <t>Inv. 13260</t>
  </si>
  <si>
    <t>Inv. 30585</t>
  </si>
  <si>
    <t>Academy Roofing V#(00003010234)</t>
  </si>
  <si>
    <t>GAX 33526083901</t>
  </si>
  <si>
    <t>PRC 3352634PC4905</t>
  </si>
  <si>
    <t>Inv. 9513.00 PC 03</t>
  </si>
  <si>
    <t>PRC 3352625PF9900</t>
  </si>
  <si>
    <t>Inv. 25-033 PC 06 FINAL</t>
  </si>
  <si>
    <t>PRC 3352630PE1907</t>
  </si>
  <si>
    <t>Inv. 9498.00 PC 06</t>
  </si>
  <si>
    <t>950400-01</t>
  </si>
  <si>
    <t>PO 33526083910</t>
  </si>
  <si>
    <t>PRC 3352603PA3911</t>
  </si>
  <si>
    <t>Inv. 23-022 CA 01</t>
  </si>
  <si>
    <t>PRC 3352636PB3904</t>
  </si>
  <si>
    <t>Inv. 9484.00-002</t>
  </si>
  <si>
    <t>PRC 3352602PB3912</t>
  </si>
  <si>
    <t>Inv. 12626</t>
  </si>
  <si>
    <t>PRC 33526085904</t>
  </si>
  <si>
    <t>PRC 3352636PC3904</t>
  </si>
  <si>
    <t>Inv. 9484.00-003</t>
  </si>
  <si>
    <t>3% Retainage</t>
  </si>
  <si>
    <t>Boyd Jones (2)</t>
  </si>
  <si>
    <t>PO 33526089910</t>
  </si>
  <si>
    <t>Shipping Code:  225</t>
  </si>
  <si>
    <t>PO 33526090908</t>
  </si>
  <si>
    <t>Reimburables</t>
  </si>
  <si>
    <t>PO 33526023913</t>
  </si>
  <si>
    <t>prc 3352602PA3913</t>
  </si>
  <si>
    <t>Inv. 9512.00-01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</si>
</sst>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mm/dd/yy"/>
    <numFmt numFmtId="165" formatCode="&quot;$&quot;#,##0.00"/>
  </numFmts>
  <fonts count="40" x14ac:knownFonts="1">
    <font>
      <sz val="11"/>
      <color theme="1"/>
      <name val="Calibri"/>
      <family val="2"/>
      <scheme val="minor"/>
    </font>
    <font>
      <sz val="11"/>
      <color theme="1"/>
      <name val="Calibri"/>
      <family val="2"/>
      <scheme val="minor"/>
    </font>
    <font>
      <sz val="10"/>
      <name val="MS Sans Serif"/>
      <family val="2"/>
    </font>
    <font>
      <b/>
      <sz val="10"/>
      <name val="Arial"/>
      <family val="2"/>
    </font>
    <font>
      <b/>
      <sz val="12"/>
      <color indexed="10"/>
      <name val="Arial"/>
      <family val="2"/>
    </font>
    <font>
      <b/>
      <sz val="12"/>
      <name val="Arial"/>
      <family val="2"/>
    </font>
    <font>
      <sz val="10"/>
      <name val="Arial"/>
      <family val="2"/>
    </font>
    <font>
      <b/>
      <sz val="12"/>
      <color indexed="12"/>
      <name val="Arial"/>
      <family val="2"/>
    </font>
    <font>
      <b/>
      <sz val="12"/>
      <color indexed="52"/>
      <name val="Arial"/>
      <family val="2"/>
    </font>
    <font>
      <b/>
      <sz val="12"/>
      <color rgb="FF92D050"/>
      <name val="Arial"/>
      <family val="2"/>
    </font>
    <font>
      <b/>
      <sz val="12"/>
      <color indexed="14"/>
      <name val="Arial"/>
      <family val="2"/>
    </font>
    <font>
      <b/>
      <sz val="11"/>
      <name val="Arial"/>
      <family val="2"/>
    </font>
    <font>
      <b/>
      <sz val="12"/>
      <color rgb="FFFF0000"/>
      <name val="Arial"/>
      <family val="2"/>
    </font>
    <font>
      <b/>
      <sz val="11"/>
      <color indexed="10"/>
      <name val="Arial"/>
      <family val="2"/>
    </font>
    <font>
      <b/>
      <sz val="10"/>
      <color rgb="FFFF0000"/>
      <name val="Arial"/>
      <family val="2"/>
    </font>
    <font>
      <i/>
      <sz val="12"/>
      <color theme="3"/>
      <name val="Arial"/>
      <family val="2"/>
    </font>
    <font>
      <sz val="10"/>
      <color rgb="FFFF0000"/>
      <name val="Arial"/>
      <family val="2"/>
    </font>
    <font>
      <sz val="10"/>
      <color indexed="10"/>
      <name val="Arial"/>
      <family val="2"/>
    </font>
    <font>
      <sz val="10"/>
      <color theme="1"/>
      <name val="ARIAL"/>
      <family val="2"/>
    </font>
    <font>
      <b/>
      <i/>
      <sz val="12"/>
      <color rgb="FFFF0000"/>
      <name val="Arial"/>
      <family val="2"/>
    </font>
    <font>
      <b/>
      <sz val="10"/>
      <color rgb="FF00B0F0"/>
      <name val="Arial"/>
      <family val="2"/>
    </font>
    <font>
      <b/>
      <sz val="10"/>
      <color rgb="FF0070C0"/>
      <name val="Arial"/>
      <family val="2"/>
    </font>
    <font>
      <sz val="10"/>
      <color theme="1"/>
      <name val="Calibri"/>
      <family val="2"/>
      <scheme val="minor"/>
    </font>
    <font>
      <b/>
      <sz val="10"/>
      <color indexed="8"/>
      <name val="Arial"/>
      <family val="2"/>
    </font>
    <font>
      <b/>
      <sz val="10"/>
      <color theme="1"/>
      <name val="Arial"/>
      <family val="2"/>
    </font>
    <font>
      <sz val="10"/>
      <color indexed="8"/>
      <name val="Arial"/>
      <family val="2"/>
    </font>
    <font>
      <i/>
      <sz val="8"/>
      <color theme="0" tint="-0.249977111117893"/>
      <name val="Arial"/>
      <family val="2"/>
    </font>
    <font>
      <sz val="9"/>
      <color indexed="81"/>
      <name val="Tahoma"/>
      <family val="2"/>
    </font>
    <font>
      <b/>
      <sz val="9"/>
      <color indexed="81"/>
      <name val="Tahoma"/>
      <family val="2"/>
    </font>
    <font>
      <sz val="11"/>
      <color indexed="81"/>
      <name val="Tahoma"/>
      <family val="2"/>
    </font>
    <font>
      <b/>
      <sz val="11"/>
      <color indexed="81"/>
      <name val="Tahoma"/>
      <family val="2"/>
    </font>
    <font>
      <b/>
      <sz val="10"/>
      <color rgb="FF0000CC"/>
      <name val="Arial"/>
      <family val="2"/>
    </font>
    <font>
      <sz val="10"/>
      <name val="Calibri"/>
      <family val="2"/>
      <scheme val="minor"/>
    </font>
    <font>
      <b/>
      <sz val="11"/>
      <color rgb="FFFF0000"/>
      <name val="Arial"/>
      <family val="2"/>
    </font>
    <font>
      <i/>
      <sz val="12"/>
      <color rgb="FFFF0000"/>
      <name val="Arial"/>
      <family val="2"/>
    </font>
    <font>
      <sz val="10"/>
      <color rgb="FF000000"/>
      <name val="Arial"/>
      <family val="2"/>
    </font>
    <font>
      <sz val="11"/>
      <color rgb="FFFF0000"/>
      <name val="Calibri"/>
      <family val="2"/>
      <scheme val="minor"/>
    </font>
    <font>
      <i/>
      <sz val="12"/>
      <color theme="4" tint="-0.249977111117893"/>
      <name val="Arial"/>
      <family val="2"/>
    </font>
    <font>
      <b/>
      <sz val="10"/>
      <color indexed="10"/>
      <name val="Arial"/>
      <family val="2"/>
    </font>
    <font>
      <b/>
      <sz val="11"/>
      <color theme="1"/>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indexed="22"/>
        <bgColor indexed="64"/>
      </patternFill>
    </fill>
    <fill>
      <patternFill patternType="solid">
        <fgColor theme="9" tint="0.39997558519241921"/>
        <bgColor indexed="64"/>
      </patternFill>
    </fill>
    <fill>
      <patternFill patternType="solid">
        <fgColor rgb="FFFFFFFF"/>
        <bgColor indexed="64"/>
      </patternFill>
    </fill>
  </fills>
  <borders count="13">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6" fillId="0" borderId="0"/>
    <xf numFmtId="0" fontId="2" fillId="0" borderId="0"/>
    <xf numFmtId="44" fontId="6" fillId="0" borderId="0" applyFont="0" applyFill="0" applyBorder="0" applyAlignment="0" applyProtection="0"/>
  </cellStyleXfs>
  <cellXfs count="396">
    <xf numFmtId="0" fontId="0" fillId="0" borderId="0" xfId="0"/>
    <xf numFmtId="0" fontId="3" fillId="0" borderId="0" xfId="3" applyFont="1"/>
    <xf numFmtId="0" fontId="4" fillId="0" borderId="0" xfId="3" applyFont="1"/>
    <xf numFmtId="0" fontId="5" fillId="0" borderId="0" xfId="3" applyFont="1"/>
    <xf numFmtId="4" fontId="6" fillId="0" borderId="0" xfId="3" applyNumberFormat="1" applyFont="1"/>
    <xf numFmtId="0" fontId="6" fillId="0" borderId="0" xfId="3" applyFont="1"/>
    <xf numFmtId="164" fontId="7" fillId="0" borderId="0" xfId="4" applyNumberFormat="1" applyFont="1" applyFill="1"/>
    <xf numFmtId="1" fontId="8" fillId="0" borderId="0" xfId="4" applyNumberFormat="1" applyFont="1" applyAlignment="1">
      <alignment horizontal="left"/>
    </xf>
    <xf numFmtId="4" fontId="9" fillId="0" borderId="0" xfId="3" applyNumberFormat="1" applyFont="1"/>
    <xf numFmtId="40" fontId="10" fillId="0" borderId="0" xfId="4" applyNumberFormat="1" applyFont="1"/>
    <xf numFmtId="164" fontId="5" fillId="0" borderId="0" xfId="3" applyNumberFormat="1" applyFont="1"/>
    <xf numFmtId="164" fontId="5" fillId="0" borderId="0" xfId="4" applyNumberFormat="1" applyFont="1"/>
    <xf numFmtId="0" fontId="3" fillId="0" borderId="0" xfId="3" applyFont="1" applyBorder="1"/>
    <xf numFmtId="164" fontId="5" fillId="0" borderId="0" xfId="4" applyNumberFormat="1" applyFont="1" applyBorder="1"/>
    <xf numFmtId="0" fontId="5" fillId="0" borderId="0" xfId="3" applyFont="1" applyBorder="1" applyAlignment="1">
      <alignment wrapText="1"/>
    </xf>
    <xf numFmtId="4" fontId="3" fillId="0" borderId="0" xfId="3" applyNumberFormat="1" applyFont="1" applyBorder="1"/>
    <xf numFmtId="4" fontId="6" fillId="0" borderId="0" xfId="3" applyNumberFormat="1" applyFont="1" applyBorder="1"/>
    <xf numFmtId="0" fontId="6" fillId="0" borderId="0" xfId="3" applyFont="1" applyBorder="1"/>
    <xf numFmtId="0" fontId="3" fillId="0" borderId="1" xfId="3" applyFont="1" applyBorder="1"/>
    <xf numFmtId="0" fontId="3" fillId="0" borderId="1" xfId="3" applyFont="1" applyBorder="1" applyAlignment="1">
      <alignment horizontal="center" wrapText="1"/>
    </xf>
    <xf numFmtId="40" fontId="3" fillId="0" borderId="1" xfId="3" applyNumberFormat="1" applyFont="1" applyBorder="1"/>
    <xf numFmtId="40" fontId="3" fillId="0" borderId="1" xfId="3" applyNumberFormat="1" applyFont="1" applyBorder="1" applyAlignment="1">
      <alignment horizontal="center"/>
    </xf>
    <xf numFmtId="40" fontId="3" fillId="0" borderId="1" xfId="3" applyNumberFormat="1" applyFont="1" applyBorder="1" applyAlignment="1">
      <alignment horizontal="center" wrapText="1"/>
    </xf>
    <xf numFmtId="4" fontId="3" fillId="0" borderId="0" xfId="3" applyNumberFormat="1" applyFont="1" applyAlignment="1">
      <alignment horizontal="center"/>
    </xf>
    <xf numFmtId="40" fontId="6" fillId="0" borderId="0" xfId="3" applyNumberFormat="1" applyFont="1" applyAlignment="1">
      <alignment horizontal="center"/>
    </xf>
    <xf numFmtId="40" fontId="6" fillId="0" borderId="0" xfId="3" applyNumberFormat="1" applyFont="1"/>
    <xf numFmtId="0" fontId="6" fillId="0" borderId="0" xfId="3" applyFont="1" applyAlignment="1">
      <alignment horizontal="center"/>
    </xf>
    <xf numFmtId="4" fontId="6" fillId="0" borderId="0" xfId="3" applyNumberFormat="1" applyFont="1" applyAlignment="1">
      <alignment horizontal="center"/>
    </xf>
    <xf numFmtId="40" fontId="6" fillId="0" borderId="0" xfId="4" applyNumberFormat="1" applyFont="1" applyAlignment="1">
      <alignment horizontal="center"/>
    </xf>
    <xf numFmtId="40" fontId="6" fillId="0" borderId="0" xfId="3" applyNumberFormat="1" applyFont="1" applyBorder="1"/>
    <xf numFmtId="0" fontId="11" fillId="0" borderId="0" xfId="3" applyFont="1" applyBorder="1"/>
    <xf numFmtId="0" fontId="11" fillId="0" borderId="2" xfId="3" applyFont="1" applyBorder="1" applyAlignment="1">
      <alignment horizontal="left"/>
    </xf>
    <xf numFmtId="40" fontId="11" fillId="0" borderId="2" xfId="3" applyNumberFormat="1" applyFont="1" applyBorder="1"/>
    <xf numFmtId="40" fontId="4" fillId="0" borderId="0" xfId="4" applyNumberFormat="1" applyFont="1" applyBorder="1"/>
    <xf numFmtId="0" fontId="4" fillId="0" borderId="0" xfId="4" applyFont="1"/>
    <xf numFmtId="0" fontId="12" fillId="0" borderId="0" xfId="3" applyFont="1"/>
    <xf numFmtId="164" fontId="12" fillId="0" borderId="0" xfId="4" applyNumberFormat="1" applyFont="1"/>
    <xf numFmtId="0" fontId="10" fillId="0" borderId="0" xfId="4" applyFont="1"/>
    <xf numFmtId="49" fontId="10" fillId="0" borderId="0" xfId="4" applyNumberFormat="1" applyFont="1" applyBorder="1" applyAlignment="1">
      <alignment horizontal="left"/>
    </xf>
    <xf numFmtId="40" fontId="4" fillId="0" borderId="0" xfId="4" applyNumberFormat="1" applyFont="1"/>
    <xf numFmtId="164" fontId="11" fillId="0" borderId="0" xfId="0" applyNumberFormat="1" applyFont="1"/>
    <xf numFmtId="0" fontId="5" fillId="0" borderId="0" xfId="4" applyFont="1"/>
    <xf numFmtId="0" fontId="11" fillId="0" borderId="0" xfId="4" applyFont="1"/>
    <xf numFmtId="0" fontId="14" fillId="0" borderId="0" xfId="4" applyFont="1"/>
    <xf numFmtId="0" fontId="6" fillId="0" borderId="0" xfId="4" applyFont="1"/>
    <xf numFmtId="40" fontId="5" fillId="0" borderId="0" xfId="4" applyNumberFormat="1" applyFont="1" applyFill="1" applyBorder="1"/>
    <xf numFmtId="40" fontId="5" fillId="0" borderId="0" xfId="4" applyNumberFormat="1" applyFont="1" applyBorder="1"/>
    <xf numFmtId="0" fontId="5" fillId="0" borderId="0" xfId="4" applyFont="1" applyAlignment="1">
      <alignment horizontal="right"/>
    </xf>
    <xf numFmtId="40" fontId="15" fillId="0" borderId="0" xfId="4" applyNumberFormat="1" applyFont="1" applyFill="1" applyBorder="1"/>
    <xf numFmtId="0" fontId="16" fillId="0" borderId="0" xfId="4" applyFont="1"/>
    <xf numFmtId="40" fontId="14" fillId="0" borderId="0" xfId="4" applyNumberFormat="1" applyFont="1" applyFill="1" applyBorder="1"/>
    <xf numFmtId="164" fontId="5" fillId="0" borderId="0" xfId="4" applyNumberFormat="1" applyFont="1" applyBorder="1" applyAlignment="1">
      <alignment horizontal="left"/>
    </xf>
    <xf numFmtId="40" fontId="14" fillId="0" borderId="0" xfId="4" applyNumberFormat="1" applyFont="1"/>
    <xf numFmtId="40" fontId="14" fillId="0" borderId="0" xfId="4" applyNumberFormat="1" applyFont="1" applyBorder="1"/>
    <xf numFmtId="49" fontId="5" fillId="0" borderId="1" xfId="4" applyNumberFormat="1" applyFont="1" applyBorder="1" applyAlignment="1">
      <alignment horizontal="center" wrapText="1"/>
    </xf>
    <xf numFmtId="164" fontId="5" fillId="0" borderId="1" xfId="4" applyNumberFormat="1" applyFont="1" applyBorder="1" applyAlignment="1">
      <alignment horizontal="center"/>
    </xf>
    <xf numFmtId="0" fontId="5" fillId="0" borderId="1" xfId="4" applyFont="1" applyBorder="1" applyAlignment="1">
      <alignment horizontal="center"/>
    </xf>
    <xf numFmtId="40" fontId="5" fillId="0" borderId="1" xfId="4" applyNumberFormat="1" applyFont="1" applyBorder="1" applyAlignment="1">
      <alignment horizontal="center" wrapText="1"/>
    </xf>
    <xf numFmtId="49" fontId="6" fillId="0" borderId="0" xfId="4" applyNumberFormat="1" applyFont="1" applyBorder="1" applyAlignment="1"/>
    <xf numFmtId="164" fontId="6" fillId="0" borderId="0" xfId="4" applyNumberFormat="1" applyFont="1" applyAlignment="1">
      <alignment horizontal="center"/>
    </xf>
    <xf numFmtId="164" fontId="6" fillId="0" borderId="0" xfId="4" applyNumberFormat="1" applyFont="1" applyAlignment="1">
      <alignment horizontal="left"/>
    </xf>
    <xf numFmtId="4" fontId="3" fillId="0" borderId="0" xfId="4" applyNumberFormat="1" applyFont="1" applyAlignment="1">
      <alignment horizontal="center"/>
    </xf>
    <xf numFmtId="4" fontId="6" fillId="0" borderId="0" xfId="4" applyNumberFormat="1" applyFont="1" applyAlignment="1">
      <alignment horizontal="center"/>
    </xf>
    <xf numFmtId="4" fontId="6" fillId="0" borderId="0" xfId="4" applyNumberFormat="1" applyFont="1"/>
    <xf numFmtId="0" fontId="17" fillId="0" borderId="0" xfId="4" applyFont="1"/>
    <xf numFmtId="164" fontId="6" fillId="0" borderId="0" xfId="0" applyNumberFormat="1" applyFont="1" applyAlignment="1">
      <alignment horizontal="center"/>
    </xf>
    <xf numFmtId="4" fontId="3" fillId="0" borderId="0" xfId="4" applyNumberFormat="1" applyFont="1"/>
    <xf numFmtId="0" fontId="6" fillId="0" borderId="0" xfId="4" applyFont="1" applyAlignment="1">
      <alignment horizontal="left"/>
    </xf>
    <xf numFmtId="164" fontId="6" fillId="0" borderId="0" xfId="4" applyNumberFormat="1" applyFont="1"/>
    <xf numFmtId="164" fontId="3" fillId="0" borderId="0" xfId="4" applyNumberFormat="1" applyFont="1" applyBorder="1" applyAlignment="1">
      <alignment horizontal="left"/>
    </xf>
    <xf numFmtId="164" fontId="3" fillId="0" borderId="2" xfId="4" applyNumberFormat="1" applyFont="1" applyBorder="1"/>
    <xf numFmtId="44" fontId="3" fillId="0" borderId="2" xfId="2" applyFont="1" applyBorder="1"/>
    <xf numFmtId="49" fontId="6" fillId="0" borderId="0" xfId="4" applyNumberFormat="1" applyFont="1" applyBorder="1"/>
    <xf numFmtId="49" fontId="6" fillId="0" borderId="0" xfId="4" applyNumberFormat="1" applyFont="1"/>
    <xf numFmtId="40" fontId="6" fillId="0" borderId="0" xfId="4" applyNumberFormat="1" applyFont="1"/>
    <xf numFmtId="164" fontId="5" fillId="0" borderId="1" xfId="4" applyNumberFormat="1" applyFont="1" applyBorder="1" applyAlignment="1">
      <alignment horizontal="center" wrapText="1"/>
    </xf>
    <xf numFmtId="49" fontId="6" fillId="0" borderId="0" xfId="4" applyNumberFormat="1" applyFont="1" applyBorder="1" applyAlignment="1">
      <alignment horizontal="center"/>
    </xf>
    <xf numFmtId="164" fontId="6" fillId="0" borderId="0" xfId="4" applyNumberFormat="1" applyFont="1" applyAlignment="1"/>
    <xf numFmtId="0" fontId="18" fillId="0" borderId="0" xfId="0" applyFont="1"/>
    <xf numFmtId="49" fontId="6" fillId="0" borderId="0" xfId="4" applyNumberFormat="1" applyFont="1" applyFill="1" applyBorder="1" applyAlignment="1">
      <alignment horizontal="center"/>
    </xf>
    <xf numFmtId="0" fontId="6" fillId="0" borderId="0" xfId="4" applyFont="1" applyAlignment="1"/>
    <xf numFmtId="49" fontId="10" fillId="0" borderId="0" xfId="4" applyNumberFormat="1" applyFont="1"/>
    <xf numFmtId="164" fontId="10" fillId="0" borderId="0" xfId="4" applyNumberFormat="1" applyFont="1"/>
    <xf numFmtId="0" fontId="19" fillId="0" borderId="0" xfId="4" applyFont="1"/>
    <xf numFmtId="40" fontId="5" fillId="0" borderId="0" xfId="4" applyNumberFormat="1" applyFont="1"/>
    <xf numFmtId="49" fontId="6" fillId="0" borderId="0" xfId="4" applyNumberFormat="1" applyFont="1" applyAlignment="1">
      <alignment horizontal="left"/>
    </xf>
    <xf numFmtId="40" fontId="6" fillId="0" borderId="0" xfId="4" quotePrefix="1" applyNumberFormat="1" applyFont="1"/>
    <xf numFmtId="49" fontId="6" fillId="0" borderId="0" xfId="4" applyNumberFormat="1" applyFont="1" applyAlignment="1">
      <alignment horizontal="center"/>
    </xf>
    <xf numFmtId="0" fontId="3" fillId="0" borderId="0" xfId="4" applyFont="1"/>
    <xf numFmtId="49" fontId="3" fillId="0" borderId="0" xfId="4" applyNumberFormat="1" applyFont="1"/>
    <xf numFmtId="164" fontId="3" fillId="0" borderId="0" xfId="4" applyNumberFormat="1" applyFont="1"/>
    <xf numFmtId="0" fontId="3" fillId="0" borderId="2" xfId="4" applyFont="1" applyBorder="1"/>
    <xf numFmtId="40" fontId="3" fillId="0" borderId="2" xfId="4" applyNumberFormat="1" applyFont="1" applyBorder="1"/>
    <xf numFmtId="0" fontId="6" fillId="0" borderId="0" xfId="5" applyFont="1"/>
    <xf numFmtId="49" fontId="6" fillId="0" borderId="0" xfId="5" applyNumberFormat="1" applyFont="1" applyAlignment="1">
      <alignment horizontal="center"/>
    </xf>
    <xf numFmtId="0" fontId="20" fillId="0" borderId="0" xfId="0" applyFont="1" applyBorder="1"/>
    <xf numFmtId="40" fontId="6" fillId="0" borderId="0" xfId="5" applyNumberFormat="1" applyFont="1" applyAlignment="1">
      <alignment horizontal="center"/>
    </xf>
    <xf numFmtId="40" fontId="21" fillId="0" borderId="0" xfId="5" applyNumberFormat="1" applyFont="1"/>
    <xf numFmtId="40" fontId="6" fillId="0" borderId="0" xfId="5" applyNumberFormat="1" applyFont="1"/>
    <xf numFmtId="0" fontId="22" fillId="0" borderId="0" xfId="0" applyFont="1"/>
    <xf numFmtId="0" fontId="14" fillId="0" borderId="1" xfId="5" applyFont="1" applyBorder="1" applyAlignment="1">
      <alignment horizontal="center" textRotation="90" wrapText="1"/>
    </xf>
    <xf numFmtId="49" fontId="14" fillId="0" borderId="1" xfId="1" applyNumberFormat="1" applyFont="1" applyBorder="1" applyAlignment="1">
      <alignment horizontal="center" textRotation="90" wrapText="1"/>
    </xf>
    <xf numFmtId="40" fontId="14" fillId="0" borderId="1" xfId="1" applyNumberFormat="1" applyFont="1" applyBorder="1" applyAlignment="1">
      <alignment horizontal="center" wrapText="1"/>
    </xf>
    <xf numFmtId="40" fontId="3" fillId="0" borderId="1" xfId="5" applyNumberFormat="1" applyFont="1" applyBorder="1" applyAlignment="1">
      <alignment horizontal="center" wrapText="1"/>
    </xf>
    <xf numFmtId="165" fontId="23" fillId="0" borderId="1" xfId="0" applyNumberFormat="1" applyFont="1" applyBorder="1" applyAlignment="1">
      <alignment horizontal="center" wrapText="1"/>
    </xf>
    <xf numFmtId="4" fontId="23" fillId="0" borderId="1" xfId="0" applyNumberFormat="1" applyFont="1" applyBorder="1" applyAlignment="1">
      <alignment horizontal="center" wrapText="1"/>
    </xf>
    <xf numFmtId="165" fontId="3" fillId="0" borderId="1" xfId="0" applyNumberFormat="1" applyFont="1" applyBorder="1" applyAlignment="1">
      <alignment horizontal="center" wrapText="1"/>
    </xf>
    <xf numFmtId="0" fontId="24" fillId="0" borderId="0" xfId="0" applyFont="1" applyAlignment="1">
      <alignment horizontal="center" wrapText="1"/>
    </xf>
    <xf numFmtId="0" fontId="6" fillId="0" borderId="0" xfId="5" applyFont="1" applyAlignment="1">
      <alignment horizontal="center"/>
    </xf>
    <xf numFmtId="49" fontId="25" fillId="0" borderId="0" xfId="0" applyNumberFormat="1" applyFont="1" applyBorder="1" applyAlignment="1">
      <alignment horizontal="center" wrapText="1"/>
    </xf>
    <xf numFmtId="40" fontId="3" fillId="2" borderId="0" xfId="5" applyNumberFormat="1" applyFont="1" applyFill="1" applyBorder="1"/>
    <xf numFmtId="40" fontId="6" fillId="0" borderId="0" xfId="5" applyNumberFormat="1" applyFont="1" applyBorder="1" applyAlignment="1">
      <alignment horizontal="right"/>
    </xf>
    <xf numFmtId="40" fontId="6" fillId="0" borderId="0" xfId="5" applyNumberFormat="1" applyFont="1" applyBorder="1" applyAlignment="1">
      <alignment horizontal="center"/>
    </xf>
    <xf numFmtId="40" fontId="3" fillId="2" borderId="3" xfId="5" applyNumberFormat="1" applyFont="1" applyFill="1" applyBorder="1" applyAlignment="1">
      <alignment horizontal="right"/>
    </xf>
    <xf numFmtId="40" fontId="3" fillId="2" borderId="2" xfId="5" applyNumberFormat="1" applyFont="1" applyFill="1" applyBorder="1" applyAlignment="1">
      <alignment horizontal="right"/>
    </xf>
    <xf numFmtId="40" fontId="3" fillId="2" borderId="0" xfId="5" applyNumberFormat="1" applyFont="1" applyFill="1" applyBorder="1" applyAlignment="1">
      <alignment horizontal="right"/>
    </xf>
    <xf numFmtId="40" fontId="3" fillId="2" borderId="4" xfId="5" applyNumberFormat="1" applyFont="1" applyFill="1" applyBorder="1" applyAlignment="1">
      <alignment horizontal="right"/>
    </xf>
    <xf numFmtId="40" fontId="6" fillId="0" borderId="0" xfId="5" applyNumberFormat="1" applyFont="1" applyBorder="1"/>
    <xf numFmtId="0" fontId="6" fillId="3" borderId="0" xfId="5" applyFont="1" applyFill="1" applyAlignment="1">
      <alignment horizontal="center"/>
    </xf>
    <xf numFmtId="49" fontId="6" fillId="3" borderId="0" xfId="5" applyNumberFormat="1" applyFont="1" applyFill="1" applyAlignment="1">
      <alignment horizontal="center"/>
    </xf>
    <xf numFmtId="0" fontId="5" fillId="4" borderId="0" xfId="0" applyFont="1" applyFill="1" applyBorder="1" applyAlignment="1">
      <alignment horizontal="left" wrapText="1"/>
    </xf>
    <xf numFmtId="40" fontId="6" fillId="3" borderId="0" xfId="5" applyNumberFormat="1" applyFont="1" applyFill="1" applyAlignment="1">
      <alignment horizontal="center"/>
    </xf>
    <xf numFmtId="40" fontId="6" fillId="3" borderId="0" xfId="5" applyNumberFormat="1" applyFont="1" applyFill="1"/>
    <xf numFmtId="0" fontId="22" fillId="3" borderId="0" xfId="0" applyFont="1" applyFill="1"/>
    <xf numFmtId="0" fontId="6" fillId="0" borderId="5" xfId="5" applyFont="1" applyFill="1" applyBorder="1" applyAlignment="1">
      <alignment horizontal="center"/>
    </xf>
    <xf numFmtId="49" fontId="6" fillId="0" borderId="5" xfId="5" applyNumberFormat="1" applyFont="1" applyFill="1" applyBorder="1" applyAlignment="1">
      <alignment horizontal="center"/>
    </xf>
    <xf numFmtId="0" fontId="3" fillId="0" borderId="5" xfId="5" applyFont="1" applyFill="1" applyBorder="1"/>
    <xf numFmtId="40" fontId="6" fillId="0" borderId="5" xfId="5" applyNumberFormat="1" applyFont="1" applyFill="1" applyBorder="1" applyAlignment="1">
      <alignment horizontal="center"/>
    </xf>
    <xf numFmtId="40" fontId="26" fillId="0" borderId="5" xfId="5" applyNumberFormat="1" applyFont="1" applyFill="1" applyBorder="1" applyAlignment="1">
      <alignment horizontal="center" vertical="center"/>
    </xf>
    <xf numFmtId="40" fontId="26" fillId="0" borderId="5" xfId="5" applyNumberFormat="1" applyFont="1" applyFill="1" applyBorder="1" applyAlignment="1">
      <alignment horizontal="center" wrapText="1"/>
    </xf>
    <xf numFmtId="0" fontId="22" fillId="0" borderId="0" xfId="0" applyFont="1" applyFill="1"/>
    <xf numFmtId="0" fontId="6" fillId="0" borderId="5" xfId="5" applyFont="1" applyFill="1" applyBorder="1"/>
    <xf numFmtId="8" fontId="6" fillId="0" borderId="5" xfId="2" applyNumberFormat="1" applyFont="1" applyFill="1" applyBorder="1" applyAlignment="1">
      <alignment horizontal="center"/>
    </xf>
    <xf numFmtId="0" fontId="3" fillId="0" borderId="5" xfId="0" applyFont="1" applyBorder="1" applyAlignment="1">
      <alignment horizontal="center"/>
    </xf>
    <xf numFmtId="49" fontId="6" fillId="0" borderId="5" xfId="0" applyNumberFormat="1" applyFont="1" applyFill="1" applyBorder="1" applyAlignment="1">
      <alignment horizontal="center" wrapText="1"/>
    </xf>
    <xf numFmtId="40" fontId="6" fillId="0" borderId="5" xfId="5" applyNumberFormat="1" applyFont="1" applyBorder="1" applyAlignment="1">
      <alignment horizontal="center"/>
    </xf>
    <xf numFmtId="40" fontId="6" fillId="0" borderId="6" xfId="5" applyNumberFormat="1" applyFont="1" applyBorder="1" applyAlignment="1">
      <alignment horizontal="center"/>
    </xf>
    <xf numFmtId="49" fontId="6" fillId="0" borderId="7" xfId="0" applyNumberFormat="1" applyFont="1" applyFill="1" applyBorder="1" applyAlignment="1">
      <alignment horizontal="center" wrapText="1"/>
    </xf>
    <xf numFmtId="0" fontId="3" fillId="0" borderId="8" xfId="0" applyFont="1" applyBorder="1" applyAlignment="1">
      <alignment horizontal="left"/>
    </xf>
    <xf numFmtId="40" fontId="24" fillId="0" borderId="6" xfId="0" applyNumberFormat="1" applyFont="1" applyBorder="1" applyAlignment="1">
      <alignment horizontal="center"/>
    </xf>
    <xf numFmtId="8" fontId="3" fillId="0" borderId="6" xfId="5" applyNumberFormat="1" applyFont="1" applyBorder="1" applyAlignment="1">
      <alignment horizontal="center"/>
    </xf>
    <xf numFmtId="0" fontId="6" fillId="0" borderId="9" xfId="5" applyFont="1" applyBorder="1" applyAlignment="1">
      <alignment horizontal="center"/>
    </xf>
    <xf numFmtId="49" fontId="6" fillId="0" borderId="10" xfId="5" applyNumberFormat="1" applyFont="1" applyBorder="1" applyAlignment="1">
      <alignment horizontal="center"/>
    </xf>
    <xf numFmtId="0" fontId="6" fillId="0" borderId="10" xfId="5" applyFont="1" applyBorder="1"/>
    <xf numFmtId="40" fontId="6" fillId="0" borderId="10" xfId="5" applyNumberFormat="1" applyFont="1" applyBorder="1" applyAlignment="1">
      <alignment horizontal="center"/>
    </xf>
    <xf numFmtId="8" fontId="6" fillId="0" borderId="10" xfId="5" applyNumberFormat="1" applyFont="1" applyBorder="1" applyAlignment="1">
      <alignment horizontal="center"/>
    </xf>
    <xf numFmtId="8" fontId="22" fillId="0" borderId="10" xfId="0" applyNumberFormat="1" applyFont="1" applyBorder="1" applyAlignment="1">
      <alignment horizontal="center"/>
    </xf>
    <xf numFmtId="8" fontId="22" fillId="0" borderId="11" xfId="0" applyNumberFormat="1" applyFont="1" applyBorder="1" applyAlignment="1">
      <alignment horizontal="center"/>
    </xf>
    <xf numFmtId="49" fontId="6" fillId="0" borderId="0" xfId="5" applyNumberFormat="1" applyFont="1" applyBorder="1" applyAlignment="1">
      <alignment horizontal="center"/>
    </xf>
    <xf numFmtId="0" fontId="6" fillId="0" borderId="0" xfId="5" applyFont="1" applyBorder="1"/>
    <xf numFmtId="8" fontId="6" fillId="0" borderId="0" xfId="5" applyNumberFormat="1" applyFont="1" applyBorder="1" applyAlignment="1">
      <alignment horizontal="center"/>
    </xf>
    <xf numFmtId="165" fontId="6" fillId="0" borderId="0" xfId="0" applyNumberFormat="1" applyFont="1" applyFill="1" applyBorder="1" applyAlignment="1">
      <alignment horizontal="left"/>
    </xf>
    <xf numFmtId="8" fontId="6" fillId="0" borderId="0" xfId="5" applyNumberFormat="1" applyFont="1" applyAlignment="1">
      <alignment horizontal="center"/>
    </xf>
    <xf numFmtId="8" fontId="22" fillId="0" borderId="0" xfId="0" applyNumberFormat="1" applyFont="1" applyAlignment="1">
      <alignment horizontal="center"/>
    </xf>
    <xf numFmtId="165" fontId="25" fillId="0" borderId="0" xfId="6" applyNumberFormat="1" applyFont="1" applyFill="1" applyBorder="1" applyAlignment="1">
      <alignment horizontal="center"/>
    </xf>
    <xf numFmtId="49" fontId="3" fillId="0" borderId="0" xfId="5" applyNumberFormat="1" applyFont="1" applyFill="1" applyBorder="1" applyAlignment="1">
      <alignment horizontal="center"/>
    </xf>
    <xf numFmtId="0" fontId="3" fillId="5" borderId="0" xfId="0" applyFont="1" applyFill="1" applyBorder="1" applyAlignment="1">
      <alignment wrapText="1"/>
    </xf>
    <xf numFmtId="40" fontId="6" fillId="0" borderId="0" xfId="5" applyNumberFormat="1" applyFont="1" applyFill="1" applyBorder="1" applyAlignment="1">
      <alignment horizontal="center"/>
    </xf>
    <xf numFmtId="8" fontId="6" fillId="0" borderId="0" xfId="5" applyNumberFormat="1" applyFont="1" applyFill="1" applyBorder="1" applyAlignment="1">
      <alignment horizontal="center"/>
    </xf>
    <xf numFmtId="165" fontId="6" fillId="0" borderId="0" xfId="0" applyNumberFormat="1" applyFont="1" applyBorder="1" applyAlignment="1">
      <alignment horizontal="left"/>
    </xf>
    <xf numFmtId="8" fontId="24" fillId="0" borderId="2" xfId="0" applyNumberFormat="1" applyFont="1" applyBorder="1" applyAlignment="1">
      <alignment horizontal="center"/>
    </xf>
    <xf numFmtId="0" fontId="3" fillId="0" borderId="0" xfId="5" applyFont="1" applyBorder="1"/>
    <xf numFmtId="165" fontId="25" fillId="0" borderId="0" xfId="0" applyNumberFormat="1" applyFont="1" applyAlignment="1">
      <alignment horizontal="left"/>
    </xf>
    <xf numFmtId="165" fontId="6" fillId="0" borderId="0" xfId="0" applyNumberFormat="1" applyFont="1" applyAlignment="1">
      <alignment horizontal="left"/>
    </xf>
    <xf numFmtId="165" fontId="25" fillId="0" borderId="3" xfId="6" applyNumberFormat="1" applyFont="1" applyFill="1" applyBorder="1" applyAlignment="1">
      <alignment horizontal="center"/>
    </xf>
    <xf numFmtId="165" fontId="25" fillId="0" borderId="2" xfId="6" applyNumberFormat="1" applyFont="1" applyFill="1" applyBorder="1" applyAlignment="1">
      <alignment horizontal="center"/>
    </xf>
    <xf numFmtId="164" fontId="18" fillId="0" borderId="0" xfId="4" applyNumberFormat="1" applyFont="1"/>
    <xf numFmtId="43" fontId="18" fillId="0" borderId="0" xfId="1" applyFont="1"/>
    <xf numFmtId="164" fontId="24" fillId="0" borderId="0" xfId="4" applyNumberFormat="1" applyFont="1"/>
    <xf numFmtId="44" fontId="24" fillId="0" borderId="2" xfId="2" applyFont="1" applyBorder="1"/>
    <xf numFmtId="44" fontId="24" fillId="0" borderId="0" xfId="2" applyFont="1"/>
    <xf numFmtId="4" fontId="31" fillId="0" borderId="0" xfId="4" applyNumberFormat="1" applyFont="1" applyAlignment="1">
      <alignment horizontal="center"/>
    </xf>
    <xf numFmtId="4" fontId="22" fillId="0" borderId="0" xfId="0" applyNumberFormat="1" applyFont="1"/>
    <xf numFmtId="0" fontId="32" fillId="0" borderId="0" xfId="0" applyFont="1" applyFill="1" applyBorder="1" applyAlignment="1"/>
    <xf numFmtId="49" fontId="6" fillId="0" borderId="0" xfId="4" applyNumberFormat="1" applyFont="1" applyFill="1" applyBorder="1" applyAlignment="1">
      <alignment horizontal="left"/>
    </xf>
    <xf numFmtId="0" fontId="6" fillId="0" borderId="0" xfId="0" applyFont="1"/>
    <xf numFmtId="4" fontId="31" fillId="0" borderId="0" xfId="4" applyNumberFormat="1" applyFont="1"/>
    <xf numFmtId="40" fontId="14" fillId="0" borderId="0" xfId="5" applyNumberFormat="1" applyFont="1" applyBorder="1" applyAlignment="1">
      <alignment horizontal="center"/>
    </xf>
    <xf numFmtId="40" fontId="3" fillId="0" borderId="0" xfId="4" applyNumberFormat="1" applyFont="1"/>
    <xf numFmtId="0" fontId="6" fillId="0" borderId="0" xfId="0" applyFont="1" applyAlignment="1">
      <alignment vertical="center"/>
    </xf>
    <xf numFmtId="0" fontId="18" fillId="0" borderId="0" xfId="0" applyFont="1" applyFill="1" applyAlignment="1">
      <alignment vertical="center"/>
    </xf>
    <xf numFmtId="0" fontId="5" fillId="0" borderId="1" xfId="4" applyFont="1" applyBorder="1" applyAlignment="1">
      <alignment horizontal="center" wrapText="1"/>
    </xf>
    <xf numFmtId="0" fontId="16" fillId="0" borderId="0" xfId="3" applyFont="1"/>
    <xf numFmtId="0" fontId="14" fillId="0" borderId="0" xfId="3" applyFont="1"/>
    <xf numFmtId="14" fontId="14" fillId="0" borderId="0" xfId="3" applyNumberFormat="1" applyFont="1"/>
    <xf numFmtId="4" fontId="16" fillId="0" borderId="0" xfId="3" applyNumberFormat="1" applyFont="1"/>
    <xf numFmtId="164" fontId="12" fillId="0" borderId="0" xfId="4" applyNumberFormat="1" applyFont="1" applyFill="1"/>
    <xf numFmtId="1" fontId="12" fillId="0" borderId="0" xfId="4" applyNumberFormat="1" applyFont="1" applyAlignment="1">
      <alignment horizontal="left"/>
    </xf>
    <xf numFmtId="4" fontId="12" fillId="0" borderId="0" xfId="3" applyNumberFormat="1" applyFont="1"/>
    <xf numFmtId="40" fontId="12" fillId="0" borderId="0" xfId="4" applyNumberFormat="1" applyFont="1"/>
    <xf numFmtId="164" fontId="12" fillId="0" borderId="0" xfId="3" applyNumberFormat="1" applyFont="1"/>
    <xf numFmtId="0" fontId="14" fillId="0" borderId="0" xfId="3" applyFont="1" applyBorder="1"/>
    <xf numFmtId="164" fontId="12" fillId="0" borderId="0" xfId="4" applyNumberFormat="1" applyFont="1" applyBorder="1"/>
    <xf numFmtId="0" fontId="12" fillId="0" borderId="0" xfId="3" applyFont="1" applyBorder="1" applyAlignment="1">
      <alignment wrapText="1"/>
    </xf>
    <xf numFmtId="4" fontId="14" fillId="0" borderId="0" xfId="3" applyNumberFormat="1" applyFont="1" applyBorder="1"/>
    <xf numFmtId="4" fontId="16" fillId="0" borderId="0" xfId="3" applyNumberFormat="1" applyFont="1" applyBorder="1"/>
    <xf numFmtId="0" fontId="16" fillId="0" borderId="0" xfId="3" applyFont="1" applyBorder="1"/>
    <xf numFmtId="0" fontId="14" fillId="0" borderId="1" xfId="3" applyFont="1" applyBorder="1"/>
    <xf numFmtId="0" fontId="14" fillId="0" borderId="1" xfId="3" applyFont="1" applyBorder="1" applyAlignment="1">
      <alignment horizontal="center" wrapText="1"/>
    </xf>
    <xf numFmtId="40" fontId="14" fillId="0" borderId="1" xfId="3" applyNumberFormat="1" applyFont="1" applyBorder="1"/>
    <xf numFmtId="40" fontId="14" fillId="0" borderId="1" xfId="3" applyNumberFormat="1" applyFont="1" applyBorder="1" applyAlignment="1">
      <alignment horizontal="center"/>
    </xf>
    <xf numFmtId="40" fontId="14" fillId="0" borderId="1" xfId="3" applyNumberFormat="1" applyFont="1" applyBorder="1" applyAlignment="1">
      <alignment horizontal="center" wrapText="1"/>
    </xf>
    <xf numFmtId="4" fontId="14" fillId="0" borderId="0" xfId="3" applyNumberFormat="1" applyFont="1" applyAlignment="1">
      <alignment horizontal="center"/>
    </xf>
    <xf numFmtId="40" fontId="16" fillId="0" borderId="0" xfId="3" applyNumberFormat="1" applyFont="1" applyAlignment="1">
      <alignment horizontal="center"/>
    </xf>
    <xf numFmtId="40" fontId="16" fillId="0" borderId="0" xfId="3" applyNumberFormat="1" applyFont="1"/>
    <xf numFmtId="0" fontId="16" fillId="0" borderId="0" xfId="3" applyFont="1" applyAlignment="1">
      <alignment horizontal="center"/>
    </xf>
    <xf numFmtId="4" fontId="16" fillId="0" borderId="0" xfId="3" applyNumberFormat="1" applyFont="1" applyAlignment="1">
      <alignment horizontal="center"/>
    </xf>
    <xf numFmtId="40" fontId="16" fillId="0" borderId="0" xfId="4" applyNumberFormat="1" applyFont="1" applyAlignment="1">
      <alignment horizontal="center"/>
    </xf>
    <xf numFmtId="40" fontId="16" fillId="0" borderId="0" xfId="3" applyNumberFormat="1" applyFont="1" applyBorder="1"/>
    <xf numFmtId="0" fontId="33" fillId="0" borderId="0" xfId="3" applyFont="1" applyBorder="1"/>
    <xf numFmtId="0" fontId="33" fillId="0" borderId="2" xfId="3" applyFont="1" applyBorder="1" applyAlignment="1">
      <alignment horizontal="left"/>
    </xf>
    <xf numFmtId="40" fontId="33" fillId="0" borderId="2" xfId="3" applyNumberFormat="1" applyFont="1" applyBorder="1"/>
    <xf numFmtId="8" fontId="6" fillId="0" borderId="0" xfId="3" applyNumberFormat="1" applyFont="1" applyAlignment="1">
      <alignment horizontal="center"/>
    </xf>
    <xf numFmtId="49" fontId="6" fillId="0" borderId="0" xfId="4" applyNumberFormat="1" applyAlignment="1">
      <alignment horizontal="left"/>
    </xf>
    <xf numFmtId="164" fontId="6" fillId="0" borderId="0" xfId="4" applyNumberFormat="1" applyAlignment="1">
      <alignment horizontal="center"/>
    </xf>
    <xf numFmtId="49" fontId="6" fillId="0" borderId="0" xfId="4" applyNumberFormat="1" applyAlignment="1">
      <alignment horizontal="center"/>
    </xf>
    <xf numFmtId="0" fontId="0" fillId="0" borderId="0" xfId="0" applyAlignment="1">
      <alignment horizontal="center"/>
    </xf>
    <xf numFmtId="49" fontId="6" fillId="0" borderId="0" xfId="4" applyNumberFormat="1" applyFont="1" applyFill="1" applyBorder="1" applyAlignment="1">
      <alignment horizontal="left" vertical="center"/>
    </xf>
    <xf numFmtId="164" fontId="6" fillId="0" borderId="0" xfId="4" applyNumberFormat="1" applyFont="1" applyFill="1" applyAlignment="1">
      <alignment horizontal="center" vertical="center"/>
    </xf>
    <xf numFmtId="1" fontId="6" fillId="0" borderId="0" xfId="4" applyNumberFormat="1" applyFont="1" applyFill="1" applyAlignment="1">
      <alignment horizontal="center" vertical="center"/>
    </xf>
    <xf numFmtId="49" fontId="6" fillId="0" borderId="0" xfId="4" applyNumberFormat="1" applyAlignment="1">
      <alignment horizontal="left" vertical="center"/>
    </xf>
    <xf numFmtId="164" fontId="6" fillId="0" borderId="0" xfId="4" applyNumberFormat="1" applyAlignment="1">
      <alignment horizontal="center" vertical="center"/>
    </xf>
    <xf numFmtId="0" fontId="18" fillId="0" borderId="0" xfId="0" applyFont="1" applyAlignment="1">
      <alignment vertical="center"/>
    </xf>
    <xf numFmtId="40" fontId="12" fillId="0" borderId="0" xfId="4" applyNumberFormat="1" applyFont="1" applyBorder="1"/>
    <xf numFmtId="0" fontId="12" fillId="0" borderId="0" xfId="4" applyFont="1"/>
    <xf numFmtId="49" fontId="12" fillId="0" borderId="0" xfId="4" applyNumberFormat="1" applyFont="1" applyBorder="1" applyAlignment="1">
      <alignment horizontal="left"/>
    </xf>
    <xf numFmtId="164" fontId="33" fillId="0" borderId="0" xfId="0" applyNumberFormat="1" applyFont="1"/>
    <xf numFmtId="0" fontId="33" fillId="0" borderId="0" xfId="4" applyFont="1"/>
    <xf numFmtId="40" fontId="12" fillId="0" borderId="0" xfId="4" applyNumberFormat="1" applyFont="1" applyFill="1" applyBorder="1"/>
    <xf numFmtId="0" fontId="12" fillId="0" borderId="0" xfId="4" applyFont="1" applyAlignment="1">
      <alignment horizontal="right"/>
    </xf>
    <xf numFmtId="40" fontId="34" fillId="0" borderId="0" xfId="4" applyNumberFormat="1" applyFont="1" applyFill="1" applyBorder="1"/>
    <xf numFmtId="164" fontId="12" fillId="0" borderId="0" xfId="4" applyNumberFormat="1" applyFont="1" applyBorder="1" applyAlignment="1">
      <alignment horizontal="left"/>
    </xf>
    <xf numFmtId="49" fontId="12" fillId="0" borderId="1" xfId="4" applyNumberFormat="1" applyFont="1" applyBorder="1" applyAlignment="1">
      <alignment horizontal="center" wrapText="1"/>
    </xf>
    <xf numFmtId="164" fontId="12" fillId="0" borderId="1" xfId="4" applyNumberFormat="1" applyFont="1" applyBorder="1" applyAlignment="1">
      <alignment horizontal="center"/>
    </xf>
    <xf numFmtId="0" fontId="12" fillId="0" borderId="1" xfId="4" applyFont="1" applyBorder="1" applyAlignment="1">
      <alignment horizontal="center"/>
    </xf>
    <xf numFmtId="40" fontId="12" fillId="0" borderId="1" xfId="4" applyNumberFormat="1" applyFont="1" applyBorder="1" applyAlignment="1">
      <alignment horizontal="center" wrapText="1"/>
    </xf>
    <xf numFmtId="49" fontId="16" fillId="0" borderId="0" xfId="4" applyNumberFormat="1" applyFont="1" applyBorder="1" applyAlignment="1"/>
    <xf numFmtId="164" fontId="16" fillId="0" borderId="0" xfId="4" applyNumberFormat="1" applyFont="1" applyAlignment="1">
      <alignment horizontal="center"/>
    </xf>
    <xf numFmtId="164" fontId="16" fillId="0" borderId="0" xfId="4" applyNumberFormat="1" applyFont="1" applyAlignment="1">
      <alignment horizontal="left"/>
    </xf>
    <xf numFmtId="4" fontId="14" fillId="0" borderId="0" xfId="4" applyNumberFormat="1" applyFont="1" applyAlignment="1">
      <alignment horizontal="center"/>
    </xf>
    <xf numFmtId="4" fontId="16" fillId="0" borderId="0" xfId="4" applyNumberFormat="1" applyFont="1" applyAlignment="1">
      <alignment horizontal="center"/>
    </xf>
    <xf numFmtId="4" fontId="16" fillId="0" borderId="0" xfId="4" applyNumberFormat="1" applyFont="1"/>
    <xf numFmtId="164" fontId="16" fillId="0" borderId="0" xfId="0" applyNumberFormat="1" applyFont="1" applyAlignment="1">
      <alignment horizontal="center"/>
    </xf>
    <xf numFmtId="4" fontId="14" fillId="0" borderId="0" xfId="4" applyNumberFormat="1" applyFont="1"/>
    <xf numFmtId="0" fontId="16" fillId="0" borderId="0" xfId="4" applyFont="1" applyAlignment="1">
      <alignment horizontal="left"/>
    </xf>
    <xf numFmtId="164" fontId="16" fillId="0" borderId="0" xfId="4" applyNumberFormat="1" applyFont="1"/>
    <xf numFmtId="164" fontId="14" fillId="0" borderId="0" xfId="4" applyNumberFormat="1" applyFont="1" applyBorder="1" applyAlignment="1">
      <alignment horizontal="left"/>
    </xf>
    <xf numFmtId="164" fontId="14" fillId="0" borderId="2" xfId="4" applyNumberFormat="1" applyFont="1" applyBorder="1"/>
    <xf numFmtId="44" fontId="14" fillId="0" borderId="2" xfId="2" applyFont="1" applyBorder="1"/>
    <xf numFmtId="49" fontId="16" fillId="0" borderId="0" xfId="4" applyNumberFormat="1" applyFont="1" applyBorder="1"/>
    <xf numFmtId="43" fontId="16" fillId="0" borderId="0" xfId="1" applyFont="1"/>
    <xf numFmtId="164" fontId="14" fillId="0" borderId="0" xfId="4" applyNumberFormat="1" applyFont="1"/>
    <xf numFmtId="44" fontId="14" fillId="0" borderId="0" xfId="2" applyFont="1"/>
    <xf numFmtId="49" fontId="16" fillId="0" borderId="0" xfId="4" applyNumberFormat="1" applyFont="1"/>
    <xf numFmtId="40" fontId="16" fillId="0" borderId="0" xfId="4" applyNumberFormat="1" applyFont="1"/>
    <xf numFmtId="164" fontId="12" fillId="0" borderId="1" xfId="4" applyNumberFormat="1" applyFont="1" applyBorder="1" applyAlignment="1">
      <alignment horizontal="center" wrapText="1"/>
    </xf>
    <xf numFmtId="49" fontId="16" fillId="0" borderId="0" xfId="4" applyNumberFormat="1" applyFont="1" applyBorder="1" applyAlignment="1">
      <alignment horizontal="center"/>
    </xf>
    <xf numFmtId="164" fontId="16" fillId="0" borderId="0" xfId="4" applyNumberFormat="1" applyFont="1" applyAlignment="1"/>
    <xf numFmtId="0" fontId="16" fillId="0" borderId="0" xfId="0" applyFont="1"/>
    <xf numFmtId="49" fontId="16" fillId="0" borderId="0" xfId="4" applyNumberFormat="1" applyFont="1" applyFill="1" applyBorder="1" applyAlignment="1">
      <alignment horizontal="center"/>
    </xf>
    <xf numFmtId="0" fontId="16" fillId="0" borderId="0" xfId="4" applyFont="1" applyAlignment="1"/>
    <xf numFmtId="49" fontId="12" fillId="0" borderId="0" xfId="4" applyNumberFormat="1" applyFont="1"/>
    <xf numFmtId="49" fontId="16" fillId="0" borderId="0" xfId="4" applyNumberFormat="1" applyFont="1" applyAlignment="1">
      <alignment horizontal="left"/>
    </xf>
    <xf numFmtId="40" fontId="16" fillId="0" borderId="0" xfId="4" quotePrefix="1" applyNumberFormat="1" applyFont="1"/>
    <xf numFmtId="49" fontId="16" fillId="0" borderId="0" xfId="4" applyNumberFormat="1" applyFont="1" applyAlignment="1">
      <alignment horizontal="center"/>
    </xf>
    <xf numFmtId="49" fontId="14" fillId="0" borderId="0" xfId="4" applyNumberFormat="1" applyFont="1"/>
    <xf numFmtId="0" fontId="14" fillId="0" borderId="2" xfId="4" applyFont="1" applyBorder="1"/>
    <xf numFmtId="40" fontId="14" fillId="0" borderId="2" xfId="4" applyNumberFormat="1" applyFont="1" applyBorder="1"/>
    <xf numFmtId="0" fontId="6" fillId="0" borderId="5" xfId="5" applyFont="1" applyFill="1" applyBorder="1" applyAlignment="1">
      <alignment horizontal="center" vertical="center"/>
    </xf>
    <xf numFmtId="49" fontId="6" fillId="0" borderId="5" xfId="5" applyNumberFormat="1" applyFont="1" applyFill="1" applyBorder="1" applyAlignment="1">
      <alignment horizontal="center" vertical="center"/>
    </xf>
    <xf numFmtId="0" fontId="6" fillId="0" borderId="5" xfId="5" applyFont="1" applyFill="1" applyBorder="1" applyAlignment="1">
      <alignment vertical="center"/>
    </xf>
    <xf numFmtId="40" fontId="6" fillId="0" borderId="5" xfId="5" applyNumberFormat="1" applyFont="1" applyFill="1" applyBorder="1" applyAlignment="1">
      <alignment horizontal="center" vertical="center"/>
    </xf>
    <xf numFmtId="39" fontId="6" fillId="0" borderId="5" xfId="2" applyNumberFormat="1" applyFont="1" applyFill="1" applyBorder="1" applyAlignment="1">
      <alignment horizontal="center" vertical="center"/>
    </xf>
    <xf numFmtId="40" fontId="26" fillId="0" borderId="5" xfId="5" applyNumberFormat="1" applyFont="1" applyFill="1" applyBorder="1" applyAlignment="1">
      <alignment horizontal="center" vertical="center" wrapText="1"/>
    </xf>
    <xf numFmtId="0" fontId="22" fillId="0" borderId="0" xfId="0" applyFont="1" applyFill="1" applyAlignment="1">
      <alignment vertical="center"/>
    </xf>
    <xf numFmtId="0" fontId="0" fillId="0" borderId="0" xfId="0" applyAlignment="1">
      <alignment vertical="center"/>
    </xf>
    <xf numFmtId="0" fontId="6" fillId="0" borderId="5" xfId="5" applyFont="1" applyFill="1" applyBorder="1" applyAlignment="1">
      <alignment vertical="center" wrapText="1"/>
    </xf>
    <xf numFmtId="8" fontId="6" fillId="0" borderId="5" xfId="2" applyNumberFormat="1" applyFont="1" applyFill="1" applyBorder="1" applyAlignment="1">
      <alignment horizontal="center" vertical="center"/>
    </xf>
    <xf numFmtId="4" fontId="22" fillId="0" borderId="0" xfId="0" applyNumberFormat="1" applyFont="1" applyFill="1" applyAlignment="1">
      <alignment vertical="center"/>
    </xf>
    <xf numFmtId="49" fontId="6" fillId="0" borderId="5" xfId="5" applyNumberFormat="1" applyFont="1" applyBorder="1" applyAlignment="1">
      <alignment horizontal="center" vertical="center"/>
    </xf>
    <xf numFmtId="0" fontId="35" fillId="6" borderId="12" xfId="0" applyFont="1" applyFill="1" applyBorder="1" applyAlignment="1">
      <alignment vertical="center" wrapText="1"/>
    </xf>
    <xf numFmtId="0" fontId="6" fillId="0" borderId="5" xfId="5" applyFont="1" applyBorder="1" applyAlignment="1">
      <alignment horizontal="center" vertical="center"/>
    </xf>
    <xf numFmtId="0" fontId="14" fillId="0" borderId="5" xfId="5" applyFont="1" applyFill="1" applyBorder="1" applyAlignment="1">
      <alignment horizontal="center" vertical="center"/>
    </xf>
    <xf numFmtId="0" fontId="3" fillId="0" borderId="5" xfId="0" applyFont="1" applyBorder="1" applyAlignment="1">
      <alignment horizontal="center" vertical="center"/>
    </xf>
    <xf numFmtId="0" fontId="22" fillId="0" borderId="0" xfId="0" applyFont="1" applyAlignment="1">
      <alignment vertical="center"/>
    </xf>
    <xf numFmtId="4" fontId="22" fillId="0" borderId="0" xfId="0" applyNumberFormat="1" applyFont="1" applyAlignment="1">
      <alignment vertical="center"/>
    </xf>
    <xf numFmtId="49" fontId="6" fillId="0" borderId="0" xfId="4" applyNumberFormat="1" applyFont="1" applyBorder="1" applyAlignment="1">
      <alignment vertical="center"/>
    </xf>
    <xf numFmtId="164" fontId="6" fillId="0" borderId="0" xfId="4" applyNumberFormat="1" applyFont="1" applyAlignment="1">
      <alignment horizontal="center" vertical="center"/>
    </xf>
    <xf numFmtId="164" fontId="6" fillId="0" borderId="0" xfId="4" applyNumberFormat="1" applyFont="1" applyAlignment="1">
      <alignment horizontal="left" vertical="center"/>
    </xf>
    <xf numFmtId="4" fontId="31" fillId="0" borderId="0" xfId="4" applyNumberFormat="1" applyFont="1" applyAlignment="1">
      <alignment horizontal="center" vertical="center"/>
    </xf>
    <xf numFmtId="4" fontId="6" fillId="0" borderId="0" xfId="4" applyNumberFormat="1" applyFont="1" applyAlignment="1">
      <alignment horizontal="center" vertical="center"/>
    </xf>
    <xf numFmtId="4" fontId="6" fillId="0" borderId="0" xfId="4" applyNumberFormat="1" applyFont="1" applyAlignment="1">
      <alignment vertical="center"/>
    </xf>
    <xf numFmtId="0" fontId="17" fillId="0" borderId="0" xfId="4" applyFont="1" applyAlignment="1">
      <alignment vertical="center"/>
    </xf>
    <xf numFmtId="164" fontId="6" fillId="0" borderId="0" xfId="0" applyNumberFormat="1" applyFont="1" applyAlignment="1">
      <alignment horizontal="center" vertical="center"/>
    </xf>
    <xf numFmtId="4" fontId="31" fillId="0" borderId="0" xfId="4" applyNumberFormat="1" applyFont="1" applyAlignment="1">
      <alignment vertical="center"/>
    </xf>
    <xf numFmtId="4" fontId="3" fillId="0" borderId="0" xfId="4" applyNumberFormat="1" applyFont="1" applyAlignment="1">
      <alignment vertical="center"/>
    </xf>
    <xf numFmtId="0" fontId="6" fillId="0" borderId="0" xfId="4" applyFont="1" applyAlignment="1">
      <alignment horizontal="left" vertical="center"/>
    </xf>
    <xf numFmtId="164" fontId="6" fillId="0" borderId="0" xfId="4" applyNumberFormat="1" applyFont="1" applyAlignment="1">
      <alignment vertical="center"/>
    </xf>
    <xf numFmtId="49" fontId="6" fillId="0" borderId="0" xfId="4" applyNumberFormat="1" applyFont="1" applyBorder="1" applyAlignment="1">
      <alignment horizontal="center" vertical="center"/>
    </xf>
    <xf numFmtId="40" fontId="3" fillId="0" borderId="0" xfId="4" applyNumberFormat="1" applyFont="1" applyAlignment="1">
      <alignment vertical="center"/>
    </xf>
    <xf numFmtId="164" fontId="3" fillId="0" borderId="0" xfId="4" applyNumberFormat="1" applyFont="1" applyBorder="1" applyAlignment="1">
      <alignment horizontal="left" vertical="center"/>
    </xf>
    <xf numFmtId="164" fontId="3" fillId="0" borderId="2" xfId="4" applyNumberFormat="1" applyFont="1" applyBorder="1" applyAlignment="1">
      <alignment vertical="center"/>
    </xf>
    <xf numFmtId="44" fontId="3" fillId="0" borderId="2" xfId="2" applyFont="1" applyBorder="1" applyAlignment="1">
      <alignment vertical="center"/>
    </xf>
    <xf numFmtId="0" fontId="3" fillId="0" borderId="0" xfId="3" applyFont="1" applyAlignment="1">
      <alignment vertical="center"/>
    </xf>
    <xf numFmtId="0" fontId="6" fillId="0" borderId="0" xfId="3" applyFont="1" applyAlignment="1">
      <alignment vertical="center"/>
    </xf>
    <xf numFmtId="0" fontId="6" fillId="0" borderId="0" xfId="3" applyFont="1" applyAlignment="1">
      <alignment horizontal="center" vertical="center"/>
    </xf>
    <xf numFmtId="4" fontId="6" fillId="0" borderId="0" xfId="3" applyNumberFormat="1" applyFont="1" applyAlignment="1">
      <alignment horizontal="center" vertical="center"/>
    </xf>
    <xf numFmtId="40" fontId="6" fillId="0" borderId="0" xfId="3" applyNumberFormat="1" applyFont="1" applyAlignment="1">
      <alignment vertical="center"/>
    </xf>
    <xf numFmtId="40" fontId="6" fillId="0" borderId="0" xfId="3" applyNumberFormat="1" applyFont="1" applyAlignment="1">
      <alignment horizontal="center" vertical="center"/>
    </xf>
    <xf numFmtId="40" fontId="6" fillId="0" borderId="0" xfId="4" applyNumberFormat="1" applyFont="1" applyAlignment="1">
      <alignment horizontal="center" vertical="center"/>
    </xf>
    <xf numFmtId="0" fontId="3" fillId="0" borderId="0" xfId="3" applyFont="1" applyBorder="1" applyAlignment="1">
      <alignment vertical="center"/>
    </xf>
    <xf numFmtId="40" fontId="6" fillId="0" borderId="0" xfId="3" applyNumberFormat="1" applyFont="1" applyBorder="1" applyAlignment="1">
      <alignment vertical="center"/>
    </xf>
    <xf numFmtId="164" fontId="18" fillId="0" borderId="0" xfId="4" applyNumberFormat="1" applyFont="1" applyAlignment="1">
      <alignment vertical="center"/>
    </xf>
    <xf numFmtId="43" fontId="18" fillId="0" borderId="0" xfId="1" applyFont="1" applyAlignment="1">
      <alignment vertical="center"/>
    </xf>
    <xf numFmtId="164" fontId="24" fillId="0" borderId="0" xfId="4" applyNumberFormat="1" applyFont="1" applyAlignment="1">
      <alignment vertical="center"/>
    </xf>
    <xf numFmtId="44" fontId="24" fillId="0" borderId="2" xfId="2" applyFont="1" applyBorder="1" applyAlignment="1">
      <alignment vertical="center"/>
    </xf>
    <xf numFmtId="44" fontId="24" fillId="0" borderId="0" xfId="2" applyFont="1" applyAlignment="1">
      <alignment vertical="center"/>
    </xf>
    <xf numFmtId="49" fontId="6" fillId="0" borderId="0" xfId="4" applyNumberFormat="1" applyFont="1" applyFill="1" applyBorder="1" applyAlignment="1">
      <alignment horizontal="center" vertical="center"/>
    </xf>
    <xf numFmtId="0" fontId="6" fillId="0" borderId="0" xfId="4" applyFont="1" applyAlignment="1">
      <alignment vertical="center"/>
    </xf>
    <xf numFmtId="49" fontId="6" fillId="0" borderId="0" xfId="4" applyNumberFormat="1" applyFont="1" applyAlignment="1">
      <alignment vertical="center"/>
    </xf>
    <xf numFmtId="49" fontId="6" fillId="0" borderId="0" xfId="4" applyNumberFormat="1" applyFont="1" applyAlignment="1">
      <alignment horizontal="left" vertical="center"/>
    </xf>
    <xf numFmtId="40" fontId="6" fillId="0" borderId="0" xfId="4" quotePrefix="1" applyNumberFormat="1" applyFont="1" applyAlignment="1">
      <alignment vertical="center"/>
    </xf>
    <xf numFmtId="40" fontId="6" fillId="0" borderId="0" xfId="4" applyNumberFormat="1" applyFont="1" applyAlignment="1">
      <alignment vertical="center"/>
    </xf>
    <xf numFmtId="49" fontId="6" fillId="0" borderId="0" xfId="4" applyNumberFormat="1" applyFont="1" applyAlignment="1">
      <alignment horizontal="center" vertical="center"/>
    </xf>
    <xf numFmtId="0" fontId="3" fillId="0" borderId="0" xfId="4" applyFont="1" applyAlignment="1">
      <alignment vertical="center"/>
    </xf>
    <xf numFmtId="49" fontId="3" fillId="0" borderId="0" xfId="4" applyNumberFormat="1" applyFont="1" applyAlignment="1">
      <alignment vertical="center"/>
    </xf>
    <xf numFmtId="164" fontId="3" fillId="0" borderId="0" xfId="4" applyNumberFormat="1" applyFont="1" applyAlignment="1">
      <alignment vertical="center"/>
    </xf>
    <xf numFmtId="0" fontId="3" fillId="0" borderId="2" xfId="4" applyFont="1" applyBorder="1" applyAlignment="1">
      <alignment vertical="center"/>
    </xf>
    <xf numFmtId="40" fontId="3" fillId="0" borderId="2" xfId="4" applyNumberFormat="1" applyFont="1" applyBorder="1" applyAlignment="1">
      <alignment vertical="center"/>
    </xf>
    <xf numFmtId="49" fontId="6" fillId="0" borderId="0" xfId="4" applyNumberFormat="1" applyAlignment="1">
      <alignment horizontal="center" vertical="center"/>
    </xf>
    <xf numFmtId="4" fontId="3" fillId="0" borderId="0" xfId="4" applyNumberFormat="1" applyFont="1" applyAlignment="1">
      <alignment horizontal="center" vertical="center"/>
    </xf>
    <xf numFmtId="8" fontId="6" fillId="0" borderId="0" xfId="3" applyNumberFormat="1" applyFont="1" applyAlignment="1">
      <alignment horizontal="center" vertical="center"/>
    </xf>
    <xf numFmtId="4" fontId="6" fillId="0" borderId="0" xfId="4" applyNumberFormat="1" applyAlignment="1">
      <alignment horizontal="center"/>
    </xf>
    <xf numFmtId="0" fontId="6" fillId="0" borderId="0" xfId="4" applyAlignment="1">
      <alignment horizontal="center"/>
    </xf>
    <xf numFmtId="40" fontId="31" fillId="0" borderId="0" xfId="4" applyNumberFormat="1" applyFont="1" applyAlignment="1">
      <alignment vertical="center"/>
    </xf>
    <xf numFmtId="0" fontId="6" fillId="0" borderId="0" xfId="4"/>
    <xf numFmtId="4" fontId="6" fillId="0" borderId="0" xfId="4" applyNumberFormat="1" applyFont="1" applyAlignment="1"/>
    <xf numFmtId="0" fontId="17" fillId="0" borderId="0" xfId="4" applyFont="1" applyAlignment="1"/>
    <xf numFmtId="0" fontId="0" fillId="0" borderId="0" xfId="0" applyAlignment="1"/>
    <xf numFmtId="4" fontId="3" fillId="0" borderId="0" xfId="4" applyNumberFormat="1" applyFont="1" applyAlignment="1"/>
    <xf numFmtId="164" fontId="18" fillId="0" borderId="0" xfId="4" applyNumberFormat="1" applyFont="1" applyAlignment="1"/>
    <xf numFmtId="43" fontId="18" fillId="0" borderId="0" xfId="1" applyFont="1" applyAlignment="1"/>
    <xf numFmtId="164" fontId="6" fillId="0" borderId="0" xfId="4" applyNumberFormat="1" applyFont="1" applyBorder="1" applyAlignment="1">
      <alignment vertical="center"/>
    </xf>
    <xf numFmtId="4" fontId="6" fillId="0" borderId="0" xfId="4" applyNumberFormat="1" applyFont="1" applyBorder="1" applyAlignment="1">
      <alignment vertical="center"/>
    </xf>
    <xf numFmtId="164" fontId="18" fillId="0" borderId="0" xfId="4" applyNumberFormat="1" applyFont="1" applyBorder="1" applyAlignment="1">
      <alignment vertical="center"/>
    </xf>
    <xf numFmtId="43" fontId="18" fillId="0" borderId="0" xfId="1" applyFont="1" applyBorder="1" applyAlignment="1">
      <alignment vertical="center"/>
    </xf>
    <xf numFmtId="164" fontId="24" fillId="0" borderId="0" xfId="4" applyNumberFormat="1" applyFont="1" applyBorder="1" applyAlignment="1">
      <alignment vertical="center"/>
    </xf>
    <xf numFmtId="44" fontId="24" fillId="0" borderId="0" xfId="2" applyFont="1" applyBorder="1" applyAlignment="1">
      <alignment vertical="center"/>
    </xf>
    <xf numFmtId="0" fontId="0" fillId="0" borderId="0" xfId="0" applyBorder="1" applyAlignment="1">
      <alignment vertical="center"/>
    </xf>
    <xf numFmtId="40" fontId="6" fillId="0" borderId="0" xfId="4" applyNumberFormat="1" applyFont="1" applyAlignment="1">
      <alignment horizontal="left" vertical="center"/>
    </xf>
    <xf numFmtId="0" fontId="14" fillId="0" borderId="0" xfId="3" applyFont="1" applyAlignment="1">
      <alignment vertical="center"/>
    </xf>
    <xf numFmtId="0" fontId="36" fillId="0" borderId="0" xfId="0" applyFont="1"/>
    <xf numFmtId="49" fontId="16" fillId="0" borderId="0" xfId="4" applyNumberFormat="1" applyFont="1" applyBorder="1" applyAlignment="1">
      <alignment vertical="center"/>
    </xf>
    <xf numFmtId="164" fontId="16" fillId="0" borderId="0" xfId="4" applyNumberFormat="1" applyFont="1" applyAlignment="1">
      <alignment horizontal="center" vertical="center"/>
    </xf>
    <xf numFmtId="164" fontId="16" fillId="0" borderId="0" xfId="4" applyNumberFormat="1" applyFont="1" applyAlignment="1">
      <alignment horizontal="left" vertical="center"/>
    </xf>
    <xf numFmtId="4" fontId="14" fillId="0" borderId="0" xfId="4" applyNumberFormat="1" applyFont="1" applyAlignment="1">
      <alignment horizontal="center" vertical="center"/>
    </xf>
    <xf numFmtId="4" fontId="16" fillId="0" borderId="0" xfId="4" applyNumberFormat="1" applyFont="1" applyAlignment="1">
      <alignment horizontal="center" vertical="center"/>
    </xf>
    <xf numFmtId="4" fontId="16" fillId="0" borderId="0" xfId="4" applyNumberFormat="1" applyFont="1" applyAlignment="1">
      <alignment vertical="center"/>
    </xf>
    <xf numFmtId="0" fontId="16" fillId="0" borderId="0" xfId="4" applyFont="1" applyAlignment="1">
      <alignment vertical="center"/>
    </xf>
    <xf numFmtId="0" fontId="36" fillId="0" borderId="0" xfId="0" applyFont="1" applyAlignment="1">
      <alignment vertical="center"/>
    </xf>
    <xf numFmtId="164" fontId="16" fillId="0" borderId="0" xfId="0" applyNumberFormat="1" applyFont="1" applyAlignment="1">
      <alignment horizontal="center" vertical="center"/>
    </xf>
    <xf numFmtId="4" fontId="14" fillId="0" borderId="0" xfId="4" applyNumberFormat="1" applyFont="1" applyAlignment="1">
      <alignment vertical="center"/>
    </xf>
    <xf numFmtId="40" fontId="14" fillId="0" borderId="0" xfId="4" applyNumberFormat="1" applyFont="1" applyAlignment="1">
      <alignment horizontal="center" vertical="center"/>
    </xf>
    <xf numFmtId="0" fontId="16" fillId="0" borderId="0" xfId="4" applyFont="1" applyAlignment="1">
      <alignment horizontal="left" vertical="center"/>
    </xf>
    <xf numFmtId="164" fontId="16" fillId="0" borderId="0" xfId="4" applyNumberFormat="1" applyFont="1" applyAlignment="1">
      <alignment vertical="center"/>
    </xf>
    <xf numFmtId="164" fontId="14" fillId="0" borderId="0" xfId="4" applyNumberFormat="1" applyFont="1" applyBorder="1" applyAlignment="1">
      <alignment horizontal="left" vertical="center"/>
    </xf>
    <xf numFmtId="164" fontId="14" fillId="0" borderId="2" xfId="4" applyNumberFormat="1" applyFont="1" applyBorder="1" applyAlignment="1">
      <alignment vertical="center"/>
    </xf>
    <xf numFmtId="44" fontId="14" fillId="0" borderId="2" xfId="2" applyFont="1" applyBorder="1" applyAlignment="1">
      <alignment vertical="center"/>
    </xf>
    <xf numFmtId="0" fontId="14" fillId="0" borderId="0" xfId="4" applyFont="1" applyAlignment="1">
      <alignment vertical="center"/>
    </xf>
    <xf numFmtId="43" fontId="16" fillId="0" borderId="0" xfId="1" applyFont="1" applyAlignment="1">
      <alignment vertical="center"/>
    </xf>
    <xf numFmtId="164" fontId="14" fillId="0" borderId="0" xfId="4" applyNumberFormat="1" applyFont="1" applyAlignment="1">
      <alignment vertical="center"/>
    </xf>
    <xf numFmtId="44" fontId="14" fillId="0" borderId="0" xfId="2" applyFont="1" applyAlignment="1">
      <alignment vertical="center"/>
    </xf>
    <xf numFmtId="40" fontId="37" fillId="0" borderId="0" xfId="4" applyNumberFormat="1" applyFont="1"/>
    <xf numFmtId="0" fontId="17" fillId="0" borderId="0" xfId="4" applyFont="1" applyBorder="1" applyAlignment="1">
      <alignment vertical="center"/>
    </xf>
    <xf numFmtId="44" fontId="3" fillId="0" borderId="0" xfId="2" applyFont="1" applyAlignment="1">
      <alignment vertical="center"/>
    </xf>
    <xf numFmtId="4" fontId="38" fillId="0" borderId="0" xfId="4" applyNumberFormat="1" applyFont="1" applyAlignment="1">
      <alignment vertical="center"/>
    </xf>
    <xf numFmtId="0" fontId="38" fillId="0" borderId="0" xfId="4" applyFont="1" applyAlignment="1">
      <alignment vertical="center"/>
    </xf>
    <xf numFmtId="164" fontId="6" fillId="0" borderId="0" xfId="4" applyNumberFormat="1" applyFont="1" applyBorder="1" applyAlignment="1">
      <alignment horizontal="left" vertical="center"/>
    </xf>
    <xf numFmtId="0" fontId="39" fillId="0" borderId="0" xfId="0" applyFont="1"/>
    <xf numFmtId="40" fontId="22" fillId="0" borderId="0" xfId="0" applyNumberFormat="1" applyFont="1" applyFill="1" applyAlignment="1">
      <alignment vertical="center"/>
    </xf>
    <xf numFmtId="0" fontId="36" fillId="0" borderId="0" xfId="0" applyFont="1" applyAlignment="1"/>
    <xf numFmtId="49" fontId="12" fillId="0" borderId="0" xfId="4" applyNumberFormat="1" applyFont="1" applyAlignment="1">
      <alignment horizontal="left"/>
    </xf>
    <xf numFmtId="40" fontId="34" fillId="0" borderId="0" xfId="4" applyNumberFormat="1" applyFont="1"/>
    <xf numFmtId="49" fontId="16" fillId="0" borderId="0" xfId="4" applyNumberFormat="1" applyFont="1" applyAlignment="1">
      <alignment vertical="center"/>
    </xf>
    <xf numFmtId="164" fontId="7" fillId="0" borderId="0" xfId="4" applyNumberFormat="1" applyFont="1"/>
    <xf numFmtId="49" fontId="10" fillId="0" borderId="0" xfId="4" applyNumberFormat="1" applyFont="1" applyAlignment="1">
      <alignment horizontal="left"/>
    </xf>
    <xf numFmtId="40" fontId="15" fillId="0" borderId="0" xfId="4" applyNumberFormat="1" applyFont="1"/>
    <xf numFmtId="164" fontId="5" fillId="0" borderId="0" xfId="4" applyNumberFormat="1" applyFont="1" applyAlignment="1">
      <alignment horizontal="left"/>
    </xf>
    <xf numFmtId="49" fontId="6" fillId="0" borderId="0" xfId="4" applyNumberFormat="1" applyAlignment="1">
      <alignment vertical="center"/>
    </xf>
    <xf numFmtId="164" fontId="6" fillId="0" borderId="0" xfId="4" applyNumberFormat="1" applyAlignment="1">
      <alignment horizontal="left" vertical="center"/>
    </xf>
    <xf numFmtId="4" fontId="6" fillId="0" borderId="0" xfId="4" applyNumberFormat="1" applyAlignment="1">
      <alignment horizontal="center" vertical="center"/>
    </xf>
    <xf numFmtId="4" fontId="6" fillId="0" borderId="0" xfId="4" applyNumberFormat="1" applyAlignment="1">
      <alignment vertical="center"/>
    </xf>
    <xf numFmtId="0" fontId="6" fillId="0" borderId="0" xfId="4" applyAlignment="1">
      <alignment horizontal="left" vertical="center"/>
    </xf>
    <xf numFmtId="164" fontId="6" fillId="0" borderId="0" xfId="4" applyNumberFormat="1" applyAlignment="1">
      <alignment vertical="center"/>
    </xf>
    <xf numFmtId="164" fontId="3" fillId="0" borderId="0" xfId="4" applyNumberFormat="1" applyFont="1" applyAlignment="1">
      <alignment horizontal="left" vertical="center"/>
    </xf>
    <xf numFmtId="44" fontId="0" fillId="0" borderId="0" xfId="0" applyNumberFormat="1" applyAlignment="1">
      <alignment vertical="center"/>
    </xf>
  </cellXfs>
  <cellStyles count="7">
    <cellStyle name="Comma" xfId="1" builtinId="3"/>
    <cellStyle name="Currency" xfId="2" builtinId="4"/>
    <cellStyle name="Currency 2" xfId="6" xr:uid="{22775A5C-E89F-44D4-9A80-E39CF55AD25A}"/>
    <cellStyle name="Normal" xfId="0" builtinId="0"/>
    <cellStyle name="Normal 2" xfId="4" xr:uid="{27F19638-7D44-43C8-A204-F964AC5CBA9B}"/>
    <cellStyle name="Normal_CLARINDA" xfId="5" xr:uid="{8AAD15FC-EC67-45EF-94E6-501FBD44E13D}"/>
    <cellStyle name="Normal_LUCAS REMODEL FOR Dept of Comm." xfId="3" xr:uid="{2B0244D6-5D10-4DFF-B673-9140ACE28B5F}"/>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calcChain" Target="calcChain.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18</xdr:col>
      <xdr:colOff>495300</xdr:colOff>
      <xdr:row>23</xdr:row>
      <xdr:rowOff>87630</xdr:rowOff>
    </xdr:to>
    <xdr:pic>
      <xdr:nvPicPr>
        <xdr:cNvPr id="4" name="Picture 1">
          <a:extLst>
            <a:ext uri="{FF2B5EF4-FFF2-40B4-BE49-F238E27FC236}">
              <a16:creationId xmlns:a16="http://schemas.microsoft.com/office/drawing/2014/main" id="{0D1F59B0-9349-4F55-BDF0-55794F75B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11468100" cy="42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18</xdr:col>
      <xdr:colOff>91440</xdr:colOff>
      <xdr:row>67</xdr:row>
      <xdr:rowOff>95250</xdr:rowOff>
    </xdr:to>
    <xdr:pic>
      <xdr:nvPicPr>
        <xdr:cNvPr id="5" name="Picture 2">
          <a:extLst>
            <a:ext uri="{FF2B5EF4-FFF2-40B4-BE49-F238E27FC236}">
              <a16:creationId xmlns:a16="http://schemas.microsoft.com/office/drawing/2014/main" id="{92184267-723A-48F5-8B31-3CB0FCF27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500"/>
          <a:ext cx="11064240" cy="809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DAS%20Shared%20Perm\WebMaster\Financials\Major-Maintenance-FY26-MM26.xlsx" TargetMode="External"/><Relationship Id="rId1" Type="http://schemas.openxmlformats.org/officeDocument/2006/relationships/externalLinkPath" Target="/DAS%20Shared%20Perm/WebMaster/Financials/Major-Maintenance-FY26-MM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nguage"/>
      <sheetName val="FINANCIAL"/>
      <sheetName val="RECAP #9997.26"/>
      <sheetName val="#9997.26 PM TIME "/>
      <sheetName val="RECAP #9440.01"/>
      <sheetName val="#9440.01 DCI Group"/>
      <sheetName val="#9440.01 PM TIME "/>
      <sheetName val="#9440.01 Misc "/>
      <sheetName val="RECAP #9455.00"/>
      <sheetName val="#9455.00 McKinnis Roofing"/>
      <sheetName val="#9455.00 PM TIME "/>
      <sheetName val="#9455.00 Misc"/>
      <sheetName val="#9455.00 Samuels Group"/>
      <sheetName val="RECAP #9483.00"/>
      <sheetName val="#9483.00 DCI Group"/>
      <sheetName val="#9483.00 PM TIME"/>
      <sheetName val="#9483.00 Misc"/>
      <sheetName val="#9483.00 Genesis Architectural"/>
      <sheetName val="RECAP #9484.00"/>
      <sheetName val="#9484.00 DCI Group"/>
      <sheetName val="#9484.00 PM TIME"/>
      <sheetName val="#9484.00 Misc"/>
      <sheetName val="#9484.00 OPN Architects"/>
      <sheetName val="#9484.00 GTG Construction"/>
      <sheetName val="#9484.00 Schumacher Elevator"/>
      <sheetName val="#9484.00 DCI Group (2)"/>
      <sheetName val="RECAP #9491.00"/>
      <sheetName val="#9491.00 DCI Group"/>
      <sheetName val="#9491.00 PM TIME "/>
      <sheetName val="#9491.00 Misc "/>
      <sheetName val="#9491.00 KCL Engineering"/>
      <sheetName val="#9491.00 Modern Piping Service"/>
      <sheetName val="RECAP #9494.00"/>
      <sheetName val="#9494.00 Vendor A "/>
      <sheetName val="#9494.00 PM TIME"/>
      <sheetName val="#9494.00 Misc "/>
      <sheetName val="RECAP #9495.00"/>
      <sheetName val="#9495.00 Vendor A "/>
      <sheetName val="#9495.00 PM TIME "/>
      <sheetName val="#9495.00 Misc"/>
      <sheetName val="RECAP #9496.00"/>
      <sheetName val="#9496.00 McGough Construction"/>
      <sheetName val="#9496.00 PM TIME"/>
      <sheetName val="#9496.00 Misc"/>
      <sheetName val="RECAP #9497.00"/>
      <sheetName val="#9497.00 Story Construction"/>
      <sheetName val="#9497.00 PM TIME"/>
      <sheetName val="#9497.00 Misc"/>
      <sheetName val="#9497.00 ECS Midwest"/>
      <sheetName val="RECAP #9498.00"/>
      <sheetName val="#9498.00 DCI Group"/>
      <sheetName val="#9498.00 PM TIME"/>
      <sheetName val="#9498.00 Misc"/>
      <sheetName val="#9498.00 OPN Architects"/>
      <sheetName val="RECAP #9499.00"/>
      <sheetName val="#9499.00 Boyd Jones"/>
      <sheetName val="#9499.00 PM TIME "/>
      <sheetName val="#9499.00 Misc "/>
      <sheetName val="#9499.00 Larson Engineering"/>
      <sheetName val="RECAP #9500.00"/>
      <sheetName val="#9500.00 McGough Construction"/>
      <sheetName val="#9500.00 PM TIME"/>
      <sheetName val="#9500.00 Misc"/>
      <sheetName val="#9500.00 KCL Engineering"/>
      <sheetName val="#9500.00 Terracon Consultants"/>
      <sheetName val="RECAP #9501.00"/>
      <sheetName val="#9501.00 McGough Construction"/>
      <sheetName val="#9501.00 PM TIME"/>
      <sheetName val="#9501.00 Misc"/>
      <sheetName val="RECAP #9502.00"/>
      <sheetName val="#9502.00 McGough Construction"/>
      <sheetName val="#9502.00 PM TIME"/>
      <sheetName val="#9502.00 Misc "/>
      <sheetName val="#9502.00 Modus Engineering"/>
      <sheetName val="RECAP #9503.00"/>
      <sheetName val="#9503.00 Story Construction"/>
      <sheetName val="#9503.00 PM TIME "/>
      <sheetName val="#9503.00 Misc"/>
      <sheetName val="#9503.00 SystemWorks"/>
      <sheetName val="RECAP #9504.00"/>
      <sheetName val="#9504.00 Story Construction"/>
      <sheetName val="#9504.00 PM TIME"/>
      <sheetName val="#9504.00 Misc"/>
      <sheetName val="RECAP #9505.00"/>
      <sheetName val="#9505.00 Shive Hattery"/>
      <sheetName val="#9505.00 PM TIME"/>
      <sheetName val="#9505.00 Misc"/>
      <sheetName val="#9505.00 Boyd Jones"/>
      <sheetName val="RECAP #9506.00"/>
      <sheetName val="#9506.00 McGough Construction"/>
      <sheetName val="#9506.00 PM TIME"/>
      <sheetName val="#9506.00 Misc"/>
      <sheetName val="RECAP #9507.00"/>
      <sheetName val="#9507.00 Vendor A"/>
      <sheetName val="#9507.00 PM TIME"/>
      <sheetName val="#9507.00 Misc"/>
      <sheetName val="RECAP #9508.00"/>
      <sheetName val="#9508.00 Story Construction"/>
      <sheetName val="#9508.00 PM TIME"/>
      <sheetName val="#9508.00 Misc "/>
      <sheetName val="#9508.00 CMB Architects"/>
      <sheetName val="RECAP #9509.00"/>
      <sheetName val="#9509.00 Vendor A"/>
      <sheetName val="#9509.00 PM TIME"/>
      <sheetName val="#9509.00 Misc"/>
      <sheetName val="RECAP #9510.00"/>
      <sheetName val="#9510.00 Vendor A"/>
      <sheetName val="#9510.00 PM TIME"/>
      <sheetName val="#9510.00 Misc"/>
      <sheetName val="RECAP #9511.00"/>
      <sheetName val="#9511.00 McGough Construction"/>
      <sheetName val="#9511.00 PM TIME"/>
      <sheetName val="#9511.00 Misc"/>
      <sheetName val="#9511.00 Bolton and Menk"/>
      <sheetName val="RECAP #9512.00"/>
      <sheetName val="#9512.00 Larson Engineering"/>
      <sheetName val="#9512.00 PM TIME"/>
      <sheetName val="#9512.00 Misc"/>
      <sheetName val="RECAP #9513.00"/>
      <sheetName val="#9513.00 DCI Group"/>
      <sheetName val="#9513.00 PM TIME"/>
      <sheetName val="#9513.00 Misc"/>
      <sheetName val="#9513.00 Kezlo Group"/>
      <sheetName val="RECAP #9514.00"/>
      <sheetName val="#9514.00 Horizon Architecture"/>
      <sheetName val="#9514.00 PM TIME "/>
      <sheetName val="#9514.00 Misc "/>
      <sheetName val="RECAP #9519.00"/>
      <sheetName val="#9519.00 Vendor A "/>
      <sheetName val="#9519.00 PM TIME"/>
      <sheetName val="#9519.00 Misc"/>
      <sheetName val="RECAP #9521.00"/>
      <sheetName val="#9521.00 Boyd Jones"/>
      <sheetName val="#9521.00 PM TIME "/>
      <sheetName val="#9521.00 Misc"/>
      <sheetName val="RECAP #9524.00"/>
      <sheetName val="#9524.00 Vendor A "/>
      <sheetName val="#9524.00 PM TIME"/>
      <sheetName val="#9524.00 Misc "/>
      <sheetName val="RECAP #9527.00"/>
      <sheetName val="#9527.00 Vendor A "/>
      <sheetName val="#9527.00 PM TIME"/>
      <sheetName val="#9527.00 Misc"/>
      <sheetName val="RECAP #9529.00"/>
      <sheetName val="#9529.00 Vendor A "/>
      <sheetName val="#9529.00 PM TIME"/>
      <sheetName val="#9529.00 Misc "/>
      <sheetName val="RECAP #9530.00"/>
      <sheetName val="#9530.00 Vendor A"/>
      <sheetName val="#9530.00 PM TIME"/>
      <sheetName val="#9530.00 Misc"/>
      <sheetName val="RECAP #XXXX.XX (4)"/>
      <sheetName val="#XXXX.XX Vendor A  (4)"/>
      <sheetName val="#XXXX.XX PM TIME (4)"/>
      <sheetName val="#XXXX.XX Misc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ow r="1">
          <cell r="B1" t="str">
            <v>IDOE IPBS 6450 Corporate Drive Repair Auditorium Exterior Fire Exit</v>
          </cell>
        </row>
        <row r="2">
          <cell r="B2" t="str">
            <v>Project # 9512.00</v>
          </cell>
        </row>
        <row r="3">
          <cell r="B3" t="str">
            <v>Program code 951200</v>
          </cell>
          <cell r="E3" t="str">
            <v>Major Program 4E19</v>
          </cell>
        </row>
        <row r="6">
          <cell r="B6" t="str">
            <v>Project Manager -Oliver S. (BA)</v>
          </cell>
        </row>
      </sheetData>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25.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30.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3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69CBB-1171-49C5-B164-DB70D9B89106}">
  <sheetPr>
    <tabColor rgb="FF0070C0"/>
  </sheetPr>
  <dimension ref="A1:A68"/>
  <sheetViews>
    <sheetView topLeftCell="A16" workbookViewId="0">
      <selection activeCell="A26" sqref="A26"/>
    </sheetView>
  </sheetViews>
  <sheetFormatPr defaultRowHeight="15" customHeight="1" x14ac:dyDescent="0.25"/>
  <sheetData>
    <row r="1" spans="1:1" x14ac:dyDescent="0.25">
      <c r="A1" s="173" t="s">
        <v>86</v>
      </c>
    </row>
    <row r="2" spans="1:1" x14ac:dyDescent="0.25"/>
    <row r="3" spans="1:1" x14ac:dyDescent="0.25"/>
    <row r="4" spans="1:1" x14ac:dyDescent="0.25"/>
    <row r="5" spans="1:1" x14ac:dyDescent="0.25"/>
    <row r="6" spans="1:1" x14ac:dyDescent="0.25"/>
    <row r="7" spans="1:1" x14ac:dyDescent="0.25"/>
    <row r="8" spans="1:1" x14ac:dyDescent="0.25"/>
    <row r="9" spans="1:1" x14ac:dyDescent="0.25"/>
    <row r="10" spans="1:1" x14ac:dyDescent="0.25"/>
    <row r="11" spans="1:1" x14ac:dyDescent="0.25"/>
    <row r="12" spans="1:1" x14ac:dyDescent="0.25"/>
    <row r="13" spans="1:1" x14ac:dyDescent="0.25"/>
    <row r="14" spans="1:1" x14ac:dyDescent="0.25"/>
    <row r="15" spans="1:1" x14ac:dyDescent="0.25"/>
    <row r="16" spans="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A72F8-5E5E-4125-A463-FAF1F0B2416F}">
  <sheetPr>
    <pageSetUpPr fitToPage="1"/>
  </sheetPr>
  <dimension ref="A1:G16"/>
  <sheetViews>
    <sheetView zoomScaleNormal="100" workbookViewId="0">
      <selection activeCell="K9" sqref="K9"/>
    </sheetView>
  </sheetViews>
  <sheetFormatPr defaultColWidth="11.42578125" defaultRowHeight="15" customHeight="1" x14ac:dyDescent="0.25"/>
  <cols>
    <col min="1" max="1" width="3.5703125" customWidth="1"/>
    <col min="2" max="2" width="28.1406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354</v>
      </c>
      <c r="C1" s="3"/>
      <c r="D1" s="4"/>
      <c r="E1" s="4"/>
      <c r="F1" s="4"/>
      <c r="G1" s="4"/>
    </row>
    <row r="2" spans="1:7" ht="15.75" x14ac:dyDescent="0.25">
      <c r="A2" s="1"/>
      <c r="B2" s="6" t="s">
        <v>357</v>
      </c>
      <c r="C2" s="5"/>
      <c r="D2" s="4"/>
      <c r="E2" s="4"/>
      <c r="F2" s="4"/>
      <c r="G2" s="4"/>
    </row>
    <row r="3" spans="1:7" ht="15.75" x14ac:dyDescent="0.25">
      <c r="A3" s="1"/>
      <c r="B3" s="7" t="s">
        <v>358</v>
      </c>
      <c r="C3" s="5"/>
      <c r="D3" s="4"/>
      <c r="E3" s="8" t="s">
        <v>208</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34.5" customHeight="1" thickBot="1" x14ac:dyDescent="0.3">
      <c r="A7" s="1"/>
      <c r="B7" s="18" t="s">
        <v>2</v>
      </c>
      <c r="C7" s="19" t="s">
        <v>3</v>
      </c>
      <c r="D7" s="20" t="s">
        <v>4</v>
      </c>
      <c r="E7" s="21" t="s">
        <v>5</v>
      </c>
      <c r="F7" s="22" t="s">
        <v>6</v>
      </c>
      <c r="G7" s="22" t="s">
        <v>7</v>
      </c>
    </row>
    <row r="8" spans="1:7" ht="28.35" customHeight="1" x14ac:dyDescent="0.25">
      <c r="A8" s="1"/>
      <c r="B8" s="1" t="s">
        <v>8</v>
      </c>
      <c r="C8" s="23">
        <f>FINANCIAL!G17</f>
        <v>3700000</v>
      </c>
      <c r="D8" s="24"/>
      <c r="E8" s="24"/>
      <c r="F8" s="24"/>
      <c r="G8" s="25"/>
    </row>
    <row r="9" spans="1:7" ht="12.75" customHeight="1" x14ac:dyDescent="0.25">
      <c r="A9" s="1"/>
      <c r="B9" s="5"/>
      <c r="C9" s="212"/>
      <c r="D9" s="27"/>
      <c r="E9" s="27"/>
      <c r="F9" s="27"/>
      <c r="G9" s="25"/>
    </row>
    <row r="10" spans="1:7" ht="12.75" customHeight="1" x14ac:dyDescent="0.25">
      <c r="A10" s="1"/>
      <c r="B10" s="5" t="s">
        <v>399</v>
      </c>
      <c r="C10" s="26"/>
      <c r="D10" s="24">
        <f>'#9455.00 McKinnis Roofing'!D23</f>
        <v>2454306</v>
      </c>
      <c r="E10" s="24">
        <f>'#9455.00 McKinnis Roofing'!F23</f>
        <v>0</v>
      </c>
      <c r="F10" s="24">
        <f>'#9455.00 McKinnis Roofing'!H23</f>
        <v>2454306</v>
      </c>
      <c r="G10" s="25"/>
    </row>
    <row r="11" spans="1:7" ht="12.75" customHeight="1" x14ac:dyDescent="0.25">
      <c r="A11" s="1"/>
      <c r="B11" s="5" t="s">
        <v>10</v>
      </c>
      <c r="C11" s="26"/>
      <c r="D11" s="24">
        <f>'#9455.00 PM TIME '!E23</f>
        <v>0</v>
      </c>
      <c r="E11" s="24">
        <f>'#9455.00 PM TIME '!G23</f>
        <v>0</v>
      </c>
      <c r="F11" s="24">
        <f>'#9455.00 PM TIME '!I23</f>
        <v>0</v>
      </c>
      <c r="G11" s="25"/>
    </row>
    <row r="12" spans="1:7" ht="12.75" customHeight="1" x14ac:dyDescent="0.25">
      <c r="A12" s="1"/>
      <c r="B12" s="5" t="s">
        <v>11</v>
      </c>
      <c r="C12" s="27"/>
      <c r="D12" s="28">
        <f>'#9455.00 Misc'!G22</f>
        <v>6639</v>
      </c>
      <c r="E12" s="28">
        <f>'#9455.00 Misc'!G22</f>
        <v>6639</v>
      </c>
      <c r="F12" s="24">
        <f>D12-E12</f>
        <v>0</v>
      </c>
      <c r="G12" s="25"/>
    </row>
    <row r="13" spans="1:7" ht="12.75" customHeight="1" x14ac:dyDescent="0.25">
      <c r="A13" s="1"/>
      <c r="B13" s="5" t="s">
        <v>481</v>
      </c>
      <c r="C13" s="27"/>
      <c r="D13" s="28">
        <f>'#9455.00 Samuels Group'!D23</f>
        <v>750625.68</v>
      </c>
      <c r="E13" s="28">
        <f>'#9455.00 Samuels Group'!F23</f>
        <v>4461.7700000000004</v>
      </c>
      <c r="F13" s="24">
        <f>'#9455.00 Samuels Group'!H23</f>
        <v>746163.91</v>
      </c>
      <c r="G13" s="25"/>
    </row>
    <row r="14" spans="1:7" ht="12.75" customHeight="1" x14ac:dyDescent="0.25">
      <c r="A14" s="12"/>
      <c r="B14" s="5"/>
      <c r="C14" s="27"/>
      <c r="D14" s="28"/>
      <c r="E14" s="28"/>
      <c r="F14" s="24"/>
      <c r="G14" s="29"/>
    </row>
    <row r="15" spans="1:7" ht="24" customHeight="1" thickBot="1" x14ac:dyDescent="0.3">
      <c r="A15" s="30"/>
      <c r="B15" s="31" t="s">
        <v>12</v>
      </c>
      <c r="C15" s="32">
        <f>SUM(C8:C14)</f>
        <v>3700000</v>
      </c>
      <c r="D15" s="32">
        <f>SUM(D8:D14)</f>
        <v>3211570.68</v>
      </c>
      <c r="E15" s="32">
        <f>SUM(E8:E14)</f>
        <v>11100.77</v>
      </c>
      <c r="F15" s="32">
        <f>SUM(D15-E15)</f>
        <v>3200469.91</v>
      </c>
      <c r="G15" s="32">
        <f>C8-D15</f>
        <v>488429.31999999983</v>
      </c>
    </row>
    <row r="16" spans="1:7" ht="15" customHeight="1" thickTop="1" x14ac:dyDescent="0.25"/>
  </sheetData>
  <pageMargins left="0.25" right="0.25" top="1.2496875000000001" bottom="0.75" header="0.09" footer="0.3"/>
  <pageSetup scale="9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83583-8DB4-44B0-BAEE-C32CC3EA24E9}">
  <sheetPr>
    <pageSetUpPr fitToPage="1"/>
  </sheetPr>
  <dimension ref="A1:I31"/>
  <sheetViews>
    <sheetView zoomScaleNormal="100" workbookViewId="0">
      <selection activeCell="N31" sqref="N31"/>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2.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#9506.00'!B1</f>
        <v>DOC MPCF Perimeter Fence and Wagon Gates</v>
      </c>
      <c r="B1" s="3"/>
      <c r="C1" s="4"/>
      <c r="D1" s="4"/>
      <c r="E1" s="4"/>
      <c r="F1" s="33"/>
      <c r="G1" s="33"/>
      <c r="H1" s="34"/>
      <c r="I1" s="34"/>
    </row>
    <row r="2" spans="1:9" ht="15.75" x14ac:dyDescent="0.25">
      <c r="A2" s="6" t="str">
        <f>'RECAP #9506.00'!B2</f>
        <v>Project # 9506.00</v>
      </c>
      <c r="B2" s="5"/>
      <c r="C2" s="4"/>
      <c r="D2" s="4"/>
      <c r="E2" s="4"/>
      <c r="F2" s="33"/>
      <c r="G2" s="33"/>
      <c r="H2" s="34"/>
      <c r="I2" s="34"/>
    </row>
    <row r="3" spans="1:9" ht="15.75" x14ac:dyDescent="0.25">
      <c r="A3" s="7" t="str">
        <f>'RECAP #9506.00'!B3</f>
        <v>Program code 950600</v>
      </c>
      <c r="B3" s="5"/>
      <c r="C3" s="4"/>
      <c r="D3" s="8" t="str">
        <f>'RECAP #9506.00'!E3</f>
        <v>Major Program 4E01</v>
      </c>
      <c r="E3" s="4"/>
      <c r="F3" s="33"/>
      <c r="G3" s="33"/>
      <c r="H3" s="34"/>
      <c r="I3" s="34"/>
    </row>
    <row r="4" spans="1:9" ht="15.75" x14ac:dyDescent="0.25">
      <c r="A4" s="35" t="s">
        <v>547</v>
      </c>
      <c r="B4" s="36"/>
      <c r="C4" s="37"/>
      <c r="D4" s="38" t="s">
        <v>548</v>
      </c>
      <c r="E4" s="39"/>
      <c r="F4" s="33"/>
      <c r="G4" s="33"/>
      <c r="H4" s="34"/>
      <c r="I4" s="34"/>
    </row>
    <row r="5" spans="1:9" ht="15.75" x14ac:dyDescent="0.25">
      <c r="A5" s="40" t="s">
        <v>552</v>
      </c>
      <c r="B5" s="41"/>
      <c r="C5" s="42"/>
      <c r="D5" s="43" t="s">
        <v>666</v>
      </c>
      <c r="E5" s="44"/>
      <c r="F5" s="45"/>
      <c r="G5" s="46"/>
      <c r="H5" s="41"/>
      <c r="I5" s="34"/>
    </row>
    <row r="6" spans="1:9" ht="15.75" x14ac:dyDescent="0.25">
      <c r="A6" s="13" t="str">
        <f>'RECAP #9506.00'!B6</f>
        <v>Project Manager - Brandon 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667</v>
      </c>
      <c r="B9" s="287">
        <v>46091</v>
      </c>
      <c r="C9" s="288" t="s">
        <v>111</v>
      </c>
      <c r="D9" s="289">
        <v>152244</v>
      </c>
      <c r="E9" s="290">
        <f>D9</f>
        <v>152244</v>
      </c>
      <c r="F9" s="291"/>
      <c r="G9" s="291"/>
      <c r="H9" s="291">
        <f>E9</f>
        <v>152244</v>
      </c>
      <c r="I9" s="292"/>
    </row>
    <row r="10" spans="1:9" s="275" customFormat="1" ht="12.75" customHeight="1" x14ac:dyDescent="0.25">
      <c r="A10" s="286"/>
      <c r="B10" s="293"/>
      <c r="C10" s="288"/>
      <c r="D10" s="290"/>
      <c r="E10" s="290">
        <f t="shared" ref="E10:E21" si="0">E9+D10</f>
        <v>152244</v>
      </c>
      <c r="F10" s="294"/>
      <c r="G10" s="291">
        <f t="shared" ref="G10:G21" si="1">G9+F10</f>
        <v>0</v>
      </c>
      <c r="H10" s="291">
        <f t="shared" ref="H10:H21" si="2">H9-F10+D10</f>
        <v>152244</v>
      </c>
      <c r="I10" s="292"/>
    </row>
    <row r="11" spans="1:9" s="275" customFormat="1" ht="12.75" customHeight="1" x14ac:dyDescent="0.25">
      <c r="A11" s="286"/>
      <c r="B11" s="287"/>
      <c r="C11" s="288"/>
      <c r="D11" s="290"/>
      <c r="E11" s="290">
        <f t="shared" si="0"/>
        <v>152244</v>
      </c>
      <c r="F11" s="295"/>
      <c r="G11" s="291">
        <f t="shared" si="1"/>
        <v>0</v>
      </c>
      <c r="H11" s="291">
        <f t="shared" si="2"/>
        <v>152244</v>
      </c>
      <c r="I11" s="292"/>
    </row>
    <row r="12" spans="1:9" s="275" customFormat="1" ht="12.75" customHeight="1" x14ac:dyDescent="0.25">
      <c r="A12" s="286"/>
      <c r="B12" s="287"/>
      <c r="C12" s="288"/>
      <c r="D12" s="290"/>
      <c r="E12" s="290">
        <f t="shared" si="0"/>
        <v>152244</v>
      </c>
      <c r="F12" s="295"/>
      <c r="G12" s="291">
        <f t="shared" si="1"/>
        <v>0</v>
      </c>
      <c r="H12" s="291">
        <f t="shared" si="2"/>
        <v>152244</v>
      </c>
      <c r="I12" s="292"/>
    </row>
    <row r="13" spans="1:9" s="275" customFormat="1" ht="12.75" customHeight="1" x14ac:dyDescent="0.25">
      <c r="A13" s="286"/>
      <c r="B13" s="287"/>
      <c r="C13" s="288"/>
      <c r="D13" s="290"/>
      <c r="E13" s="290">
        <f t="shared" si="0"/>
        <v>152244</v>
      </c>
      <c r="F13" s="295"/>
      <c r="G13" s="291">
        <f t="shared" si="1"/>
        <v>0</v>
      </c>
      <c r="H13" s="291">
        <f t="shared" si="2"/>
        <v>152244</v>
      </c>
      <c r="I13" s="292"/>
    </row>
    <row r="14" spans="1:9" s="275" customFormat="1" ht="12.75" customHeight="1" x14ac:dyDescent="0.25">
      <c r="A14" s="286"/>
      <c r="B14" s="287"/>
      <c r="C14" s="288"/>
      <c r="D14" s="290"/>
      <c r="E14" s="290">
        <f t="shared" si="0"/>
        <v>152244</v>
      </c>
      <c r="F14" s="291"/>
      <c r="G14" s="291">
        <f t="shared" si="1"/>
        <v>0</v>
      </c>
      <c r="H14" s="291">
        <f t="shared" si="2"/>
        <v>152244</v>
      </c>
      <c r="I14" s="292"/>
    </row>
    <row r="15" spans="1:9" s="275" customFormat="1" ht="12.75" customHeight="1" x14ac:dyDescent="0.25">
      <c r="A15" s="286"/>
      <c r="B15" s="287"/>
      <c r="C15" s="288"/>
      <c r="D15" s="290"/>
      <c r="E15" s="290">
        <f t="shared" si="0"/>
        <v>152244</v>
      </c>
      <c r="F15" s="295"/>
      <c r="G15" s="291">
        <f t="shared" si="1"/>
        <v>0</v>
      </c>
      <c r="H15" s="291">
        <f t="shared" si="2"/>
        <v>152244</v>
      </c>
      <c r="I15" s="292"/>
    </row>
    <row r="16" spans="1:9" s="275" customFormat="1" ht="12.75" customHeight="1" x14ac:dyDescent="0.25">
      <c r="A16" s="286"/>
      <c r="B16" s="287"/>
      <c r="C16" s="288"/>
      <c r="D16" s="290"/>
      <c r="E16" s="290">
        <f t="shared" si="0"/>
        <v>152244</v>
      </c>
      <c r="F16" s="295"/>
      <c r="G16" s="291">
        <f t="shared" si="1"/>
        <v>0</v>
      </c>
      <c r="H16" s="291">
        <f t="shared" si="2"/>
        <v>152244</v>
      </c>
      <c r="I16" s="292"/>
    </row>
    <row r="17" spans="1:9" s="275" customFormat="1" ht="12.75" customHeight="1" x14ac:dyDescent="0.25">
      <c r="A17" s="286"/>
      <c r="B17" s="287"/>
      <c r="C17" s="288"/>
      <c r="D17" s="290"/>
      <c r="E17" s="290">
        <f t="shared" si="0"/>
        <v>152244</v>
      </c>
      <c r="F17" s="295"/>
      <c r="G17" s="291">
        <f t="shared" si="1"/>
        <v>0</v>
      </c>
      <c r="H17" s="291">
        <f t="shared" si="2"/>
        <v>152244</v>
      </c>
      <c r="I17" s="292"/>
    </row>
    <row r="18" spans="1:9" s="275" customFormat="1" ht="12.75" customHeight="1" x14ac:dyDescent="0.25">
      <c r="A18" s="286"/>
      <c r="B18" s="287"/>
      <c r="C18" s="288"/>
      <c r="D18" s="290"/>
      <c r="E18" s="290">
        <f t="shared" si="0"/>
        <v>152244</v>
      </c>
      <c r="F18" s="295"/>
      <c r="G18" s="291">
        <f t="shared" si="1"/>
        <v>0</v>
      </c>
      <c r="H18" s="291">
        <f t="shared" si="2"/>
        <v>152244</v>
      </c>
      <c r="I18" s="292"/>
    </row>
    <row r="19" spans="1:9" s="275" customFormat="1" ht="12.75" customHeight="1" x14ac:dyDescent="0.25">
      <c r="A19" s="286"/>
      <c r="B19" s="287"/>
      <c r="C19" s="288"/>
      <c r="D19" s="290"/>
      <c r="E19" s="290">
        <f t="shared" si="0"/>
        <v>152244</v>
      </c>
      <c r="F19" s="291"/>
      <c r="G19" s="291">
        <f t="shared" si="1"/>
        <v>0</v>
      </c>
      <c r="H19" s="291">
        <f t="shared" si="2"/>
        <v>152244</v>
      </c>
      <c r="I19" s="292"/>
    </row>
    <row r="20" spans="1:9" s="275" customFormat="1" ht="12.75" customHeight="1" x14ac:dyDescent="0.25">
      <c r="A20" s="286"/>
      <c r="B20" s="287"/>
      <c r="C20" s="288"/>
      <c r="D20" s="290"/>
      <c r="E20" s="290">
        <f t="shared" si="0"/>
        <v>152244</v>
      </c>
      <c r="F20" s="291"/>
      <c r="G20" s="291">
        <f t="shared" si="1"/>
        <v>0</v>
      </c>
      <c r="H20" s="291">
        <f t="shared" si="2"/>
        <v>152244</v>
      </c>
      <c r="I20" s="292"/>
    </row>
    <row r="21" spans="1:9" s="275" customFormat="1" ht="12.75" customHeight="1" x14ac:dyDescent="0.25">
      <c r="A21" s="286"/>
      <c r="B21" s="287"/>
      <c r="C21" s="296"/>
      <c r="D21" s="290"/>
      <c r="E21" s="290">
        <f t="shared" si="0"/>
        <v>152244</v>
      </c>
      <c r="F21" s="291"/>
      <c r="G21" s="291">
        <f t="shared" si="1"/>
        <v>0</v>
      </c>
      <c r="H21" s="291">
        <f t="shared" si="2"/>
        <v>152244</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152244</v>
      </c>
      <c r="E23" s="302"/>
      <c r="F23" s="302">
        <f>SUM(F9:F22)</f>
        <v>0</v>
      </c>
      <c r="G23" s="302"/>
      <c r="H23" s="302">
        <f>D23-F23</f>
        <v>152244</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297" t="s">
        <v>467</v>
      </c>
      <c r="D26" s="291">
        <v>69764</v>
      </c>
      <c r="E26" s="291"/>
      <c r="F26" s="291"/>
      <c r="G26" s="291"/>
      <c r="H26" s="291">
        <f>D26-F26</f>
        <v>69764</v>
      </c>
      <c r="I26" s="292"/>
    </row>
    <row r="27" spans="1:9" s="275" customFormat="1" ht="12.75" customHeight="1" x14ac:dyDescent="0.25">
      <c r="A27" s="286"/>
      <c r="B27" s="288"/>
      <c r="C27" s="297" t="s">
        <v>123</v>
      </c>
      <c r="D27" s="291">
        <v>50994</v>
      </c>
      <c r="E27" s="291"/>
      <c r="F27" s="291"/>
      <c r="G27" s="291"/>
      <c r="H27" s="291">
        <f t="shared" ref="H27:H29" si="3">D27-F27</f>
        <v>50994</v>
      </c>
      <c r="I27" s="292"/>
    </row>
    <row r="28" spans="1:9" s="275" customFormat="1" ht="12.75" customHeight="1" x14ac:dyDescent="0.25">
      <c r="A28" s="286"/>
      <c r="B28" s="288"/>
      <c r="C28" s="312" t="s">
        <v>308</v>
      </c>
      <c r="D28" s="313">
        <v>2592</v>
      </c>
      <c r="E28" s="313"/>
      <c r="F28" s="313"/>
      <c r="G28" s="313"/>
      <c r="H28" s="291">
        <f t="shared" si="3"/>
        <v>2592</v>
      </c>
      <c r="I28" s="292"/>
    </row>
    <row r="29" spans="1:9" s="275" customFormat="1" ht="12.75" customHeight="1" x14ac:dyDescent="0.25">
      <c r="A29" s="286"/>
      <c r="B29" s="288"/>
      <c r="C29" s="312" t="s">
        <v>668</v>
      </c>
      <c r="D29" s="313">
        <v>28894</v>
      </c>
      <c r="E29" s="313"/>
      <c r="F29" s="313"/>
      <c r="G29" s="313"/>
      <c r="H29" s="291">
        <f t="shared" si="3"/>
        <v>28894</v>
      </c>
      <c r="I29" s="292"/>
    </row>
    <row r="30" spans="1:9" s="275" customFormat="1" ht="12.75" customHeight="1" thickBot="1" x14ac:dyDescent="0.3">
      <c r="A30" s="286"/>
      <c r="B30" s="288"/>
      <c r="C30" s="314" t="s">
        <v>67</v>
      </c>
      <c r="D30" s="315">
        <f>SUM(D26:D29)</f>
        <v>152244</v>
      </c>
      <c r="E30" s="316"/>
      <c r="F30" s="315">
        <f>SUM(F26:F29)</f>
        <v>0</v>
      </c>
      <c r="G30" s="316"/>
      <c r="H30" s="315">
        <f>SUM(H26:H29)</f>
        <v>152244</v>
      </c>
      <c r="I30" s="292"/>
    </row>
    <row r="31" spans="1:9" s="275" customFormat="1" ht="12.75" customHeight="1" thickTop="1" x14ac:dyDescent="0.25"/>
  </sheetData>
  <conditionalFormatting sqref="I8:I23">
    <cfRule type="cellIs" dxfId="20"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E07D7-66AE-413B-BB70-53B61458D7DB}">
  <sheetPr>
    <pageSetUpPr fitToPage="1"/>
  </sheetPr>
  <dimension ref="A1:G15"/>
  <sheetViews>
    <sheetView zoomScaleNormal="100" workbookViewId="0">
      <selection activeCell="K23" sqref="K2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162</v>
      </c>
      <c r="C1" s="3"/>
      <c r="D1" s="4"/>
      <c r="E1" s="4"/>
      <c r="F1" s="4"/>
      <c r="G1" s="4"/>
    </row>
    <row r="2" spans="1:7" ht="15.75" x14ac:dyDescent="0.25">
      <c r="A2" s="1"/>
      <c r="B2" s="6" t="s">
        <v>218</v>
      </c>
      <c r="C2" s="5"/>
      <c r="D2" s="4"/>
      <c r="E2" s="4"/>
      <c r="F2" s="4"/>
      <c r="G2" s="4"/>
    </row>
    <row r="3" spans="1:7" ht="15.75" x14ac:dyDescent="0.25">
      <c r="A3" s="1"/>
      <c r="B3" s="7" t="s">
        <v>219</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220</v>
      </c>
      <c r="C6" s="14"/>
      <c r="D6" s="15" t="s">
        <v>2</v>
      </c>
      <c r="E6" s="16"/>
      <c r="F6" s="16"/>
      <c r="G6" s="16"/>
    </row>
    <row r="7" spans="1:7" ht="36.75" customHeight="1" thickBot="1" x14ac:dyDescent="0.3">
      <c r="A7" s="1"/>
      <c r="B7" s="18" t="s">
        <v>2</v>
      </c>
      <c r="C7" s="19" t="s">
        <v>3</v>
      </c>
      <c r="D7" s="20" t="s">
        <v>4</v>
      </c>
      <c r="E7" s="21" t="s">
        <v>5</v>
      </c>
      <c r="F7" s="22" t="s">
        <v>6</v>
      </c>
      <c r="G7" s="22" t="s">
        <v>7</v>
      </c>
    </row>
    <row r="8" spans="1:7" ht="28.35" customHeight="1" x14ac:dyDescent="0.25">
      <c r="A8" s="1"/>
      <c r="B8" s="1" t="s">
        <v>8</v>
      </c>
      <c r="C8" s="23">
        <f>FINANCIAL!G34</f>
        <v>700000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03"/>
      <c r="B10" s="304" t="s">
        <v>9</v>
      </c>
      <c r="C10" s="305"/>
      <c r="D10" s="308">
        <f>'#9507.00 Vendor A'!D23</f>
        <v>0</v>
      </c>
      <c r="E10" s="308">
        <f>'#9507.00 Vendor A'!F23</f>
        <v>0</v>
      </c>
      <c r="F10" s="308">
        <f>'#9507.00 Vendor A'!H23</f>
        <v>0</v>
      </c>
      <c r="G10" s="307"/>
    </row>
    <row r="11" spans="1:7" s="275" customFormat="1" ht="12.75" customHeight="1" x14ac:dyDescent="0.25">
      <c r="A11" s="303"/>
      <c r="B11" s="304" t="s">
        <v>10</v>
      </c>
      <c r="C11" s="305"/>
      <c r="D11" s="308">
        <f>'#9507.00 PM TIME'!E23</f>
        <v>15000</v>
      </c>
      <c r="E11" s="308">
        <f>'#9507.00 PM TIME'!G23</f>
        <v>734.36</v>
      </c>
      <c r="F11" s="308">
        <f>'#9507.00 PM TIME'!I23</f>
        <v>14265.64</v>
      </c>
      <c r="G11" s="307"/>
    </row>
    <row r="12" spans="1:7" s="275" customFormat="1" ht="12.75" customHeight="1" x14ac:dyDescent="0.25">
      <c r="A12" s="303"/>
      <c r="B12" s="304" t="s">
        <v>11</v>
      </c>
      <c r="C12" s="306"/>
      <c r="D12" s="309">
        <f>'#9507.00 Misc'!G22</f>
        <v>0</v>
      </c>
      <c r="E12" s="309">
        <f>'#9507.00 Misc'!H22</f>
        <v>0</v>
      </c>
      <c r="F12" s="308">
        <f>D12-E12</f>
        <v>0</v>
      </c>
      <c r="G12" s="307"/>
    </row>
    <row r="13" spans="1:7" s="275" customFormat="1" ht="12.75" customHeight="1" x14ac:dyDescent="0.25">
      <c r="A13" s="310"/>
      <c r="B13" s="304"/>
      <c r="C13" s="306"/>
      <c r="D13" s="309"/>
      <c r="E13" s="309"/>
      <c r="F13" s="308"/>
      <c r="G13" s="311"/>
    </row>
    <row r="14" spans="1:7" ht="24" customHeight="1" thickBot="1" x14ac:dyDescent="0.3">
      <c r="A14" s="30"/>
      <c r="B14" s="31" t="s">
        <v>12</v>
      </c>
      <c r="C14" s="32">
        <f>SUM(C8:C13)</f>
        <v>700000</v>
      </c>
      <c r="D14" s="32">
        <f>SUM(D8:D13)</f>
        <v>15000</v>
      </c>
      <c r="E14" s="32">
        <f>SUM(E8:E13)</f>
        <v>734.36</v>
      </c>
      <c r="F14" s="32">
        <f>SUM(D14-E14)</f>
        <v>14265.64</v>
      </c>
      <c r="G14" s="32">
        <f>C8-D14</f>
        <v>685000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8226-4A81-4D15-B4AF-C2B37C6B1E57}">
  <sheetPr>
    <tabColor rgb="FF0070C0"/>
    <pageSetUpPr fitToPage="1"/>
  </sheetPr>
  <dimension ref="A1:I31"/>
  <sheetViews>
    <sheetView topLeftCell="A4" zoomScaleNormal="100" workbookViewId="0">
      <selection activeCell="K34" sqref="K3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#9507.00'!B1</f>
        <v>DOC IMCC Cooling Tower Replacement</v>
      </c>
      <c r="B1" s="3"/>
      <c r="C1" s="4"/>
      <c r="D1" s="4"/>
      <c r="E1" s="4"/>
      <c r="F1" s="33"/>
      <c r="G1" s="33"/>
      <c r="H1" s="34"/>
      <c r="I1" s="34"/>
    </row>
    <row r="2" spans="1:9" ht="15.75" x14ac:dyDescent="0.25">
      <c r="A2" s="6" t="str">
        <f>'RECAP #9507.00'!B2</f>
        <v>Project # 9507.00</v>
      </c>
      <c r="B2" s="5"/>
      <c r="C2" s="4"/>
      <c r="D2" s="4"/>
      <c r="E2" s="4"/>
      <c r="F2" s="33"/>
      <c r="G2" s="33"/>
      <c r="H2" s="34"/>
      <c r="I2" s="34"/>
    </row>
    <row r="3" spans="1:9" ht="15.75" x14ac:dyDescent="0.25">
      <c r="A3" s="7" t="str">
        <f>'RECAP #9507.00'!B3</f>
        <v>Program code 950700</v>
      </c>
      <c r="B3" s="5"/>
      <c r="C3" s="4"/>
      <c r="D3" s="8" t="str">
        <f>'RECAP #9507.00'!E3</f>
        <v>Major Program 4E01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#9507.00'!B6</f>
        <v>Project Manager - Geoff W.(JK)</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c r="B9" s="287"/>
      <c r="C9" s="288"/>
      <c r="D9" s="330"/>
      <c r="E9" s="290">
        <f>D9</f>
        <v>0</v>
      </c>
      <c r="F9" s="291"/>
      <c r="G9" s="291"/>
      <c r="H9" s="291">
        <f>E9</f>
        <v>0</v>
      </c>
      <c r="I9" s="292"/>
    </row>
    <row r="10" spans="1:9" s="275" customFormat="1" ht="12.75" customHeight="1" x14ac:dyDescent="0.25">
      <c r="A10" s="286"/>
      <c r="B10" s="293"/>
      <c r="C10" s="288"/>
      <c r="D10" s="290"/>
      <c r="E10" s="290">
        <f t="shared" ref="E10:E21" si="0">E9+D10</f>
        <v>0</v>
      </c>
      <c r="F10" s="295"/>
      <c r="G10" s="291">
        <f t="shared" ref="G10:G21" si="1">G9+F10</f>
        <v>0</v>
      </c>
      <c r="H10" s="291">
        <f t="shared" ref="H10:H21" si="2">H9-F10+D10</f>
        <v>0</v>
      </c>
      <c r="I10" s="292"/>
    </row>
    <row r="11" spans="1:9" s="275" customFormat="1" ht="12.75" customHeight="1" x14ac:dyDescent="0.25">
      <c r="A11" s="286"/>
      <c r="B11" s="287"/>
      <c r="C11" s="288"/>
      <c r="D11" s="290"/>
      <c r="E11" s="290">
        <f t="shared" si="0"/>
        <v>0</v>
      </c>
      <c r="F11" s="295"/>
      <c r="G11" s="291">
        <f t="shared" si="1"/>
        <v>0</v>
      </c>
      <c r="H11" s="291">
        <f t="shared" si="2"/>
        <v>0</v>
      </c>
      <c r="I11" s="292"/>
    </row>
    <row r="12" spans="1:9" s="275" customFormat="1" ht="12.75" customHeight="1" x14ac:dyDescent="0.25">
      <c r="A12" s="286"/>
      <c r="B12" s="287"/>
      <c r="C12" s="288"/>
      <c r="D12" s="290"/>
      <c r="E12" s="290">
        <f t="shared" si="0"/>
        <v>0</v>
      </c>
      <c r="F12" s="295"/>
      <c r="G12" s="291">
        <f t="shared" si="1"/>
        <v>0</v>
      </c>
      <c r="H12" s="291">
        <f t="shared" si="2"/>
        <v>0</v>
      </c>
      <c r="I12" s="292"/>
    </row>
    <row r="13" spans="1:9" s="275" customFormat="1" ht="12.75" customHeight="1" x14ac:dyDescent="0.25">
      <c r="A13" s="286"/>
      <c r="B13" s="287"/>
      <c r="C13" s="288"/>
      <c r="D13" s="290"/>
      <c r="E13" s="290">
        <f t="shared" si="0"/>
        <v>0</v>
      </c>
      <c r="F13" s="295"/>
      <c r="G13" s="291">
        <f t="shared" si="1"/>
        <v>0</v>
      </c>
      <c r="H13" s="291">
        <f t="shared" si="2"/>
        <v>0</v>
      </c>
      <c r="I13" s="292"/>
    </row>
    <row r="14" spans="1:9" s="275" customFormat="1" ht="12.75" customHeight="1" x14ac:dyDescent="0.25">
      <c r="A14" s="286"/>
      <c r="B14" s="287"/>
      <c r="C14" s="288"/>
      <c r="D14" s="290"/>
      <c r="E14" s="290">
        <f t="shared" si="0"/>
        <v>0</v>
      </c>
      <c r="F14" s="291"/>
      <c r="G14" s="291">
        <f t="shared" si="1"/>
        <v>0</v>
      </c>
      <c r="H14" s="291">
        <f t="shared" si="2"/>
        <v>0</v>
      </c>
      <c r="I14" s="292"/>
    </row>
    <row r="15" spans="1:9" s="275" customFormat="1" ht="12.75" customHeight="1" x14ac:dyDescent="0.25">
      <c r="A15" s="286"/>
      <c r="B15" s="287"/>
      <c r="C15" s="288"/>
      <c r="D15" s="290"/>
      <c r="E15" s="290">
        <f t="shared" si="0"/>
        <v>0</v>
      </c>
      <c r="F15" s="295"/>
      <c r="G15" s="291">
        <f t="shared" si="1"/>
        <v>0</v>
      </c>
      <c r="H15" s="291">
        <f t="shared" si="2"/>
        <v>0</v>
      </c>
      <c r="I15" s="292"/>
    </row>
    <row r="16" spans="1:9" s="275" customFormat="1" ht="12.75" customHeight="1" x14ac:dyDescent="0.25">
      <c r="A16" s="286"/>
      <c r="B16" s="287"/>
      <c r="C16" s="288"/>
      <c r="D16" s="290"/>
      <c r="E16" s="290">
        <f t="shared" si="0"/>
        <v>0</v>
      </c>
      <c r="F16" s="295"/>
      <c r="G16" s="291">
        <f t="shared" si="1"/>
        <v>0</v>
      </c>
      <c r="H16" s="291">
        <f t="shared" si="2"/>
        <v>0</v>
      </c>
      <c r="I16" s="292"/>
    </row>
    <row r="17" spans="1:9" s="275" customFormat="1" ht="12.75" customHeight="1" x14ac:dyDescent="0.25">
      <c r="A17" s="286"/>
      <c r="B17" s="287"/>
      <c r="C17" s="288"/>
      <c r="D17" s="290"/>
      <c r="E17" s="290">
        <f t="shared" si="0"/>
        <v>0</v>
      </c>
      <c r="F17" s="295"/>
      <c r="G17" s="291">
        <f t="shared" si="1"/>
        <v>0</v>
      </c>
      <c r="H17" s="291">
        <f t="shared" si="2"/>
        <v>0</v>
      </c>
      <c r="I17" s="292"/>
    </row>
    <row r="18" spans="1:9" s="275" customFormat="1" ht="12.75" customHeight="1" x14ac:dyDescent="0.25">
      <c r="A18" s="286"/>
      <c r="B18" s="287"/>
      <c r="C18" s="288"/>
      <c r="D18" s="290"/>
      <c r="E18" s="290">
        <f t="shared" si="0"/>
        <v>0</v>
      </c>
      <c r="F18" s="295"/>
      <c r="G18" s="291">
        <f t="shared" si="1"/>
        <v>0</v>
      </c>
      <c r="H18" s="291">
        <f t="shared" si="2"/>
        <v>0</v>
      </c>
      <c r="I18" s="292"/>
    </row>
    <row r="19" spans="1:9" s="275" customFormat="1" ht="12.75" customHeight="1" x14ac:dyDescent="0.25">
      <c r="A19" s="286"/>
      <c r="B19" s="287"/>
      <c r="C19" s="288"/>
      <c r="D19" s="290"/>
      <c r="E19" s="290">
        <f t="shared" si="0"/>
        <v>0</v>
      </c>
      <c r="F19" s="291"/>
      <c r="G19" s="291">
        <f t="shared" si="1"/>
        <v>0</v>
      </c>
      <c r="H19" s="291">
        <f t="shared" si="2"/>
        <v>0</v>
      </c>
      <c r="I19" s="292"/>
    </row>
    <row r="20" spans="1:9" s="275" customFormat="1" ht="12.75" customHeight="1" x14ac:dyDescent="0.25">
      <c r="A20" s="286"/>
      <c r="B20" s="287"/>
      <c r="C20" s="288"/>
      <c r="D20" s="290"/>
      <c r="E20" s="290">
        <f t="shared" si="0"/>
        <v>0</v>
      </c>
      <c r="F20" s="291"/>
      <c r="G20" s="291">
        <f t="shared" si="1"/>
        <v>0</v>
      </c>
      <c r="H20" s="291">
        <f t="shared" si="2"/>
        <v>0</v>
      </c>
      <c r="I20" s="292"/>
    </row>
    <row r="21" spans="1:9" s="275" customFormat="1" ht="12.75" customHeight="1" x14ac:dyDescent="0.25">
      <c r="A21" s="286"/>
      <c r="B21" s="287"/>
      <c r="C21" s="296"/>
      <c r="D21" s="290"/>
      <c r="E21" s="290">
        <f t="shared" si="0"/>
        <v>0</v>
      </c>
      <c r="F21" s="291"/>
      <c r="G21" s="291">
        <f t="shared" si="1"/>
        <v>0</v>
      </c>
      <c r="H21" s="291">
        <f t="shared" si="2"/>
        <v>0</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0</v>
      </c>
      <c r="E23" s="302"/>
      <c r="F23" s="302">
        <f>SUM(F9:F22)</f>
        <v>0</v>
      </c>
      <c r="G23" s="302"/>
      <c r="H23" s="302">
        <f>D23-F23</f>
        <v>0</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0</v>
      </c>
      <c r="E26" s="313"/>
      <c r="F26" s="313"/>
      <c r="G26" s="313"/>
      <c r="H26" s="313">
        <f>D26-F26</f>
        <v>0</v>
      </c>
      <c r="I26" s="292"/>
    </row>
    <row r="27" spans="1:9" s="275" customFormat="1" ht="12.75" customHeight="1" x14ac:dyDescent="0.25">
      <c r="A27" s="286"/>
      <c r="B27" s="288"/>
      <c r="C27" s="312" t="s">
        <v>113</v>
      </c>
      <c r="D27" s="313">
        <v>0</v>
      </c>
      <c r="E27" s="313"/>
      <c r="F27" s="313"/>
      <c r="G27" s="313"/>
      <c r="H27" s="313">
        <f>D27-F27</f>
        <v>0</v>
      </c>
      <c r="I27" s="292"/>
    </row>
    <row r="28" spans="1:9" s="275" customFormat="1" ht="12.75" customHeight="1" thickBot="1" x14ac:dyDescent="0.3">
      <c r="A28" s="286"/>
      <c r="B28" s="288"/>
      <c r="C28" s="314" t="s">
        <v>67</v>
      </c>
      <c r="D28" s="315">
        <f>SUM(D26:D27)</f>
        <v>0</v>
      </c>
      <c r="E28" s="316"/>
      <c r="F28" s="315">
        <f>SUM(F26:F27)</f>
        <v>0</v>
      </c>
      <c r="G28" s="316"/>
      <c r="H28" s="315">
        <f>SUM(H26:H27)</f>
        <v>0</v>
      </c>
      <c r="I28" s="292"/>
    </row>
    <row r="29" spans="1:9" s="275" customFormat="1" ht="12.75" customHeight="1" thickTop="1" x14ac:dyDescent="0.25"/>
    <row r="30" spans="1:9" s="275" customFormat="1" ht="12.75" customHeight="1" x14ac:dyDescent="0.25"/>
    <row r="31" spans="1:9" s="275" customFormat="1" ht="12.75" customHeight="1" x14ac:dyDescent="0.25"/>
  </sheetData>
  <conditionalFormatting sqref="I8:I23">
    <cfRule type="cellIs" dxfId="19"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9A492-FBCD-4096-B8B0-797C1B269306}">
  <sheetPr>
    <pageSetUpPr fitToPage="1"/>
  </sheetPr>
  <dimension ref="A1:J24"/>
  <sheetViews>
    <sheetView zoomScaleNormal="100" workbookViewId="0">
      <selection activeCell="F27" sqref="F27"/>
    </sheetView>
  </sheetViews>
  <sheetFormatPr defaultColWidth="11.42578125" defaultRowHeight="15" customHeight="1" x14ac:dyDescent="0.25"/>
  <cols>
    <col min="1" max="1" width="24.5703125" customWidth="1"/>
    <col min="2" max="3" width="9.42578125" customWidth="1"/>
    <col min="4" max="4" width="34.28515625" customWidth="1"/>
    <col min="5" max="5" width="12.5703125" customWidth="1"/>
    <col min="6" max="6" width="13.5703125" customWidth="1"/>
    <col min="7" max="7" width="12.42578125" customWidth="1"/>
    <col min="8" max="8" width="10.5703125" customWidth="1"/>
    <col min="9" max="9" width="11.71093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#9507.00'!B1</f>
        <v>DOC IMCC Cooling Tower Replacement</v>
      </c>
      <c r="B1" s="3"/>
      <c r="C1" s="3"/>
      <c r="D1" s="4"/>
      <c r="E1" s="4"/>
      <c r="F1" s="4"/>
      <c r="G1" s="33"/>
      <c r="H1" s="33"/>
      <c r="I1" s="34"/>
      <c r="J1" s="34"/>
    </row>
    <row r="2" spans="1:10" ht="15.75" x14ac:dyDescent="0.25">
      <c r="A2" s="6" t="str">
        <f>'RECAP #9507.00'!B2</f>
        <v>Project # 9507.00</v>
      </c>
      <c r="B2" s="5"/>
      <c r="C2" s="5"/>
      <c r="D2" s="4"/>
      <c r="E2" s="4"/>
      <c r="F2" s="4"/>
      <c r="G2" s="33"/>
      <c r="H2" s="33"/>
      <c r="I2" s="34"/>
      <c r="J2" s="34"/>
    </row>
    <row r="3" spans="1:10" ht="15.75" x14ac:dyDescent="0.25">
      <c r="A3" s="7" t="str">
        <f>'RECAP #9507.00'!B3</f>
        <v>Program code 950700</v>
      </c>
      <c r="B3" s="5"/>
      <c r="C3" s="5"/>
      <c r="D3" s="4"/>
      <c r="E3" s="8" t="str">
        <f>'RECAP #9507.00'!E3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251</v>
      </c>
      <c r="F6" s="49"/>
      <c r="G6" s="50"/>
      <c r="H6" s="46"/>
      <c r="I6" s="41"/>
      <c r="J6" s="34"/>
    </row>
    <row r="7" spans="1:10" ht="15.75" x14ac:dyDescent="0.25">
      <c r="A7" s="13" t="str">
        <f>'RECAP #9507.00'!B6</f>
        <v>Project Manager - Geoff W.(JK)</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15000</v>
      </c>
      <c r="F9" s="290">
        <f>E9</f>
        <v>15000</v>
      </c>
      <c r="G9" s="291"/>
      <c r="H9" s="291"/>
      <c r="I9" s="291">
        <f>F9</f>
        <v>15000</v>
      </c>
      <c r="J9" s="292"/>
    </row>
    <row r="10" spans="1:10" s="275" customFormat="1" ht="12.75" customHeight="1" x14ac:dyDescent="0.25">
      <c r="A10" s="220" t="s">
        <v>322</v>
      </c>
      <c r="B10" s="221">
        <v>45968</v>
      </c>
      <c r="C10" s="329" t="s">
        <v>269</v>
      </c>
      <c r="D10" s="179" t="s">
        <v>323</v>
      </c>
      <c r="E10" s="290"/>
      <c r="F10" s="290">
        <f t="shared" ref="F10:F21" si="0">F9+E10</f>
        <v>15000</v>
      </c>
      <c r="G10" s="294">
        <v>45.28</v>
      </c>
      <c r="H10" s="291">
        <f t="shared" ref="H10:H21" si="1">H9+G10</f>
        <v>45.28</v>
      </c>
      <c r="I10" s="291">
        <f t="shared" ref="I10:I21" si="2">I9-G10+E10</f>
        <v>14954.72</v>
      </c>
      <c r="J10" s="292"/>
    </row>
    <row r="11" spans="1:10" s="275" customFormat="1" ht="12.75" customHeight="1" x14ac:dyDescent="0.25">
      <c r="A11" s="220" t="s">
        <v>322</v>
      </c>
      <c r="B11" s="221">
        <v>45968</v>
      </c>
      <c r="C11" s="329">
        <v>9500</v>
      </c>
      <c r="D11" s="222" t="s">
        <v>324</v>
      </c>
      <c r="E11" s="290"/>
      <c r="F11" s="290">
        <f t="shared" si="0"/>
        <v>15000</v>
      </c>
      <c r="G11" s="294">
        <v>446.3</v>
      </c>
      <c r="H11" s="291">
        <f t="shared" si="1"/>
        <v>491.58000000000004</v>
      </c>
      <c r="I11" s="291">
        <f t="shared" si="2"/>
        <v>14508.42</v>
      </c>
      <c r="J11" s="292"/>
    </row>
    <row r="12" spans="1:10" s="275" customFormat="1" ht="12.75" customHeight="1" x14ac:dyDescent="0.2">
      <c r="A12" s="213" t="s">
        <v>559</v>
      </c>
      <c r="B12" s="214">
        <v>46062</v>
      </c>
      <c r="C12" s="332" t="s">
        <v>269</v>
      </c>
      <c r="D12" s="175" t="s">
        <v>560</v>
      </c>
      <c r="E12" s="290"/>
      <c r="F12" s="290">
        <f t="shared" si="0"/>
        <v>15000</v>
      </c>
      <c r="G12" s="294">
        <v>18.079999999999998</v>
      </c>
      <c r="H12" s="291">
        <f t="shared" si="1"/>
        <v>509.66</v>
      </c>
      <c r="I12" s="291">
        <f t="shared" si="2"/>
        <v>14490.34</v>
      </c>
      <c r="J12" s="292"/>
    </row>
    <row r="13" spans="1:10" s="275" customFormat="1" ht="12.75" customHeight="1" x14ac:dyDescent="0.2">
      <c r="A13" s="213" t="s">
        <v>559</v>
      </c>
      <c r="B13" s="214">
        <v>46062</v>
      </c>
      <c r="C13" s="333">
        <v>9500</v>
      </c>
      <c r="D13" s="78" t="s">
        <v>561</v>
      </c>
      <c r="E13" s="290"/>
      <c r="F13" s="290">
        <f t="shared" si="0"/>
        <v>15000</v>
      </c>
      <c r="G13" s="294">
        <v>224.7</v>
      </c>
      <c r="H13" s="291">
        <f t="shared" si="1"/>
        <v>734.36</v>
      </c>
      <c r="I13" s="291">
        <f t="shared" si="2"/>
        <v>14265.64</v>
      </c>
      <c r="J13" s="292"/>
    </row>
    <row r="14" spans="1:10" s="275" customFormat="1" ht="12.75" customHeight="1" x14ac:dyDescent="0.25">
      <c r="A14" s="317"/>
      <c r="B14" s="287"/>
      <c r="C14" s="329"/>
      <c r="D14" s="297"/>
      <c r="E14" s="290"/>
      <c r="F14" s="290">
        <f t="shared" si="0"/>
        <v>15000</v>
      </c>
      <c r="G14" s="291"/>
      <c r="H14" s="291">
        <f t="shared" si="1"/>
        <v>734.36</v>
      </c>
      <c r="I14" s="291">
        <f t="shared" si="2"/>
        <v>14265.64</v>
      </c>
      <c r="J14" s="292"/>
    </row>
    <row r="15" spans="1:10" s="275" customFormat="1" ht="12.75" customHeight="1" x14ac:dyDescent="0.25">
      <c r="A15" s="317"/>
      <c r="B15" s="287"/>
      <c r="C15" s="329"/>
      <c r="D15" s="297"/>
      <c r="E15" s="290"/>
      <c r="F15" s="290">
        <f t="shared" si="0"/>
        <v>15000</v>
      </c>
      <c r="G15" s="295"/>
      <c r="H15" s="291">
        <f t="shared" si="1"/>
        <v>734.36</v>
      </c>
      <c r="I15" s="291">
        <f t="shared" si="2"/>
        <v>14265.64</v>
      </c>
      <c r="J15" s="292"/>
    </row>
    <row r="16" spans="1:10" s="275" customFormat="1" ht="12.75" customHeight="1" x14ac:dyDescent="0.25">
      <c r="A16" s="317"/>
      <c r="B16" s="287"/>
      <c r="C16" s="329"/>
      <c r="D16" s="297"/>
      <c r="E16" s="290"/>
      <c r="F16" s="290">
        <f t="shared" si="0"/>
        <v>15000</v>
      </c>
      <c r="G16" s="295"/>
      <c r="H16" s="291">
        <f t="shared" si="1"/>
        <v>734.36</v>
      </c>
      <c r="I16" s="291">
        <f t="shared" si="2"/>
        <v>14265.64</v>
      </c>
      <c r="J16" s="292"/>
    </row>
    <row r="17" spans="1:10" s="275" customFormat="1" ht="12.75" customHeight="1" x14ac:dyDescent="0.25">
      <c r="A17" s="317"/>
      <c r="B17" s="287"/>
      <c r="C17" s="329"/>
      <c r="D17" s="297"/>
      <c r="E17" s="290"/>
      <c r="F17" s="290">
        <f t="shared" si="0"/>
        <v>15000</v>
      </c>
      <c r="G17" s="295"/>
      <c r="H17" s="291">
        <f t="shared" si="1"/>
        <v>734.36</v>
      </c>
      <c r="I17" s="291">
        <f t="shared" si="2"/>
        <v>14265.64</v>
      </c>
      <c r="J17" s="292"/>
    </row>
    <row r="18" spans="1:10" s="275" customFormat="1" ht="12.75" customHeight="1" x14ac:dyDescent="0.25">
      <c r="A18" s="317"/>
      <c r="B18" s="287"/>
      <c r="C18" s="329"/>
      <c r="D18" s="297"/>
      <c r="E18" s="290"/>
      <c r="F18" s="290">
        <f t="shared" si="0"/>
        <v>15000</v>
      </c>
      <c r="G18" s="295"/>
      <c r="H18" s="291">
        <f t="shared" si="1"/>
        <v>734.36</v>
      </c>
      <c r="I18" s="291">
        <f t="shared" si="2"/>
        <v>14265.64</v>
      </c>
      <c r="J18" s="292"/>
    </row>
    <row r="19" spans="1:10" s="275" customFormat="1" ht="12.75" customHeight="1" x14ac:dyDescent="0.25">
      <c r="A19" s="298"/>
      <c r="B19" s="287"/>
      <c r="C19" s="329"/>
      <c r="D19" s="297"/>
      <c r="E19" s="290"/>
      <c r="F19" s="290">
        <f t="shared" si="0"/>
        <v>15000</v>
      </c>
      <c r="G19" s="291"/>
      <c r="H19" s="291">
        <f t="shared" si="1"/>
        <v>734.36</v>
      </c>
      <c r="I19" s="291">
        <f t="shared" si="2"/>
        <v>14265.64</v>
      </c>
      <c r="J19" s="292"/>
    </row>
    <row r="20" spans="1:10" s="275" customFormat="1" ht="12.75" customHeight="1" x14ac:dyDescent="0.25">
      <c r="A20" s="298"/>
      <c r="B20" s="287"/>
      <c r="C20" s="329"/>
      <c r="D20" s="297"/>
      <c r="E20" s="290"/>
      <c r="F20" s="290">
        <f t="shared" si="0"/>
        <v>15000</v>
      </c>
      <c r="G20" s="291"/>
      <c r="H20" s="291">
        <f t="shared" si="1"/>
        <v>734.36</v>
      </c>
      <c r="I20" s="291">
        <f t="shared" si="2"/>
        <v>14265.64</v>
      </c>
      <c r="J20" s="292"/>
    </row>
    <row r="21" spans="1:10" s="275" customFormat="1" ht="12.75" customHeight="1" x14ac:dyDescent="0.25">
      <c r="A21" s="298"/>
      <c r="B21" s="287"/>
      <c r="C21" s="329"/>
      <c r="D21" s="318"/>
      <c r="E21" s="290"/>
      <c r="F21" s="290">
        <f t="shared" si="0"/>
        <v>15000</v>
      </c>
      <c r="G21" s="291"/>
      <c r="H21" s="291">
        <f t="shared" si="1"/>
        <v>734.36</v>
      </c>
      <c r="I21" s="291">
        <f t="shared" si="2"/>
        <v>14265.64</v>
      </c>
      <c r="J21" s="292"/>
    </row>
    <row r="22" spans="1:10" s="275" customFormat="1" ht="12.75" customHeight="1" x14ac:dyDescent="0.25">
      <c r="A22" s="286"/>
      <c r="B22" s="288"/>
      <c r="C22" s="329"/>
      <c r="D22" s="297"/>
      <c r="E22" s="291"/>
      <c r="F22" s="291"/>
      <c r="G22" s="291"/>
      <c r="H22" s="291"/>
      <c r="I22" s="291"/>
      <c r="J22" s="292"/>
    </row>
    <row r="23" spans="1:10" s="275" customFormat="1" ht="12.75" customHeight="1" thickBot="1" x14ac:dyDescent="0.3">
      <c r="A23" s="286"/>
      <c r="B23" s="300"/>
      <c r="C23" s="329"/>
      <c r="D23" s="301" t="s">
        <v>24</v>
      </c>
      <c r="E23" s="302">
        <f>SUM(E9:E22)</f>
        <v>15000</v>
      </c>
      <c r="F23" s="302"/>
      <c r="G23" s="302">
        <f>SUM(G9:G22)</f>
        <v>734.36</v>
      </c>
      <c r="H23" s="302"/>
      <c r="I23" s="302">
        <f>E23-G23</f>
        <v>14265.64</v>
      </c>
      <c r="J23" s="292"/>
    </row>
    <row r="24" spans="1:10" ht="1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DD41C-95E9-4DC3-8A61-AFAC2C629854}">
  <sheetPr>
    <tabColor indexed="30"/>
    <pageSetUpPr fitToPage="1"/>
  </sheetPr>
  <dimension ref="A1:H23"/>
  <sheetViews>
    <sheetView zoomScaleNormal="100" workbookViewId="0">
      <selection activeCell="M26" sqref="M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#9507.00'!B1</f>
        <v>DOC IMCC Cooling Tower Replacement</v>
      </c>
      <c r="B1" s="3"/>
      <c r="C1" s="3"/>
      <c r="D1" s="3"/>
      <c r="E1" s="4"/>
      <c r="F1" s="4"/>
      <c r="G1" s="4"/>
      <c r="H1" s="33"/>
    </row>
    <row r="2" spans="1:8" ht="15.75" x14ac:dyDescent="0.25">
      <c r="A2" s="6" t="str">
        <f>'RECAP #9507.00'!B2</f>
        <v>Project # 9507.00</v>
      </c>
      <c r="B2" s="5"/>
      <c r="C2" s="5"/>
      <c r="D2" s="5"/>
      <c r="E2" s="4"/>
      <c r="F2" s="4"/>
      <c r="G2" s="4"/>
      <c r="H2" s="33"/>
    </row>
    <row r="3" spans="1:8" ht="15.75" x14ac:dyDescent="0.25">
      <c r="A3" s="7" t="str">
        <f>'RECAP #9507.00'!B3</f>
        <v>Program code 950700</v>
      </c>
      <c r="B3" s="5"/>
      <c r="C3" s="5"/>
      <c r="D3" s="5"/>
      <c r="E3" s="8" t="str">
        <f>'RECAP #9507.00'!E3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#9507.00'!B6</f>
        <v>Project Manager - Geoff W.(JK)</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B3016-D3F8-404C-8D6D-B11951686A25}">
  <sheetPr>
    <pageSetUpPr fitToPage="1"/>
  </sheetPr>
  <dimension ref="A1:G16"/>
  <sheetViews>
    <sheetView zoomScaleNormal="100" workbookViewId="0">
      <selection activeCell="D19" sqref="D19"/>
    </sheetView>
  </sheetViews>
  <sheetFormatPr defaultColWidth="11.42578125" defaultRowHeight="15" customHeight="1" x14ac:dyDescent="0.25"/>
  <cols>
    <col min="1" max="1" width="3.5703125" customWidth="1"/>
    <col min="2" max="2" width="29.425781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163</v>
      </c>
      <c r="C1" s="3"/>
      <c r="D1" s="4"/>
      <c r="E1" s="4"/>
      <c r="F1" s="4"/>
      <c r="G1" s="4"/>
    </row>
    <row r="2" spans="1:7" ht="15.75" x14ac:dyDescent="0.25">
      <c r="A2" s="1"/>
      <c r="B2" s="6" t="s">
        <v>221</v>
      </c>
      <c r="C2" s="5"/>
      <c r="D2" s="4"/>
      <c r="E2" s="4"/>
      <c r="F2" s="4"/>
      <c r="G2" s="4"/>
    </row>
    <row r="3" spans="1:7" ht="15.75" x14ac:dyDescent="0.25">
      <c r="A3" s="1"/>
      <c r="B3" s="7" t="s">
        <v>222</v>
      </c>
      <c r="C3" s="5"/>
      <c r="D3" s="4"/>
      <c r="E3" s="8" t="s">
        <v>185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223</v>
      </c>
      <c r="C6" s="14"/>
      <c r="D6" s="15" t="s">
        <v>2</v>
      </c>
      <c r="E6" s="16"/>
      <c r="F6" s="16"/>
      <c r="G6" s="16"/>
    </row>
    <row r="7" spans="1:7" ht="41.25" customHeight="1" thickBot="1" x14ac:dyDescent="0.3">
      <c r="A7" s="1"/>
      <c r="B7" s="18" t="s">
        <v>2</v>
      </c>
      <c r="C7" s="19" t="s">
        <v>3</v>
      </c>
      <c r="D7" s="20" t="s">
        <v>4</v>
      </c>
      <c r="E7" s="21" t="s">
        <v>5</v>
      </c>
      <c r="F7" s="22" t="s">
        <v>6</v>
      </c>
      <c r="G7" s="22" t="s">
        <v>7</v>
      </c>
    </row>
    <row r="8" spans="1:7" ht="28.35" customHeight="1" x14ac:dyDescent="0.25">
      <c r="A8" s="1"/>
      <c r="B8" s="1" t="s">
        <v>8</v>
      </c>
      <c r="C8" s="23">
        <f>FINANCIAL!G35</f>
        <v>1707300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03"/>
      <c r="B10" s="304" t="s">
        <v>286</v>
      </c>
      <c r="C10" s="305"/>
      <c r="D10" s="308">
        <f>'#9508.00 Story Construction'!D23</f>
        <v>19497.16</v>
      </c>
      <c r="E10" s="308">
        <f>'#9508.00 Story Construction'!F23</f>
        <v>9287.49</v>
      </c>
      <c r="F10" s="308">
        <f>'#9508.00 Story Construction'!H23</f>
        <v>10209.67</v>
      </c>
      <c r="G10" s="307"/>
    </row>
    <row r="11" spans="1:7" s="275" customFormat="1" ht="12.75" customHeight="1" x14ac:dyDescent="0.25">
      <c r="A11" s="303"/>
      <c r="B11" s="304" t="s">
        <v>10</v>
      </c>
      <c r="C11" s="305"/>
      <c r="D11" s="308">
        <f>'#9508.00 PM TIME'!E23</f>
        <v>36000</v>
      </c>
      <c r="E11" s="308">
        <f>'#9508.00 PM TIME'!G23</f>
        <v>5028.7400000000007</v>
      </c>
      <c r="F11" s="308">
        <f>'#9508.00 PM TIME'!I23</f>
        <v>30971.26</v>
      </c>
      <c r="G11" s="307"/>
    </row>
    <row r="12" spans="1:7" s="275" customFormat="1" ht="12.75" customHeight="1" x14ac:dyDescent="0.25">
      <c r="A12" s="303"/>
      <c r="B12" s="304" t="s">
        <v>11</v>
      </c>
      <c r="C12" s="306"/>
      <c r="D12" s="309">
        <f>'#9508.00 Misc '!G22</f>
        <v>2616</v>
      </c>
      <c r="E12" s="309">
        <f>'#9508.00 Misc '!G22</f>
        <v>2616</v>
      </c>
      <c r="F12" s="308">
        <f>D12-E12</f>
        <v>0</v>
      </c>
      <c r="G12" s="307"/>
    </row>
    <row r="13" spans="1:7" s="275" customFormat="1" ht="12.75" customHeight="1" x14ac:dyDescent="0.25">
      <c r="A13" s="303"/>
      <c r="B13" s="304" t="s">
        <v>403</v>
      </c>
      <c r="C13" s="306"/>
      <c r="D13" s="309">
        <f>'#9508.00 CMB Architects'!D23</f>
        <v>56340</v>
      </c>
      <c r="E13" s="309">
        <f>'#9508.00 CMB Architects'!F23</f>
        <v>19344</v>
      </c>
      <c r="F13" s="308">
        <f>'#9508.00 CMB Architects'!H23</f>
        <v>36996</v>
      </c>
      <c r="G13" s="307"/>
    </row>
    <row r="14" spans="1:7" s="275" customFormat="1" ht="12.75" customHeight="1" x14ac:dyDescent="0.25">
      <c r="A14" s="310"/>
      <c r="B14" s="304"/>
      <c r="C14" s="306"/>
      <c r="D14" s="309"/>
      <c r="E14" s="309"/>
      <c r="F14" s="308"/>
      <c r="G14" s="311"/>
    </row>
    <row r="15" spans="1:7" ht="24" customHeight="1" thickBot="1" x14ac:dyDescent="0.3">
      <c r="A15" s="30"/>
      <c r="B15" s="31" t="s">
        <v>12</v>
      </c>
      <c r="C15" s="32">
        <f>SUM(C8:C14)</f>
        <v>1707300</v>
      </c>
      <c r="D15" s="32">
        <f>SUM(D8:D14)</f>
        <v>114453.16</v>
      </c>
      <c r="E15" s="32">
        <f>SUM(E8:E14)</f>
        <v>36276.229999999996</v>
      </c>
      <c r="F15" s="32">
        <f>SUM(D15-E15)</f>
        <v>78176.930000000008</v>
      </c>
      <c r="G15" s="32">
        <f>C8-D15</f>
        <v>1592846.84</v>
      </c>
    </row>
    <row r="16" spans="1:7" ht="15" customHeight="1" thickTop="1" x14ac:dyDescent="0.25"/>
  </sheetData>
  <pageMargins left="0.25" right="0.25" top="1.2496875000000001" bottom="0.75" header="0.09" footer="0.3"/>
  <pageSetup scale="8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7894-7576-44C8-B22E-C67596609E9F}">
  <sheetPr>
    <pageSetUpPr fitToPage="1"/>
  </sheetPr>
  <dimension ref="A1:I29"/>
  <sheetViews>
    <sheetView zoomScaleNormal="100" workbookViewId="0">
      <selection activeCell="F32" sqref="F32"/>
    </sheetView>
  </sheetViews>
  <sheetFormatPr defaultColWidth="11.42578125" defaultRowHeight="15" customHeight="1" x14ac:dyDescent="0.25"/>
  <cols>
    <col min="1" max="1" width="24.5703125" customWidth="1"/>
    <col min="2" max="2" width="9.42578125" customWidth="1"/>
    <col min="3" max="3" width="13.42578125" bestFit="1" customWidth="1"/>
    <col min="4" max="4" width="14.42578125" customWidth="1"/>
    <col min="5" max="5" width="13.5703125" customWidth="1"/>
    <col min="6" max="6" width="12.42578125" customWidth="1"/>
    <col min="7" max="7" width="10.5703125" customWidth="1"/>
    <col min="8" max="8"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#9508.00'!B1</f>
        <v>DOC FDCF Unit A Roof Replacement</v>
      </c>
      <c r="B1" s="3"/>
      <c r="C1" s="4"/>
      <c r="D1" s="4"/>
      <c r="E1" s="4"/>
      <c r="F1" s="33"/>
      <c r="G1" s="33"/>
      <c r="H1" s="34"/>
      <c r="I1" s="34"/>
    </row>
    <row r="2" spans="1:9" ht="15.75" x14ac:dyDescent="0.25">
      <c r="A2" s="6" t="str">
        <f>'RECAP #9508.00'!B2</f>
        <v>Project # 9508.00</v>
      </c>
      <c r="B2" s="5"/>
      <c r="C2" s="4"/>
      <c r="D2" s="4"/>
      <c r="E2" s="4"/>
      <c r="F2" s="33"/>
      <c r="G2" s="33"/>
      <c r="H2" s="34"/>
      <c r="I2" s="34"/>
    </row>
    <row r="3" spans="1:9" ht="15.75" x14ac:dyDescent="0.25">
      <c r="A3" s="7" t="str">
        <f>'RECAP #9508.00'!B3</f>
        <v>Program code 950800</v>
      </c>
      <c r="B3" s="5"/>
      <c r="C3" s="4"/>
      <c r="D3" s="8" t="str">
        <f>'RECAP #9508.00'!E3</f>
        <v>Major Program 4E02</v>
      </c>
      <c r="E3" s="4"/>
      <c r="F3" s="33"/>
      <c r="G3" s="33"/>
      <c r="H3" s="34"/>
      <c r="I3" s="34"/>
    </row>
    <row r="4" spans="1:9" ht="15.75" x14ac:dyDescent="0.25">
      <c r="A4" s="35" t="s">
        <v>286</v>
      </c>
      <c r="B4" s="36"/>
      <c r="C4" s="37"/>
      <c r="D4" s="38" t="s">
        <v>287</v>
      </c>
      <c r="E4" s="39"/>
      <c r="F4" s="33"/>
      <c r="G4" s="33"/>
      <c r="H4" s="34"/>
      <c r="I4" s="34"/>
    </row>
    <row r="5" spans="1:9" ht="15.75" x14ac:dyDescent="0.25">
      <c r="A5" s="40" t="s">
        <v>106</v>
      </c>
      <c r="B5" s="41"/>
      <c r="C5" s="42"/>
      <c r="D5" s="43" t="s">
        <v>288</v>
      </c>
      <c r="E5" s="44"/>
      <c r="F5" s="45"/>
      <c r="G5" s="46"/>
      <c r="H5" s="41"/>
      <c r="I5" s="34"/>
    </row>
    <row r="6" spans="1:9" ht="15.75" x14ac:dyDescent="0.25">
      <c r="A6" s="13" t="str">
        <f>'RECAP #9508.00'!B6</f>
        <v>Project Manager - Geoff W.(JE)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315</v>
      </c>
      <c r="B9" s="287">
        <v>45965</v>
      </c>
      <c r="C9" s="288" t="s">
        <v>111</v>
      </c>
      <c r="D9" s="289">
        <v>19497.16</v>
      </c>
      <c r="E9" s="290">
        <f>D9</f>
        <v>19497.16</v>
      </c>
      <c r="F9" s="291"/>
      <c r="G9" s="291"/>
      <c r="H9" s="291">
        <f>E9</f>
        <v>19497.16</v>
      </c>
      <c r="I9" s="292"/>
    </row>
    <row r="10" spans="1:9" s="275" customFormat="1" ht="12.75" customHeight="1" x14ac:dyDescent="0.25">
      <c r="A10" s="286" t="s">
        <v>391</v>
      </c>
      <c r="B10" s="293">
        <v>46020</v>
      </c>
      <c r="C10" s="288" t="s">
        <v>392</v>
      </c>
      <c r="D10" s="290"/>
      <c r="E10" s="290">
        <f t="shared" ref="E10:E21" si="0">E9+D10</f>
        <v>19497.16</v>
      </c>
      <c r="F10" s="294">
        <v>2918.78</v>
      </c>
      <c r="G10" s="291">
        <f t="shared" ref="G10:G21" si="1">G9+F10</f>
        <v>2918.78</v>
      </c>
      <c r="H10" s="291">
        <f t="shared" ref="H10:H21" si="2">H9-F10+D10</f>
        <v>16578.38</v>
      </c>
      <c r="I10" s="292"/>
    </row>
    <row r="11" spans="1:9" s="275" customFormat="1" ht="12.75" customHeight="1" x14ac:dyDescent="0.25">
      <c r="A11" s="286" t="s">
        <v>448</v>
      </c>
      <c r="B11" s="287">
        <v>46042</v>
      </c>
      <c r="C11" s="288" t="s">
        <v>449</v>
      </c>
      <c r="D11" s="290"/>
      <c r="E11" s="290">
        <f t="shared" si="0"/>
        <v>19497.16</v>
      </c>
      <c r="F11" s="294">
        <v>1893.34</v>
      </c>
      <c r="G11" s="291">
        <f t="shared" si="1"/>
        <v>4812.12</v>
      </c>
      <c r="H11" s="291">
        <f t="shared" si="2"/>
        <v>14685.04</v>
      </c>
      <c r="I11" s="292"/>
    </row>
    <row r="12" spans="1:9" s="275" customFormat="1" ht="12.75" customHeight="1" x14ac:dyDescent="0.25">
      <c r="A12" s="286" t="s">
        <v>598</v>
      </c>
      <c r="B12" s="287">
        <v>46076</v>
      </c>
      <c r="C12" s="288" t="s">
        <v>599</v>
      </c>
      <c r="D12" s="290"/>
      <c r="E12" s="290">
        <f t="shared" si="0"/>
        <v>19497.16</v>
      </c>
      <c r="F12" s="294">
        <v>2210.73</v>
      </c>
      <c r="G12" s="291">
        <f t="shared" si="1"/>
        <v>7022.85</v>
      </c>
      <c r="H12" s="291">
        <f t="shared" si="2"/>
        <v>12474.310000000001</v>
      </c>
      <c r="I12" s="292"/>
    </row>
    <row r="13" spans="1:9" s="275" customFormat="1" ht="12.75" customHeight="1" x14ac:dyDescent="0.25">
      <c r="A13" s="286" t="s">
        <v>675</v>
      </c>
      <c r="B13" s="287">
        <v>46098</v>
      </c>
      <c r="C13" s="288" t="s">
        <v>676</v>
      </c>
      <c r="D13" s="290"/>
      <c r="E13" s="290">
        <f t="shared" si="0"/>
        <v>19497.16</v>
      </c>
      <c r="F13" s="294">
        <v>2264.64</v>
      </c>
      <c r="G13" s="291">
        <f t="shared" si="1"/>
        <v>9287.49</v>
      </c>
      <c r="H13" s="291">
        <f t="shared" si="2"/>
        <v>10209.670000000002</v>
      </c>
      <c r="I13" s="292"/>
    </row>
    <row r="14" spans="1:9" s="275" customFormat="1" ht="12.75" customHeight="1" x14ac:dyDescent="0.25">
      <c r="A14" s="286"/>
      <c r="B14" s="287"/>
      <c r="C14" s="288"/>
      <c r="D14" s="290"/>
      <c r="E14" s="290">
        <f t="shared" si="0"/>
        <v>19497.16</v>
      </c>
      <c r="F14" s="291"/>
      <c r="G14" s="291">
        <f t="shared" si="1"/>
        <v>9287.49</v>
      </c>
      <c r="H14" s="291">
        <f t="shared" si="2"/>
        <v>10209.670000000002</v>
      </c>
      <c r="I14" s="292"/>
    </row>
    <row r="15" spans="1:9" s="275" customFormat="1" ht="12.75" customHeight="1" x14ac:dyDescent="0.25">
      <c r="A15" s="286"/>
      <c r="B15" s="287"/>
      <c r="C15" s="288"/>
      <c r="D15" s="290"/>
      <c r="E15" s="290">
        <f t="shared" si="0"/>
        <v>19497.16</v>
      </c>
      <c r="F15" s="295"/>
      <c r="G15" s="291">
        <f t="shared" si="1"/>
        <v>9287.49</v>
      </c>
      <c r="H15" s="291">
        <f t="shared" si="2"/>
        <v>10209.670000000002</v>
      </c>
      <c r="I15" s="292"/>
    </row>
    <row r="16" spans="1:9" s="275" customFormat="1" ht="12.75" customHeight="1" x14ac:dyDescent="0.25">
      <c r="A16" s="286"/>
      <c r="B16" s="287"/>
      <c r="C16" s="288"/>
      <c r="D16" s="290"/>
      <c r="E16" s="290">
        <f t="shared" si="0"/>
        <v>19497.16</v>
      </c>
      <c r="F16" s="295"/>
      <c r="G16" s="291">
        <f t="shared" si="1"/>
        <v>9287.49</v>
      </c>
      <c r="H16" s="291">
        <f t="shared" si="2"/>
        <v>10209.670000000002</v>
      </c>
      <c r="I16" s="292"/>
    </row>
    <row r="17" spans="1:9" s="275" customFormat="1" ht="12.75" customHeight="1" x14ac:dyDescent="0.25">
      <c r="A17" s="286"/>
      <c r="B17" s="287"/>
      <c r="C17" s="288"/>
      <c r="D17" s="290"/>
      <c r="E17" s="290">
        <f t="shared" si="0"/>
        <v>19497.16</v>
      </c>
      <c r="F17" s="295"/>
      <c r="G17" s="291">
        <f t="shared" si="1"/>
        <v>9287.49</v>
      </c>
      <c r="H17" s="291">
        <f t="shared" si="2"/>
        <v>10209.670000000002</v>
      </c>
      <c r="I17" s="292"/>
    </row>
    <row r="18" spans="1:9" s="275" customFormat="1" ht="12.75" customHeight="1" x14ac:dyDescent="0.25">
      <c r="A18" s="286"/>
      <c r="B18" s="287"/>
      <c r="C18" s="288"/>
      <c r="D18" s="290"/>
      <c r="E18" s="290">
        <f t="shared" si="0"/>
        <v>19497.16</v>
      </c>
      <c r="F18" s="295"/>
      <c r="G18" s="291">
        <f t="shared" si="1"/>
        <v>9287.49</v>
      </c>
      <c r="H18" s="291">
        <f t="shared" si="2"/>
        <v>10209.670000000002</v>
      </c>
      <c r="I18" s="292"/>
    </row>
    <row r="19" spans="1:9" s="275" customFormat="1" ht="12.75" customHeight="1" x14ac:dyDescent="0.25">
      <c r="A19" s="286"/>
      <c r="B19" s="287"/>
      <c r="C19" s="288"/>
      <c r="D19" s="290"/>
      <c r="E19" s="290">
        <f t="shared" si="0"/>
        <v>19497.16</v>
      </c>
      <c r="F19" s="291"/>
      <c r="G19" s="291">
        <f t="shared" si="1"/>
        <v>9287.49</v>
      </c>
      <c r="H19" s="291">
        <f t="shared" si="2"/>
        <v>10209.670000000002</v>
      </c>
      <c r="I19" s="292"/>
    </row>
    <row r="20" spans="1:9" s="275" customFormat="1" ht="12.75" customHeight="1" x14ac:dyDescent="0.25">
      <c r="A20" s="286"/>
      <c r="B20" s="287"/>
      <c r="C20" s="288"/>
      <c r="D20" s="290"/>
      <c r="E20" s="290">
        <f t="shared" si="0"/>
        <v>19497.16</v>
      </c>
      <c r="F20" s="291"/>
      <c r="G20" s="291">
        <f t="shared" si="1"/>
        <v>9287.49</v>
      </c>
      <c r="H20" s="291">
        <f t="shared" si="2"/>
        <v>10209.670000000002</v>
      </c>
      <c r="I20" s="292"/>
    </row>
    <row r="21" spans="1:9" s="275" customFormat="1" ht="12.75" customHeight="1" x14ac:dyDescent="0.25">
      <c r="A21" s="286"/>
      <c r="B21" s="287"/>
      <c r="C21" s="296"/>
      <c r="D21" s="290"/>
      <c r="E21" s="290">
        <f t="shared" si="0"/>
        <v>19497.16</v>
      </c>
      <c r="F21" s="291"/>
      <c r="G21" s="291">
        <f t="shared" si="1"/>
        <v>9287.49</v>
      </c>
      <c r="H21" s="291">
        <f t="shared" si="2"/>
        <v>10209.670000000002</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19497.16</v>
      </c>
      <c r="E23" s="302"/>
      <c r="F23" s="302">
        <f>SUM(F9:F22)</f>
        <v>9287.49</v>
      </c>
      <c r="G23" s="302"/>
      <c r="H23" s="302">
        <f>D23-F23</f>
        <v>10209.67</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19294.66</v>
      </c>
      <c r="E26" s="313"/>
      <c r="F26" s="313">
        <f>2851.28+1893.34+2143.23+2197.14</f>
        <v>9084.99</v>
      </c>
      <c r="G26" s="313"/>
      <c r="H26" s="313">
        <f>D26-F26</f>
        <v>10209.67</v>
      </c>
      <c r="I26" s="292"/>
    </row>
    <row r="27" spans="1:9" s="275" customFormat="1" ht="12.75" customHeight="1" x14ac:dyDescent="0.25">
      <c r="A27" s="286"/>
      <c r="B27" s="288"/>
      <c r="C27" s="312" t="s">
        <v>113</v>
      </c>
      <c r="D27" s="313">
        <v>202.5</v>
      </c>
      <c r="E27" s="313"/>
      <c r="F27" s="313">
        <f>67.5+67.5+67.5</f>
        <v>202.5</v>
      </c>
      <c r="G27" s="313"/>
      <c r="H27" s="313">
        <f>D27-F27</f>
        <v>0</v>
      </c>
      <c r="I27" s="292"/>
    </row>
    <row r="28" spans="1:9" s="275" customFormat="1" ht="12.75" customHeight="1" thickBot="1" x14ac:dyDescent="0.3">
      <c r="A28" s="286"/>
      <c r="B28" s="288"/>
      <c r="C28" s="314" t="s">
        <v>67</v>
      </c>
      <c r="D28" s="315">
        <f>SUM(D26:D27)</f>
        <v>19497.16</v>
      </c>
      <c r="E28" s="316"/>
      <c r="F28" s="315">
        <f>SUM(F26:F27)</f>
        <v>9287.49</v>
      </c>
      <c r="G28" s="316"/>
      <c r="H28" s="315">
        <f>SUM(H26:H27)</f>
        <v>10209.67</v>
      </c>
      <c r="I28" s="292"/>
    </row>
    <row r="29" spans="1:9" s="275" customFormat="1" ht="12.75" customHeight="1" thickTop="1" x14ac:dyDescent="0.25"/>
  </sheetData>
  <conditionalFormatting sqref="I8:I23">
    <cfRule type="cellIs" dxfId="18" priority="1" operator="greaterThan">
      <formula>$H$23</formula>
    </cfRule>
  </conditionalFormatting>
  <pageMargins left="0.25" right="0.25" top="0.95" bottom="0.75" header="0.09" footer="0.3"/>
  <pageSetup scale="8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A0146-8EF8-41E4-862E-2E1D878FFFFB}">
  <sheetPr>
    <pageSetUpPr fitToPage="1"/>
  </sheetPr>
  <dimension ref="A1:J28"/>
  <sheetViews>
    <sheetView zoomScaleNormal="100" workbookViewId="0">
      <selection activeCell="N22" sqref="N22"/>
    </sheetView>
  </sheetViews>
  <sheetFormatPr defaultColWidth="11.42578125" defaultRowHeight="15" customHeight="1" x14ac:dyDescent="0.25"/>
  <cols>
    <col min="1" max="1" width="24.5703125" customWidth="1"/>
    <col min="2" max="3" width="9.42578125" customWidth="1"/>
    <col min="4" max="4" width="35.28515625" customWidth="1"/>
    <col min="5" max="5" width="12.5703125" customWidth="1"/>
    <col min="6" max="6" width="13.5703125" customWidth="1"/>
    <col min="7" max="7" width="12.42578125" customWidth="1"/>
    <col min="8" max="8" width="10.5703125" customWidth="1"/>
    <col min="9" max="9" width="11.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#9508.00'!B1</f>
        <v>DOC FDCF Unit A Roof Replacement</v>
      </c>
      <c r="B1" s="3"/>
      <c r="C1" s="3"/>
      <c r="D1" s="4"/>
      <c r="E1" s="4"/>
      <c r="F1" s="4"/>
      <c r="G1" s="33"/>
      <c r="H1" s="33"/>
      <c r="I1" s="34"/>
      <c r="J1" s="34"/>
    </row>
    <row r="2" spans="1:10" ht="15.75" x14ac:dyDescent="0.25">
      <c r="A2" s="6" t="str">
        <f>'RECAP #9508.00'!B2</f>
        <v>Project # 9508.00</v>
      </c>
      <c r="B2" s="5"/>
      <c r="C2" s="5"/>
      <c r="D2" s="4"/>
      <c r="E2" s="4"/>
      <c r="F2" s="4"/>
      <c r="G2" s="33"/>
      <c r="H2" s="33"/>
      <c r="I2" s="34"/>
      <c r="J2" s="34"/>
    </row>
    <row r="3" spans="1:10" ht="15.75" x14ac:dyDescent="0.25">
      <c r="A3" s="7" t="str">
        <f>'RECAP #9508.00'!B3</f>
        <v>Program code 950800</v>
      </c>
      <c r="B3" s="5"/>
      <c r="C3" s="5"/>
      <c r="D3" s="4"/>
      <c r="E3" s="8" t="str">
        <f>'RECAP #9508.00'!E3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252</v>
      </c>
      <c r="F6" s="49"/>
      <c r="G6" s="50"/>
      <c r="H6" s="46"/>
      <c r="I6" s="41"/>
      <c r="J6" s="34"/>
    </row>
    <row r="7" spans="1:10" ht="15.75" x14ac:dyDescent="0.25">
      <c r="A7" s="13" t="str">
        <f>'RECAP #9508.00'!B6</f>
        <v>Project Manager - Geoff W.(JE)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f>9500+26500</f>
        <v>36000</v>
      </c>
      <c r="F9" s="290">
        <f>E9</f>
        <v>36000</v>
      </c>
      <c r="G9" s="291"/>
      <c r="H9" s="291"/>
      <c r="I9" s="291">
        <f>F9</f>
        <v>36000</v>
      </c>
      <c r="J9" s="292"/>
    </row>
    <row r="10" spans="1:10" s="275" customFormat="1" ht="12.75" customHeight="1" x14ac:dyDescent="0.25">
      <c r="A10" s="220" t="s">
        <v>322</v>
      </c>
      <c r="B10" s="221">
        <v>45968</v>
      </c>
      <c r="C10" s="329" t="s">
        <v>269</v>
      </c>
      <c r="D10" s="179" t="s">
        <v>323</v>
      </c>
      <c r="E10" s="290"/>
      <c r="F10" s="290">
        <f t="shared" ref="F10:F21" si="0">F9+E10</f>
        <v>36000</v>
      </c>
      <c r="G10" s="294">
        <v>68.53</v>
      </c>
      <c r="H10" s="291">
        <f t="shared" ref="H10:H21" si="1">H9+G10</f>
        <v>68.53</v>
      </c>
      <c r="I10" s="291">
        <f t="shared" ref="I10:I21" si="2">I9-G10+E10</f>
        <v>35931.47</v>
      </c>
      <c r="J10" s="292"/>
    </row>
    <row r="11" spans="1:10" s="275" customFormat="1" ht="12.75" customHeight="1" x14ac:dyDescent="0.25">
      <c r="A11" s="220" t="s">
        <v>322</v>
      </c>
      <c r="B11" s="221">
        <v>45968</v>
      </c>
      <c r="C11" s="329">
        <v>9500</v>
      </c>
      <c r="D11" s="222" t="s">
        <v>324</v>
      </c>
      <c r="E11" s="290"/>
      <c r="F11" s="290">
        <f t="shared" si="0"/>
        <v>36000</v>
      </c>
      <c r="G11" s="294">
        <v>677.1</v>
      </c>
      <c r="H11" s="291">
        <f t="shared" si="1"/>
        <v>745.63</v>
      </c>
      <c r="I11" s="291">
        <f t="shared" si="2"/>
        <v>35254.370000000003</v>
      </c>
      <c r="J11" s="292"/>
    </row>
    <row r="12" spans="1:10" s="275" customFormat="1" ht="12.75" customHeight="1" x14ac:dyDescent="0.2">
      <c r="A12" s="213" t="s">
        <v>373</v>
      </c>
      <c r="B12" s="214">
        <v>45996</v>
      </c>
      <c r="C12" s="332" t="s">
        <v>269</v>
      </c>
      <c r="D12" s="175" t="s">
        <v>374</v>
      </c>
      <c r="E12" s="290"/>
      <c r="F12" s="290">
        <f t="shared" si="0"/>
        <v>36000</v>
      </c>
      <c r="G12" s="294">
        <v>167.12</v>
      </c>
      <c r="H12" s="291">
        <f t="shared" si="1"/>
        <v>912.75</v>
      </c>
      <c r="I12" s="291">
        <f t="shared" si="2"/>
        <v>35087.25</v>
      </c>
      <c r="J12" s="292"/>
    </row>
    <row r="13" spans="1:10" s="275" customFormat="1" ht="12.75" customHeight="1" x14ac:dyDescent="0.2">
      <c r="A13" s="213" t="s">
        <v>373</v>
      </c>
      <c r="B13" s="214">
        <v>45996</v>
      </c>
      <c r="C13" s="333">
        <v>9500</v>
      </c>
      <c r="D13" s="78" t="s">
        <v>375</v>
      </c>
      <c r="E13" s="290"/>
      <c r="F13" s="290">
        <f t="shared" si="0"/>
        <v>36000</v>
      </c>
      <c r="G13" s="294">
        <v>1065.2</v>
      </c>
      <c r="H13" s="291">
        <f t="shared" si="1"/>
        <v>1977.95</v>
      </c>
      <c r="I13" s="291">
        <f t="shared" si="2"/>
        <v>34022.050000000003</v>
      </c>
      <c r="J13" s="292"/>
    </row>
    <row r="14" spans="1:10" s="275" customFormat="1" ht="12.75" customHeight="1" x14ac:dyDescent="0.2">
      <c r="A14" s="213" t="s">
        <v>433</v>
      </c>
      <c r="B14" s="214">
        <v>46030</v>
      </c>
      <c r="C14" s="332" t="s">
        <v>269</v>
      </c>
      <c r="D14" s="175" t="s">
        <v>434</v>
      </c>
      <c r="E14" s="290"/>
      <c r="F14" s="290">
        <f t="shared" si="0"/>
        <v>36000</v>
      </c>
      <c r="G14" s="294">
        <v>73.989999999999995</v>
      </c>
      <c r="H14" s="291">
        <f t="shared" si="1"/>
        <v>2051.94</v>
      </c>
      <c r="I14" s="291">
        <f t="shared" si="2"/>
        <v>33948.060000000005</v>
      </c>
      <c r="J14" s="292"/>
    </row>
    <row r="15" spans="1:10" s="275" customFormat="1" ht="12.75" customHeight="1" x14ac:dyDescent="0.2">
      <c r="A15" s="213" t="s">
        <v>433</v>
      </c>
      <c r="B15" s="214">
        <v>46030</v>
      </c>
      <c r="C15" s="333">
        <v>9500</v>
      </c>
      <c r="D15" s="78" t="s">
        <v>435</v>
      </c>
      <c r="E15" s="290"/>
      <c r="F15" s="290">
        <f t="shared" si="0"/>
        <v>36000</v>
      </c>
      <c r="G15" s="294">
        <v>836.5</v>
      </c>
      <c r="H15" s="291">
        <f t="shared" si="1"/>
        <v>2888.44</v>
      </c>
      <c r="I15" s="291">
        <f t="shared" si="2"/>
        <v>33111.560000000005</v>
      </c>
      <c r="J15" s="292"/>
    </row>
    <row r="16" spans="1:10" s="275" customFormat="1" ht="12.75" customHeight="1" x14ac:dyDescent="0.2">
      <c r="A16" s="213" t="s">
        <v>559</v>
      </c>
      <c r="B16" s="214">
        <v>46062</v>
      </c>
      <c r="C16" s="332" t="s">
        <v>269</v>
      </c>
      <c r="D16" s="175" t="s">
        <v>560</v>
      </c>
      <c r="E16" s="290"/>
      <c r="F16" s="290">
        <f t="shared" si="0"/>
        <v>36000</v>
      </c>
      <c r="G16" s="294">
        <v>113.03</v>
      </c>
      <c r="H16" s="291">
        <f t="shared" si="1"/>
        <v>3001.4700000000003</v>
      </c>
      <c r="I16" s="291">
        <f t="shared" si="2"/>
        <v>32998.530000000006</v>
      </c>
      <c r="J16" s="292"/>
    </row>
    <row r="17" spans="1:10" s="275" customFormat="1" ht="12.75" customHeight="1" x14ac:dyDescent="0.2">
      <c r="A17" s="213" t="s">
        <v>559</v>
      </c>
      <c r="B17" s="214">
        <v>46062</v>
      </c>
      <c r="C17" s="333">
        <v>9500</v>
      </c>
      <c r="D17" s="78" t="s">
        <v>561</v>
      </c>
      <c r="E17" s="290"/>
      <c r="F17" s="290">
        <f t="shared" si="0"/>
        <v>36000</v>
      </c>
      <c r="G17" s="294">
        <v>1400.8</v>
      </c>
      <c r="H17" s="291">
        <f t="shared" si="1"/>
        <v>4402.2700000000004</v>
      </c>
      <c r="I17" s="291">
        <f t="shared" si="2"/>
        <v>31597.730000000007</v>
      </c>
      <c r="J17" s="292"/>
    </row>
    <row r="18" spans="1:10" s="275" customFormat="1" ht="12.75" customHeight="1" x14ac:dyDescent="0.2">
      <c r="A18" s="213" t="s">
        <v>663</v>
      </c>
      <c r="B18" s="214">
        <v>46090</v>
      </c>
      <c r="C18" s="332" t="s">
        <v>269</v>
      </c>
      <c r="D18" s="175" t="s">
        <v>664</v>
      </c>
      <c r="E18" s="290"/>
      <c r="F18" s="290">
        <f t="shared" si="0"/>
        <v>36000</v>
      </c>
      <c r="G18" s="294">
        <v>49.67</v>
      </c>
      <c r="H18" s="291">
        <f t="shared" si="1"/>
        <v>4451.9400000000005</v>
      </c>
      <c r="I18" s="291">
        <f t="shared" si="2"/>
        <v>31548.060000000009</v>
      </c>
      <c r="J18" s="292"/>
    </row>
    <row r="19" spans="1:10" s="275" customFormat="1" ht="12.75" customHeight="1" x14ac:dyDescent="0.2">
      <c r="A19" s="213" t="s">
        <v>663</v>
      </c>
      <c r="B19" s="214">
        <v>46090</v>
      </c>
      <c r="C19" s="333">
        <v>9500</v>
      </c>
      <c r="D19" s="78" t="s">
        <v>665</v>
      </c>
      <c r="E19" s="290"/>
      <c r="F19" s="290">
        <f t="shared" si="0"/>
        <v>36000</v>
      </c>
      <c r="G19" s="294">
        <v>576.79999999999995</v>
      </c>
      <c r="H19" s="291">
        <f t="shared" si="1"/>
        <v>5028.7400000000007</v>
      </c>
      <c r="I19" s="291">
        <f t="shared" si="2"/>
        <v>30971.260000000009</v>
      </c>
      <c r="J19" s="292"/>
    </row>
    <row r="20" spans="1:10" s="275" customFormat="1" ht="12.75" customHeight="1" x14ac:dyDescent="0.25">
      <c r="A20" s="298"/>
      <c r="B20" s="287"/>
      <c r="C20" s="287"/>
      <c r="D20" s="297"/>
      <c r="E20" s="290"/>
      <c r="F20" s="290">
        <f t="shared" si="0"/>
        <v>36000</v>
      </c>
      <c r="G20" s="291"/>
      <c r="H20" s="291">
        <f t="shared" si="1"/>
        <v>5028.7400000000007</v>
      </c>
      <c r="I20" s="291">
        <f t="shared" si="2"/>
        <v>30971.260000000009</v>
      </c>
      <c r="J20" s="292"/>
    </row>
    <row r="21" spans="1:10" s="275" customFormat="1" ht="12.75" customHeight="1" x14ac:dyDescent="0.25">
      <c r="A21" s="298"/>
      <c r="B21" s="287"/>
      <c r="C21" s="287"/>
      <c r="D21" s="318"/>
      <c r="E21" s="290"/>
      <c r="F21" s="290">
        <f t="shared" si="0"/>
        <v>36000</v>
      </c>
      <c r="G21" s="291"/>
      <c r="H21" s="291">
        <f t="shared" si="1"/>
        <v>5028.7400000000007</v>
      </c>
      <c r="I21" s="291">
        <f t="shared" si="2"/>
        <v>30971.260000000009</v>
      </c>
      <c r="J21" s="292"/>
    </row>
    <row r="22" spans="1:10" s="275" customFormat="1" ht="12.75" customHeight="1" x14ac:dyDescent="0.25">
      <c r="A22" s="286"/>
      <c r="B22" s="288"/>
      <c r="C22" s="288"/>
      <c r="D22" s="297"/>
      <c r="E22" s="291"/>
      <c r="F22" s="291"/>
      <c r="G22" s="291"/>
      <c r="H22" s="291"/>
      <c r="I22" s="291"/>
      <c r="J22" s="292"/>
    </row>
    <row r="23" spans="1:10" s="275" customFormat="1" ht="12.75" customHeight="1" thickBot="1" x14ac:dyDescent="0.3">
      <c r="A23" s="286"/>
      <c r="B23" s="300"/>
      <c r="C23" s="300"/>
      <c r="D23" s="301" t="s">
        <v>24</v>
      </c>
      <c r="E23" s="302">
        <f>SUM(E9:E22)</f>
        <v>36000</v>
      </c>
      <c r="F23" s="302"/>
      <c r="G23" s="302">
        <f>SUM(G9:G22)</f>
        <v>5028.7400000000007</v>
      </c>
      <c r="H23" s="302"/>
      <c r="I23" s="302">
        <f>E23-G23</f>
        <v>30971.26</v>
      </c>
      <c r="J23" s="292"/>
    </row>
    <row r="24" spans="1:10" s="275" customFormat="1" ht="12.75" customHeight="1" thickTop="1" x14ac:dyDescent="0.25"/>
    <row r="25" spans="1:10" s="275" customFormat="1" ht="12.75" customHeight="1" x14ac:dyDescent="0.25"/>
    <row r="26" spans="1:10" s="275" customFormat="1" ht="12.75" customHeight="1" x14ac:dyDescent="0.25"/>
    <row r="27" spans="1:10" s="275" customFormat="1" ht="12.75" customHeight="1" x14ac:dyDescent="0.25"/>
    <row r="28" spans="1:10" s="275"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4CD0-9E06-48A4-AACA-CDD02EBB0353}">
  <sheetPr>
    <pageSetUpPr fitToPage="1"/>
  </sheetPr>
  <dimension ref="A1:H101"/>
  <sheetViews>
    <sheetView zoomScaleNormal="100" workbookViewId="0">
      <selection activeCell="F29" sqref="F2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8.28515625" customWidth="1"/>
    <col min="6" max="6" width="21.2851562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#9508.00'!B1</f>
        <v>DOC FDCF Unit A Roof Replacement</v>
      </c>
      <c r="B1" s="3"/>
      <c r="C1" s="3"/>
      <c r="D1" s="3"/>
      <c r="E1" s="4"/>
      <c r="F1" s="4"/>
      <c r="G1" s="4"/>
      <c r="H1" s="33"/>
    </row>
    <row r="2" spans="1:8" ht="15.75" x14ac:dyDescent="0.25">
      <c r="A2" s="6" t="str">
        <f>'RECAP #9508.00'!B2</f>
        <v>Project # 9508.00</v>
      </c>
      <c r="B2" s="5"/>
      <c r="C2" s="5"/>
      <c r="D2" s="5"/>
      <c r="E2" s="4"/>
      <c r="F2" s="4"/>
      <c r="G2" s="4"/>
      <c r="H2" s="33"/>
    </row>
    <row r="3" spans="1:8" ht="15.75" x14ac:dyDescent="0.25">
      <c r="A3" s="7" t="str">
        <f>'RECAP #9508.00'!B3</f>
        <v>Program code 950800</v>
      </c>
      <c r="B3" s="5"/>
      <c r="C3" s="5"/>
      <c r="D3" s="5"/>
      <c r="E3" s="8" t="str">
        <f>'RECAP #9508.00'!E3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316</v>
      </c>
      <c r="F6" s="41"/>
      <c r="G6" s="44"/>
      <c r="H6" s="45"/>
    </row>
    <row r="7" spans="1:8" ht="15.75" x14ac:dyDescent="0.25">
      <c r="A7" s="13" t="str">
        <f>'RECAP #9508.00'!B6</f>
        <v>Project Manager - Geoff W.(JE)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t="s">
        <v>456</v>
      </c>
      <c r="B9" s="287">
        <v>46043</v>
      </c>
      <c r="C9" s="323" t="s">
        <v>370</v>
      </c>
      <c r="D9" s="323" t="s">
        <v>371</v>
      </c>
      <c r="E9" s="320" t="s">
        <v>457</v>
      </c>
      <c r="F9" s="321" t="s">
        <v>455</v>
      </c>
      <c r="G9" s="294">
        <v>2616</v>
      </c>
      <c r="H9" s="322">
        <f>G9</f>
        <v>2616</v>
      </c>
    </row>
    <row r="10" spans="1:8" s="275" customFormat="1" ht="12.75" customHeight="1" x14ac:dyDescent="0.25">
      <c r="A10" s="323"/>
      <c r="B10" s="287"/>
      <c r="C10" s="297"/>
      <c r="D10" s="297"/>
      <c r="E10" s="318"/>
      <c r="F10" s="309"/>
      <c r="G10" s="322"/>
      <c r="H10" s="322">
        <f>H9+G10</f>
        <v>2616</v>
      </c>
    </row>
    <row r="11" spans="1:8" s="275" customFormat="1" ht="12.75" customHeight="1" x14ac:dyDescent="0.25">
      <c r="A11" s="323"/>
      <c r="B11" s="287"/>
      <c r="C11" s="287"/>
      <c r="D11" s="287"/>
      <c r="E11" s="318"/>
      <c r="F11" s="309"/>
      <c r="G11" s="322"/>
      <c r="H11" s="322">
        <f t="shared" ref="H11:H20" si="0">H10+G11</f>
        <v>2616</v>
      </c>
    </row>
    <row r="12" spans="1:8" s="275" customFormat="1" ht="12.75" customHeight="1" x14ac:dyDescent="0.25">
      <c r="A12" s="323" t="s">
        <v>2</v>
      </c>
      <c r="B12" s="287" t="s">
        <v>2</v>
      </c>
      <c r="C12" s="287"/>
      <c r="D12" s="287"/>
      <c r="E12" s="318" t="s">
        <v>2</v>
      </c>
      <c r="F12" s="309"/>
      <c r="G12" s="322"/>
      <c r="H12" s="322">
        <f t="shared" si="0"/>
        <v>2616</v>
      </c>
    </row>
    <row r="13" spans="1:8" s="275" customFormat="1" ht="12.75" customHeight="1" x14ac:dyDescent="0.25">
      <c r="A13" s="323" t="s">
        <v>2</v>
      </c>
      <c r="B13" s="287" t="s">
        <v>2</v>
      </c>
      <c r="C13" s="287"/>
      <c r="D13" s="287"/>
      <c r="E13" s="318" t="s">
        <v>2</v>
      </c>
      <c r="F13" s="309"/>
      <c r="G13" s="322"/>
      <c r="H13" s="322">
        <f t="shared" si="0"/>
        <v>2616</v>
      </c>
    </row>
    <row r="14" spans="1:8" s="275" customFormat="1" ht="12.75" customHeight="1" x14ac:dyDescent="0.25">
      <c r="A14" s="323"/>
      <c r="B14" s="287"/>
      <c r="C14" s="287"/>
      <c r="D14" s="287"/>
      <c r="E14" s="318"/>
      <c r="F14" s="309"/>
      <c r="G14" s="322"/>
      <c r="H14" s="322">
        <f t="shared" si="0"/>
        <v>2616</v>
      </c>
    </row>
    <row r="15" spans="1:8" s="275" customFormat="1" ht="12.75" customHeight="1" x14ac:dyDescent="0.25">
      <c r="A15" s="323"/>
      <c r="B15" s="287"/>
      <c r="C15" s="287"/>
      <c r="D15" s="287"/>
      <c r="E15" s="324"/>
      <c r="F15" s="309"/>
      <c r="G15" s="322"/>
      <c r="H15" s="322">
        <f t="shared" si="0"/>
        <v>2616</v>
      </c>
    </row>
    <row r="16" spans="1:8" s="275" customFormat="1" ht="12.75" customHeight="1" x14ac:dyDescent="0.25">
      <c r="A16" s="323"/>
      <c r="B16" s="287"/>
      <c r="C16" s="287"/>
      <c r="D16" s="287"/>
      <c r="E16" s="318"/>
      <c r="F16" s="309"/>
      <c r="G16" s="322"/>
      <c r="H16" s="322">
        <f t="shared" si="0"/>
        <v>2616</v>
      </c>
    </row>
    <row r="17" spans="1:8" s="275" customFormat="1" ht="12.75" customHeight="1" x14ac:dyDescent="0.25">
      <c r="A17" s="319"/>
      <c r="B17" s="287"/>
      <c r="C17" s="287"/>
      <c r="D17" s="287"/>
      <c r="E17" s="318"/>
      <c r="F17" s="309"/>
      <c r="G17" s="322"/>
      <c r="H17" s="322">
        <f t="shared" si="0"/>
        <v>2616</v>
      </c>
    </row>
    <row r="18" spans="1:8" s="275" customFormat="1" ht="12.75" customHeight="1" x14ac:dyDescent="0.25">
      <c r="A18" s="319"/>
      <c r="B18" s="287"/>
      <c r="C18" s="287"/>
      <c r="D18" s="287"/>
      <c r="E18" s="318"/>
      <c r="F18" s="309"/>
      <c r="G18" s="322"/>
      <c r="H18" s="322">
        <f t="shared" si="0"/>
        <v>2616</v>
      </c>
    </row>
    <row r="19" spans="1:8" s="275" customFormat="1" ht="12.75" customHeight="1" x14ac:dyDescent="0.25">
      <c r="A19" s="319"/>
      <c r="B19" s="287"/>
      <c r="C19" s="287"/>
      <c r="D19" s="287"/>
      <c r="E19" s="318"/>
      <c r="F19" s="309"/>
      <c r="G19" s="322"/>
      <c r="H19" s="322">
        <f t="shared" si="0"/>
        <v>2616</v>
      </c>
    </row>
    <row r="20" spans="1:8" s="275" customFormat="1" ht="12.75" customHeight="1" x14ac:dyDescent="0.25">
      <c r="A20" s="319"/>
      <c r="B20" s="287"/>
      <c r="C20" s="287"/>
      <c r="D20" s="287"/>
      <c r="E20" s="318"/>
      <c r="F20" s="309"/>
      <c r="G20" s="322"/>
      <c r="H20" s="322">
        <f t="shared" si="0"/>
        <v>2616</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2616</v>
      </c>
      <c r="H22" s="328"/>
    </row>
    <row r="23" spans="1:8" s="275" customFormat="1" ht="12.75" customHeight="1" thickTop="1" x14ac:dyDescent="0.25"/>
    <row r="24" spans="1:8" s="275" customFormat="1" ht="12.75" customHeight="1" x14ac:dyDescent="0.25"/>
    <row r="25" spans="1:8" s="275" customFormat="1" ht="12.75" customHeight="1" x14ac:dyDescent="0.25"/>
    <row r="26" spans="1:8" s="275" customFormat="1" ht="12.75" customHeight="1" x14ac:dyDescent="0.25"/>
    <row r="27" spans="1:8" s="275" customFormat="1" ht="12.75" customHeight="1" x14ac:dyDescent="0.25"/>
    <row r="28" spans="1:8" s="275" customFormat="1" ht="12.75" customHeight="1" x14ac:dyDescent="0.25"/>
    <row r="29" spans="1:8" s="275" customFormat="1" ht="12.75" customHeight="1" x14ac:dyDescent="0.25"/>
    <row r="30" spans="1:8" s="275" customFormat="1" ht="12.75" customHeight="1" x14ac:dyDescent="0.25"/>
    <row r="31" spans="1:8" s="275" customFormat="1" ht="12.75" customHeight="1" x14ac:dyDescent="0.25"/>
    <row r="32" spans="1:8" s="275" customFormat="1" ht="12.75" customHeight="1" x14ac:dyDescent="0.25"/>
    <row r="33" s="275" customFormat="1" ht="12.75" customHeight="1" x14ac:dyDescent="0.25"/>
    <row r="34" s="275" customFormat="1" ht="12.75" customHeight="1" x14ac:dyDescent="0.25"/>
    <row r="35" s="275" customFormat="1" ht="12.75" customHeight="1" x14ac:dyDescent="0.25"/>
    <row r="36" s="275" customFormat="1" ht="12.75" customHeight="1" x14ac:dyDescent="0.25"/>
    <row r="37" s="275" customFormat="1" ht="12.75" customHeight="1" x14ac:dyDescent="0.25"/>
    <row r="38" s="275" customFormat="1" ht="12.75" customHeight="1" x14ac:dyDescent="0.25"/>
    <row r="39" s="275" customFormat="1" ht="12.75" customHeight="1" x14ac:dyDescent="0.25"/>
    <row r="40" s="275" customFormat="1" ht="12.75" customHeight="1" x14ac:dyDescent="0.25"/>
    <row r="41" s="275" customFormat="1" ht="12.75" customHeight="1" x14ac:dyDescent="0.25"/>
    <row r="42" s="275" customFormat="1" ht="12.75" customHeight="1" x14ac:dyDescent="0.25"/>
    <row r="43" s="275" customFormat="1" ht="12.75" customHeight="1" x14ac:dyDescent="0.25"/>
    <row r="44" s="275" customFormat="1" ht="12.75" customHeight="1" x14ac:dyDescent="0.25"/>
    <row r="45" s="275" customFormat="1" ht="12.75" customHeight="1" x14ac:dyDescent="0.25"/>
    <row r="46" s="275" customFormat="1" ht="12.75" customHeight="1" x14ac:dyDescent="0.25"/>
    <row r="47" s="275" customFormat="1" ht="12.75" customHeight="1" x14ac:dyDescent="0.25"/>
    <row r="48" s="275" customFormat="1" ht="12.75" customHeight="1" x14ac:dyDescent="0.25"/>
    <row r="49" s="275" customFormat="1" ht="12.75" customHeight="1" x14ac:dyDescent="0.25"/>
    <row r="50" s="275" customFormat="1" ht="12.75" customHeight="1" x14ac:dyDescent="0.25"/>
    <row r="51" s="275" customFormat="1" ht="12.75" customHeight="1" x14ac:dyDescent="0.25"/>
    <row r="52" s="275" customFormat="1" ht="12.75" customHeight="1" x14ac:dyDescent="0.25"/>
    <row r="53" s="275" customFormat="1" ht="12.75" customHeight="1" x14ac:dyDescent="0.25"/>
    <row r="54" s="275" customFormat="1" ht="12.75" customHeight="1" x14ac:dyDescent="0.25"/>
    <row r="55" s="275" customFormat="1" ht="12.75" customHeight="1" x14ac:dyDescent="0.25"/>
    <row r="56" s="275" customFormat="1" ht="12.75" customHeight="1" x14ac:dyDescent="0.25"/>
    <row r="57" s="275" customFormat="1" ht="12.75" customHeight="1" x14ac:dyDescent="0.25"/>
    <row r="58" s="275" customFormat="1" ht="12.75" customHeight="1" x14ac:dyDescent="0.25"/>
    <row r="59" s="275" customFormat="1" ht="12.75" customHeight="1" x14ac:dyDescent="0.25"/>
    <row r="60" s="275" customFormat="1" ht="12.75" customHeight="1" x14ac:dyDescent="0.25"/>
    <row r="61" s="275" customFormat="1" ht="12.75" customHeight="1" x14ac:dyDescent="0.25"/>
    <row r="62" s="275" customFormat="1" ht="12.75" customHeight="1" x14ac:dyDescent="0.25"/>
    <row r="63" s="275" customFormat="1" ht="12.75" customHeight="1" x14ac:dyDescent="0.25"/>
    <row r="64" s="275" customFormat="1" ht="12.75" customHeight="1" x14ac:dyDescent="0.25"/>
    <row r="65" s="275" customFormat="1" ht="12.75" customHeight="1" x14ac:dyDescent="0.25"/>
    <row r="66" s="275" customFormat="1" ht="12.75" customHeight="1" x14ac:dyDescent="0.25"/>
    <row r="67" s="275" customFormat="1" ht="12.75" customHeight="1" x14ac:dyDescent="0.25"/>
    <row r="68" s="275" customFormat="1" ht="12.75" customHeight="1" x14ac:dyDescent="0.25"/>
    <row r="69" s="275" customFormat="1" ht="12.75" customHeight="1" x14ac:dyDescent="0.25"/>
    <row r="70" s="275" customFormat="1" ht="12.75" customHeight="1" x14ac:dyDescent="0.25"/>
    <row r="71" s="275" customFormat="1" ht="12.75" customHeight="1" x14ac:dyDescent="0.25"/>
    <row r="72" s="275" customFormat="1" ht="12.75" customHeight="1" x14ac:dyDescent="0.25"/>
    <row r="73" s="275" customFormat="1" ht="12.75" customHeight="1" x14ac:dyDescent="0.25"/>
    <row r="74" s="275" customFormat="1" ht="12.75" customHeight="1" x14ac:dyDescent="0.25"/>
    <row r="75" s="275" customFormat="1" ht="12.75" customHeight="1" x14ac:dyDescent="0.25"/>
    <row r="76" s="275" customFormat="1" ht="12.75" customHeight="1" x14ac:dyDescent="0.25"/>
    <row r="77" s="275" customFormat="1" ht="12.75" customHeight="1" x14ac:dyDescent="0.25"/>
    <row r="78" s="275" customFormat="1" ht="12.75" customHeight="1" x14ac:dyDescent="0.25"/>
    <row r="79" s="275" customFormat="1" ht="12.75" customHeight="1" x14ac:dyDescent="0.25"/>
    <row r="80" s="275" customFormat="1" ht="12.75" customHeight="1" x14ac:dyDescent="0.25"/>
    <row r="81" s="275" customFormat="1" ht="12.75" customHeight="1" x14ac:dyDescent="0.25"/>
    <row r="82" s="275" customFormat="1" ht="12.75" customHeight="1" x14ac:dyDescent="0.25"/>
    <row r="83" s="275" customFormat="1" ht="12.75" customHeight="1" x14ac:dyDescent="0.25"/>
    <row r="84" s="275" customFormat="1" ht="12.75" customHeight="1" x14ac:dyDescent="0.25"/>
    <row r="85" s="275" customFormat="1" ht="12.75" customHeight="1" x14ac:dyDescent="0.25"/>
    <row r="86" s="275" customFormat="1" ht="12.75" customHeight="1" x14ac:dyDescent="0.25"/>
    <row r="87" s="275" customFormat="1" ht="12.75" customHeight="1" x14ac:dyDescent="0.25"/>
    <row r="88" s="275" customFormat="1" ht="12.75" customHeight="1" x14ac:dyDescent="0.25"/>
    <row r="89" s="275" customFormat="1" ht="12.75" customHeight="1" x14ac:dyDescent="0.25"/>
    <row r="90" s="275" customFormat="1" ht="12.75" customHeight="1" x14ac:dyDescent="0.25"/>
    <row r="91" s="275" customFormat="1" ht="12.75" customHeight="1" x14ac:dyDescent="0.25"/>
    <row r="92" s="275" customFormat="1" ht="12.75" customHeight="1" x14ac:dyDescent="0.25"/>
    <row r="93" s="275" customFormat="1" ht="12.75" customHeight="1" x14ac:dyDescent="0.25"/>
    <row r="94" s="275" customFormat="1" ht="12.75" customHeight="1" x14ac:dyDescent="0.25"/>
    <row r="95" s="275" customFormat="1" ht="12.75" customHeight="1" x14ac:dyDescent="0.25"/>
    <row r="96" s="275" customFormat="1" ht="12.75" customHeight="1" x14ac:dyDescent="0.25"/>
    <row r="97" s="275" customFormat="1" ht="12.75" customHeight="1" x14ac:dyDescent="0.25"/>
    <row r="98" s="275" customFormat="1" ht="12.75" customHeight="1" x14ac:dyDescent="0.25"/>
    <row r="99" s="275" customFormat="1" ht="12.75" customHeight="1" x14ac:dyDescent="0.25"/>
    <row r="100" s="275" customFormat="1" ht="12.75" customHeight="1" x14ac:dyDescent="0.25"/>
    <row r="101" s="275" customFormat="1" ht="12.75" customHeight="1" x14ac:dyDescent="0.25"/>
  </sheetData>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0DFA7-0513-4505-9609-796DACF783EB}">
  <sheetPr>
    <pageSetUpPr fitToPage="1"/>
  </sheetPr>
  <dimension ref="A1:I30"/>
  <sheetViews>
    <sheetView zoomScaleNormal="100" workbookViewId="0">
      <selection activeCell="K12" sqref="K12"/>
    </sheetView>
  </sheetViews>
  <sheetFormatPr defaultColWidth="11.42578125" defaultRowHeight="15" customHeight="1" x14ac:dyDescent="0.25"/>
  <cols>
    <col min="1" max="1" width="24.5703125" customWidth="1"/>
    <col min="2" max="2" width="9.42578125" customWidth="1"/>
    <col min="3" max="3" width="21.85546875" bestFit="1" customWidth="1"/>
    <col min="4" max="4" width="14.42578125" customWidth="1"/>
    <col min="5" max="5" width="13.5703125" customWidth="1"/>
    <col min="6" max="6" width="12.42578125" customWidth="1"/>
    <col min="7" max="7" width="10.5703125" customWidth="1"/>
    <col min="8" max="8"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#9508.00'!B1</f>
        <v>DOC FDCF Unit A Roof Replacement</v>
      </c>
      <c r="B1" s="3"/>
      <c r="C1" s="4"/>
      <c r="D1" s="4"/>
      <c r="E1" s="4"/>
      <c r="F1" s="33"/>
      <c r="G1" s="33"/>
      <c r="H1" s="34"/>
      <c r="I1" s="34"/>
    </row>
    <row r="2" spans="1:9" ht="15.75" x14ac:dyDescent="0.25">
      <c r="A2" s="6" t="str">
        <f>'RECAP #9508.00'!B2</f>
        <v>Project # 9508.00</v>
      </c>
      <c r="B2" s="5"/>
      <c r="C2" s="4"/>
      <c r="D2" s="4"/>
      <c r="E2" s="4"/>
      <c r="F2" s="33"/>
      <c r="G2" s="33"/>
      <c r="H2" s="34"/>
      <c r="I2" s="34"/>
    </row>
    <row r="3" spans="1:9" ht="15.75" x14ac:dyDescent="0.25">
      <c r="A3" s="7" t="str">
        <f>'RECAP #9508.00'!B3</f>
        <v>Program code 950800</v>
      </c>
      <c r="B3" s="5"/>
      <c r="C3" s="4"/>
      <c r="D3" s="8" t="str">
        <f>'RECAP #9508.00'!E3</f>
        <v>Major Program 4E02</v>
      </c>
      <c r="E3" s="4"/>
      <c r="F3" s="33"/>
      <c r="G3" s="33"/>
      <c r="H3" s="34"/>
      <c r="I3" s="34"/>
    </row>
    <row r="4" spans="1:9" ht="15.75" x14ac:dyDescent="0.25">
      <c r="A4" s="35" t="s">
        <v>404</v>
      </c>
      <c r="B4" s="36"/>
      <c r="C4" s="37"/>
      <c r="D4" s="38" t="s">
        <v>405</v>
      </c>
      <c r="E4" s="39"/>
      <c r="F4" s="33"/>
      <c r="G4" s="33"/>
      <c r="H4" s="34"/>
      <c r="I4" s="34"/>
    </row>
    <row r="5" spans="1:9" ht="15.75" x14ac:dyDescent="0.25">
      <c r="A5" s="40" t="s">
        <v>117</v>
      </c>
      <c r="B5" s="41"/>
      <c r="C5" s="42"/>
      <c r="D5" s="43" t="s">
        <v>406</v>
      </c>
      <c r="E5" s="44"/>
      <c r="F5" s="45"/>
      <c r="G5" s="46"/>
      <c r="H5" s="41"/>
      <c r="I5" s="34"/>
    </row>
    <row r="6" spans="1:9" ht="15.75" x14ac:dyDescent="0.25">
      <c r="A6" s="13" t="str">
        <f>'RECAP #9508.00'!B6</f>
        <v>Project Manager - Geoff W.(JE)</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407</v>
      </c>
      <c r="B9" s="287">
        <v>46029</v>
      </c>
      <c r="C9" s="288" t="s">
        <v>111</v>
      </c>
      <c r="D9" s="289">
        <v>56340</v>
      </c>
      <c r="E9" s="290">
        <f>D9</f>
        <v>56340</v>
      </c>
      <c r="F9" s="291"/>
      <c r="G9" s="291"/>
      <c r="H9" s="291">
        <f>E9</f>
        <v>56340</v>
      </c>
      <c r="I9" s="292"/>
    </row>
    <row r="10" spans="1:9" s="275" customFormat="1" ht="12.75" customHeight="1" x14ac:dyDescent="0.25">
      <c r="A10" s="286" t="s">
        <v>557</v>
      </c>
      <c r="B10" s="293">
        <v>46062</v>
      </c>
      <c r="C10" s="288" t="s">
        <v>558</v>
      </c>
      <c r="D10" s="290"/>
      <c r="E10" s="290">
        <f t="shared" ref="E10:E21" si="0">E9+D10</f>
        <v>56340</v>
      </c>
      <c r="F10" s="294">
        <v>7254</v>
      </c>
      <c r="G10" s="291">
        <f t="shared" ref="G10:G21" si="1">G9+F10</f>
        <v>7254</v>
      </c>
      <c r="H10" s="291">
        <f t="shared" ref="H10:H21" si="2">H9-F10+D10</f>
        <v>49086</v>
      </c>
      <c r="I10" s="292"/>
    </row>
    <row r="11" spans="1:9" s="275" customFormat="1" ht="12.75" customHeight="1" x14ac:dyDescent="0.25">
      <c r="A11" s="286" t="s">
        <v>652</v>
      </c>
      <c r="B11" s="287">
        <v>46090</v>
      </c>
      <c r="C11" s="288" t="s">
        <v>653</v>
      </c>
      <c r="D11" s="290"/>
      <c r="E11" s="290">
        <f t="shared" si="0"/>
        <v>56340</v>
      </c>
      <c r="F11" s="294">
        <v>12090</v>
      </c>
      <c r="G11" s="291">
        <f t="shared" si="1"/>
        <v>19344</v>
      </c>
      <c r="H11" s="291">
        <f t="shared" si="2"/>
        <v>36996</v>
      </c>
      <c r="I11" s="292"/>
    </row>
    <row r="12" spans="1:9" s="275" customFormat="1" ht="12.75" customHeight="1" x14ac:dyDescent="0.25">
      <c r="A12" s="286"/>
      <c r="B12" s="287"/>
      <c r="C12" s="288"/>
      <c r="D12" s="290"/>
      <c r="E12" s="290">
        <f t="shared" si="0"/>
        <v>56340</v>
      </c>
      <c r="F12" s="295"/>
      <c r="G12" s="291">
        <f t="shared" si="1"/>
        <v>19344</v>
      </c>
      <c r="H12" s="291">
        <f t="shared" si="2"/>
        <v>36996</v>
      </c>
      <c r="I12" s="292"/>
    </row>
    <row r="13" spans="1:9" s="275" customFormat="1" ht="12.75" customHeight="1" x14ac:dyDescent="0.25">
      <c r="A13" s="286"/>
      <c r="B13" s="287"/>
      <c r="C13" s="288"/>
      <c r="D13" s="290"/>
      <c r="E13" s="290">
        <f t="shared" si="0"/>
        <v>56340</v>
      </c>
      <c r="F13" s="295"/>
      <c r="G13" s="291">
        <f t="shared" si="1"/>
        <v>19344</v>
      </c>
      <c r="H13" s="291">
        <f t="shared" si="2"/>
        <v>36996</v>
      </c>
      <c r="I13" s="292"/>
    </row>
    <row r="14" spans="1:9" s="275" customFormat="1" ht="12.75" customHeight="1" x14ac:dyDescent="0.25">
      <c r="A14" s="286"/>
      <c r="B14" s="287"/>
      <c r="C14" s="288"/>
      <c r="D14" s="290"/>
      <c r="E14" s="290">
        <f t="shared" si="0"/>
        <v>56340</v>
      </c>
      <c r="F14" s="291"/>
      <c r="G14" s="291">
        <f t="shared" si="1"/>
        <v>19344</v>
      </c>
      <c r="H14" s="291">
        <f t="shared" si="2"/>
        <v>36996</v>
      </c>
      <c r="I14" s="292"/>
    </row>
    <row r="15" spans="1:9" s="275" customFormat="1" ht="12.75" customHeight="1" x14ac:dyDescent="0.25">
      <c r="A15" s="286"/>
      <c r="B15" s="287"/>
      <c r="C15" s="288"/>
      <c r="D15" s="290"/>
      <c r="E15" s="290">
        <f t="shared" si="0"/>
        <v>56340</v>
      </c>
      <c r="F15" s="295"/>
      <c r="G15" s="291">
        <f t="shared" si="1"/>
        <v>19344</v>
      </c>
      <c r="H15" s="291">
        <f t="shared" si="2"/>
        <v>36996</v>
      </c>
      <c r="I15" s="292"/>
    </row>
    <row r="16" spans="1:9" s="275" customFormat="1" ht="12.75" customHeight="1" x14ac:dyDescent="0.25">
      <c r="A16" s="286"/>
      <c r="B16" s="287"/>
      <c r="C16" s="288"/>
      <c r="D16" s="290"/>
      <c r="E16" s="290">
        <f t="shared" si="0"/>
        <v>56340</v>
      </c>
      <c r="F16" s="295"/>
      <c r="G16" s="291">
        <f t="shared" si="1"/>
        <v>19344</v>
      </c>
      <c r="H16" s="291">
        <f t="shared" si="2"/>
        <v>36996</v>
      </c>
      <c r="I16" s="292"/>
    </row>
    <row r="17" spans="1:9" s="275" customFormat="1" ht="12.75" customHeight="1" x14ac:dyDescent="0.25">
      <c r="A17" s="286"/>
      <c r="B17" s="287"/>
      <c r="C17" s="288"/>
      <c r="D17" s="290"/>
      <c r="E17" s="290">
        <f t="shared" si="0"/>
        <v>56340</v>
      </c>
      <c r="F17" s="295"/>
      <c r="G17" s="291">
        <f t="shared" si="1"/>
        <v>19344</v>
      </c>
      <c r="H17" s="291">
        <f t="shared" si="2"/>
        <v>36996</v>
      </c>
      <c r="I17" s="292"/>
    </row>
    <row r="18" spans="1:9" s="275" customFormat="1" ht="12.75" customHeight="1" x14ac:dyDescent="0.25">
      <c r="A18" s="286"/>
      <c r="B18" s="287"/>
      <c r="C18" s="288"/>
      <c r="D18" s="290"/>
      <c r="E18" s="290">
        <f t="shared" si="0"/>
        <v>56340</v>
      </c>
      <c r="F18" s="295"/>
      <c r="G18" s="291">
        <f t="shared" si="1"/>
        <v>19344</v>
      </c>
      <c r="H18" s="291">
        <f t="shared" si="2"/>
        <v>36996</v>
      </c>
      <c r="I18" s="292"/>
    </row>
    <row r="19" spans="1:9" s="275" customFormat="1" ht="12.75" customHeight="1" x14ac:dyDescent="0.25">
      <c r="A19" s="286"/>
      <c r="B19" s="287"/>
      <c r="C19" s="288"/>
      <c r="D19" s="290"/>
      <c r="E19" s="290">
        <f t="shared" si="0"/>
        <v>56340</v>
      </c>
      <c r="F19" s="291"/>
      <c r="G19" s="291">
        <f t="shared" si="1"/>
        <v>19344</v>
      </c>
      <c r="H19" s="291">
        <f t="shared" si="2"/>
        <v>36996</v>
      </c>
      <c r="I19" s="292"/>
    </row>
    <row r="20" spans="1:9" s="275" customFormat="1" ht="12.75" customHeight="1" x14ac:dyDescent="0.25">
      <c r="A20" s="286"/>
      <c r="B20" s="287"/>
      <c r="C20" s="288"/>
      <c r="D20" s="290"/>
      <c r="E20" s="290">
        <f t="shared" si="0"/>
        <v>56340</v>
      </c>
      <c r="F20" s="291"/>
      <c r="G20" s="291">
        <f t="shared" si="1"/>
        <v>19344</v>
      </c>
      <c r="H20" s="291">
        <f t="shared" si="2"/>
        <v>36996</v>
      </c>
      <c r="I20" s="292"/>
    </row>
    <row r="21" spans="1:9" s="275" customFormat="1" ht="12.75" customHeight="1" x14ac:dyDescent="0.25">
      <c r="A21" s="286"/>
      <c r="B21" s="287"/>
      <c r="C21" s="296"/>
      <c r="D21" s="290"/>
      <c r="E21" s="290">
        <f t="shared" si="0"/>
        <v>56340</v>
      </c>
      <c r="F21" s="291"/>
      <c r="G21" s="291">
        <f t="shared" si="1"/>
        <v>19344</v>
      </c>
      <c r="H21" s="291">
        <f t="shared" si="2"/>
        <v>36996</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56340</v>
      </c>
      <c r="E23" s="302"/>
      <c r="F23" s="302">
        <f>SUM(F9:F22)</f>
        <v>19344</v>
      </c>
      <c r="G23" s="302"/>
      <c r="H23" s="302">
        <f>D23-F23</f>
        <v>36996</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408</v>
      </c>
      <c r="D26" s="313">
        <v>24180</v>
      </c>
      <c r="E26" s="313"/>
      <c r="F26" s="313">
        <f>7254+12090</f>
        <v>19344</v>
      </c>
      <c r="G26" s="313"/>
      <c r="H26" s="313">
        <f>D26-F26</f>
        <v>4836</v>
      </c>
      <c r="I26" s="292"/>
    </row>
    <row r="27" spans="1:9" s="275" customFormat="1" ht="12.75" customHeight="1" x14ac:dyDescent="0.25">
      <c r="A27" s="286"/>
      <c r="B27" s="288"/>
      <c r="C27" s="312" t="s">
        <v>409</v>
      </c>
      <c r="D27" s="313">
        <v>9740</v>
      </c>
      <c r="E27" s="313"/>
      <c r="F27" s="313"/>
      <c r="G27" s="313"/>
      <c r="H27" s="313">
        <f t="shared" ref="H27:H28" si="3">D27-F27</f>
        <v>9740</v>
      </c>
      <c r="I27" s="292"/>
    </row>
    <row r="28" spans="1:9" s="275" customFormat="1" ht="12.75" customHeight="1" x14ac:dyDescent="0.25">
      <c r="A28" s="286"/>
      <c r="B28" s="288"/>
      <c r="C28" s="312" t="s">
        <v>125</v>
      </c>
      <c r="D28" s="313">
        <v>22420</v>
      </c>
      <c r="E28" s="313"/>
      <c r="F28" s="313"/>
      <c r="G28" s="313"/>
      <c r="H28" s="313">
        <f t="shared" si="3"/>
        <v>22420</v>
      </c>
      <c r="I28" s="292"/>
    </row>
    <row r="29" spans="1:9" s="275" customFormat="1" ht="12.75" customHeight="1" thickBot="1" x14ac:dyDescent="0.3">
      <c r="A29" s="286"/>
      <c r="B29" s="288"/>
      <c r="C29" s="314" t="s">
        <v>67</v>
      </c>
      <c r="D29" s="315">
        <f>SUM(D26:D28)</f>
        <v>56340</v>
      </c>
      <c r="E29" s="316"/>
      <c r="F29" s="315">
        <f>SUM(F26:F28)</f>
        <v>19344</v>
      </c>
      <c r="G29" s="316"/>
      <c r="H29" s="315">
        <f>SUM(H26:H28)</f>
        <v>36996</v>
      </c>
      <c r="I29" s="292"/>
    </row>
    <row r="30" spans="1:9" s="275" customFormat="1" ht="12.75" customHeight="1" thickTop="1" x14ac:dyDescent="0.25"/>
  </sheetData>
  <conditionalFormatting sqref="I8:I23">
    <cfRule type="cellIs" dxfId="17"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1ED51-969E-4749-B4AA-021565B6D79D}">
  <sheetPr>
    <pageSetUpPr fitToPage="1"/>
  </sheetPr>
  <dimension ref="A1:I36"/>
  <sheetViews>
    <sheetView zoomScaleNormal="100" workbookViewId="0">
      <selection activeCell="A27" sqref="A27"/>
    </sheetView>
  </sheetViews>
  <sheetFormatPr defaultColWidth="11.42578125" defaultRowHeight="15" customHeight="1" x14ac:dyDescent="0.25"/>
  <cols>
    <col min="1" max="1" width="24.5703125" customWidth="1"/>
    <col min="2" max="2" width="9.42578125" customWidth="1"/>
    <col min="3" max="3" width="10.7109375" bestFit="1" customWidth="1"/>
    <col min="4" max="4" width="14.42578125" customWidth="1"/>
    <col min="5" max="5" width="13.5703125" customWidth="1"/>
    <col min="6" max="6" width="12.42578125" customWidth="1"/>
    <col min="7" max="7" width="10.5703125" customWidth="1"/>
    <col min="8" max="8" width="16.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#9455.00'!B1</f>
        <v>IDOE ISD Giangreco Hall Water Infiltration Mitigation</v>
      </c>
      <c r="B1" s="3"/>
      <c r="C1" s="4"/>
      <c r="D1" s="4"/>
      <c r="E1" s="4"/>
      <c r="F1" s="33"/>
      <c r="G1" s="33"/>
      <c r="H1" s="34"/>
      <c r="I1" s="34"/>
    </row>
    <row r="2" spans="1:9" ht="15.75" x14ac:dyDescent="0.25">
      <c r="A2" s="6" t="str">
        <f>'RECAP #9455.00'!B2</f>
        <v>Project # 9455.00</v>
      </c>
      <c r="B2" s="5"/>
      <c r="C2" s="4"/>
      <c r="D2" s="4"/>
      <c r="E2" s="4"/>
      <c r="F2" s="33"/>
      <c r="G2" s="33"/>
      <c r="H2" s="34"/>
      <c r="I2" s="34"/>
    </row>
    <row r="3" spans="1:9" ht="15.75" x14ac:dyDescent="0.25">
      <c r="A3" s="7" t="str">
        <f>'RECAP #9455.00'!B3</f>
        <v>Program code 945500</v>
      </c>
      <c r="B3" s="5"/>
      <c r="C3" s="4"/>
      <c r="D3" s="8" t="str">
        <f>'RECAP #9455.00'!E3</f>
        <v>Major Program 4F04</v>
      </c>
      <c r="E3" s="4"/>
      <c r="F3" s="33"/>
      <c r="G3" s="33"/>
      <c r="H3" s="34"/>
      <c r="I3" s="34"/>
    </row>
    <row r="4" spans="1:9" ht="15.75" x14ac:dyDescent="0.25">
      <c r="A4" s="35" t="s">
        <v>489</v>
      </c>
      <c r="B4" s="36"/>
      <c r="C4" s="37"/>
      <c r="D4" s="38" t="s">
        <v>493</v>
      </c>
      <c r="E4" s="39"/>
      <c r="F4" s="33"/>
      <c r="G4" s="33"/>
      <c r="H4" s="34"/>
      <c r="I4" s="34"/>
    </row>
    <row r="5" spans="1:9" ht="15.75" x14ac:dyDescent="0.25">
      <c r="A5" s="40" t="s">
        <v>106</v>
      </c>
      <c r="B5" s="41"/>
      <c r="C5" s="42"/>
      <c r="D5" s="43" t="s">
        <v>492</v>
      </c>
      <c r="E5" s="44"/>
      <c r="F5" s="45"/>
      <c r="G5" s="46"/>
      <c r="H5" s="41"/>
      <c r="I5" s="34"/>
    </row>
    <row r="6" spans="1:9" ht="15.75" x14ac:dyDescent="0.25">
      <c r="A6" s="13" t="str">
        <f>'RECAP #9455.00'!B6</f>
        <v>Project Manager - Jennie E.</v>
      </c>
      <c r="B6" s="11"/>
      <c r="C6" s="47"/>
      <c r="D6" s="372" t="s">
        <v>490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491</v>
      </c>
      <c r="B9" s="287">
        <v>46024</v>
      </c>
      <c r="C9" s="288" t="s">
        <v>111</v>
      </c>
      <c r="D9" s="289">
        <v>2454306</v>
      </c>
      <c r="E9" s="290">
        <f>D9</f>
        <v>2454306</v>
      </c>
      <c r="F9" s="291"/>
      <c r="G9" s="291"/>
      <c r="H9" s="291">
        <f>E9</f>
        <v>2454306</v>
      </c>
      <c r="I9" s="292"/>
    </row>
    <row r="10" spans="1:9" s="275" customFormat="1" ht="12.75" customHeight="1" x14ac:dyDescent="0.25">
      <c r="A10" s="286"/>
      <c r="B10" s="293"/>
      <c r="C10" s="288"/>
      <c r="D10" s="290"/>
      <c r="E10" s="290">
        <f t="shared" ref="E10:E21" si="0">E9+D10</f>
        <v>2454306</v>
      </c>
      <c r="F10" s="295"/>
      <c r="G10" s="291">
        <f t="shared" ref="G10:G21" si="1">G9+F10</f>
        <v>0</v>
      </c>
      <c r="H10" s="291">
        <f t="shared" ref="H10:H21" si="2">H9-F10+D10</f>
        <v>2454306</v>
      </c>
      <c r="I10" s="292"/>
    </row>
    <row r="11" spans="1:9" s="275" customFormat="1" ht="12.75" customHeight="1" x14ac:dyDescent="0.25">
      <c r="A11" s="286"/>
      <c r="B11" s="287"/>
      <c r="C11" s="288"/>
      <c r="D11" s="290"/>
      <c r="E11" s="290">
        <f t="shared" si="0"/>
        <v>2454306</v>
      </c>
      <c r="F11" s="295"/>
      <c r="G11" s="291">
        <f t="shared" si="1"/>
        <v>0</v>
      </c>
      <c r="H11" s="291">
        <f t="shared" si="2"/>
        <v>2454306</v>
      </c>
      <c r="I11" s="292"/>
    </row>
    <row r="12" spans="1:9" s="275" customFormat="1" ht="12.75" customHeight="1" x14ac:dyDescent="0.25">
      <c r="A12" s="286"/>
      <c r="B12" s="287"/>
      <c r="C12" s="288"/>
      <c r="D12" s="290"/>
      <c r="E12" s="290">
        <f t="shared" si="0"/>
        <v>2454306</v>
      </c>
      <c r="F12" s="295"/>
      <c r="G12" s="291">
        <f t="shared" si="1"/>
        <v>0</v>
      </c>
      <c r="H12" s="291">
        <f t="shared" si="2"/>
        <v>2454306</v>
      </c>
      <c r="I12" s="292"/>
    </row>
    <row r="13" spans="1:9" s="275" customFormat="1" ht="12.75" customHeight="1" x14ac:dyDescent="0.25">
      <c r="A13" s="286"/>
      <c r="B13" s="287"/>
      <c r="C13" s="288"/>
      <c r="D13" s="290"/>
      <c r="E13" s="290">
        <f t="shared" si="0"/>
        <v>2454306</v>
      </c>
      <c r="F13" s="295"/>
      <c r="G13" s="291">
        <f t="shared" si="1"/>
        <v>0</v>
      </c>
      <c r="H13" s="291">
        <f t="shared" si="2"/>
        <v>2454306</v>
      </c>
      <c r="I13" s="292"/>
    </row>
    <row r="14" spans="1:9" s="275" customFormat="1" ht="12.75" customHeight="1" x14ac:dyDescent="0.25">
      <c r="A14" s="286"/>
      <c r="B14" s="287"/>
      <c r="C14" s="288"/>
      <c r="D14" s="290"/>
      <c r="E14" s="290">
        <f t="shared" si="0"/>
        <v>2454306</v>
      </c>
      <c r="F14" s="291"/>
      <c r="G14" s="291">
        <f t="shared" si="1"/>
        <v>0</v>
      </c>
      <c r="H14" s="291">
        <f t="shared" si="2"/>
        <v>2454306</v>
      </c>
      <c r="I14" s="292"/>
    </row>
    <row r="15" spans="1:9" s="275" customFormat="1" ht="12.75" customHeight="1" x14ac:dyDescent="0.25">
      <c r="A15" s="286"/>
      <c r="B15" s="287"/>
      <c r="C15" s="288"/>
      <c r="D15" s="290"/>
      <c r="E15" s="290">
        <f t="shared" si="0"/>
        <v>2454306</v>
      </c>
      <c r="F15" s="295"/>
      <c r="G15" s="291">
        <f t="shared" si="1"/>
        <v>0</v>
      </c>
      <c r="H15" s="291">
        <f t="shared" si="2"/>
        <v>2454306</v>
      </c>
      <c r="I15" s="292"/>
    </row>
    <row r="16" spans="1:9" s="275" customFormat="1" ht="12.75" customHeight="1" x14ac:dyDescent="0.25">
      <c r="A16" s="286"/>
      <c r="B16" s="287"/>
      <c r="C16" s="288"/>
      <c r="D16" s="290"/>
      <c r="E16" s="290">
        <f t="shared" si="0"/>
        <v>2454306</v>
      </c>
      <c r="F16" s="295"/>
      <c r="G16" s="291">
        <f t="shared" si="1"/>
        <v>0</v>
      </c>
      <c r="H16" s="291">
        <f t="shared" si="2"/>
        <v>2454306</v>
      </c>
      <c r="I16" s="292"/>
    </row>
    <row r="17" spans="1:9" s="275" customFormat="1" ht="12.75" customHeight="1" x14ac:dyDescent="0.25">
      <c r="A17" s="286"/>
      <c r="B17" s="287"/>
      <c r="C17" s="288"/>
      <c r="D17" s="290"/>
      <c r="E17" s="290">
        <f t="shared" si="0"/>
        <v>2454306</v>
      </c>
      <c r="F17" s="295"/>
      <c r="G17" s="291">
        <f t="shared" si="1"/>
        <v>0</v>
      </c>
      <c r="H17" s="291">
        <f t="shared" si="2"/>
        <v>2454306</v>
      </c>
      <c r="I17" s="292"/>
    </row>
    <row r="18" spans="1:9" s="275" customFormat="1" ht="12.75" customHeight="1" x14ac:dyDescent="0.25">
      <c r="A18" s="286"/>
      <c r="B18" s="287"/>
      <c r="C18" s="288"/>
      <c r="D18" s="290"/>
      <c r="E18" s="290">
        <f t="shared" si="0"/>
        <v>2454306</v>
      </c>
      <c r="F18" s="295"/>
      <c r="G18" s="291">
        <f t="shared" si="1"/>
        <v>0</v>
      </c>
      <c r="H18" s="291">
        <f t="shared" si="2"/>
        <v>2454306</v>
      </c>
      <c r="I18" s="292"/>
    </row>
    <row r="19" spans="1:9" s="275" customFormat="1" ht="12.75" customHeight="1" x14ac:dyDescent="0.25">
      <c r="A19" s="286"/>
      <c r="B19" s="287"/>
      <c r="C19" s="288"/>
      <c r="D19" s="290"/>
      <c r="E19" s="290">
        <f t="shared" si="0"/>
        <v>2454306</v>
      </c>
      <c r="F19" s="291"/>
      <c r="G19" s="291">
        <f t="shared" si="1"/>
        <v>0</v>
      </c>
      <c r="H19" s="291">
        <f t="shared" si="2"/>
        <v>2454306</v>
      </c>
      <c r="I19" s="292"/>
    </row>
    <row r="20" spans="1:9" s="275" customFormat="1" ht="12.75" customHeight="1" x14ac:dyDescent="0.25">
      <c r="A20" s="286"/>
      <c r="B20" s="287"/>
      <c r="C20" s="288"/>
      <c r="D20" s="290"/>
      <c r="E20" s="290">
        <f t="shared" si="0"/>
        <v>2454306</v>
      </c>
      <c r="F20" s="291"/>
      <c r="G20" s="291">
        <f t="shared" si="1"/>
        <v>0</v>
      </c>
      <c r="H20" s="291">
        <f t="shared" si="2"/>
        <v>2454306</v>
      </c>
      <c r="I20" s="292"/>
    </row>
    <row r="21" spans="1:9" s="275" customFormat="1" ht="12.75" customHeight="1" x14ac:dyDescent="0.25">
      <c r="A21" s="286"/>
      <c r="B21" s="287"/>
      <c r="C21" s="296"/>
      <c r="D21" s="290"/>
      <c r="E21" s="290">
        <f t="shared" si="0"/>
        <v>2454306</v>
      </c>
      <c r="F21" s="291"/>
      <c r="G21" s="291">
        <f t="shared" si="1"/>
        <v>0</v>
      </c>
      <c r="H21" s="291">
        <f t="shared" si="2"/>
        <v>2454306</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2454306</v>
      </c>
      <c r="E23" s="302"/>
      <c r="F23" s="302">
        <f>SUM(F9:F22)</f>
        <v>0</v>
      </c>
      <c r="G23" s="302"/>
      <c r="H23" s="302">
        <f>D23-F23</f>
        <v>2454306</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42"/>
      <c r="D26" s="343"/>
      <c r="E26" s="343"/>
      <c r="F26" s="343"/>
      <c r="G26" s="343"/>
      <c r="H26" s="343"/>
      <c r="I26" s="373"/>
    </row>
    <row r="27" spans="1:9" s="275" customFormat="1" ht="12.75" customHeight="1" x14ac:dyDescent="0.25">
      <c r="A27" s="286"/>
      <c r="B27" s="288"/>
      <c r="C27" s="342"/>
      <c r="D27" s="343"/>
      <c r="E27" s="343"/>
      <c r="F27" s="343"/>
      <c r="G27" s="343"/>
      <c r="H27" s="343"/>
      <c r="I27" s="373"/>
    </row>
    <row r="28" spans="1:9" s="275" customFormat="1" ht="12.75" customHeight="1" x14ac:dyDescent="0.25">
      <c r="A28" s="286"/>
      <c r="B28" s="288"/>
      <c r="C28" s="342"/>
      <c r="D28" s="343"/>
      <c r="E28" s="343"/>
      <c r="F28" s="343"/>
      <c r="G28" s="343"/>
      <c r="H28" s="343"/>
      <c r="I28" s="373"/>
    </row>
    <row r="29" spans="1:9" s="275" customFormat="1" ht="12.75" customHeight="1" x14ac:dyDescent="0.25">
      <c r="A29" s="286"/>
      <c r="B29" s="288"/>
      <c r="C29" s="342"/>
      <c r="D29" s="343"/>
      <c r="E29" s="343"/>
      <c r="F29" s="343"/>
      <c r="G29" s="343"/>
      <c r="H29" s="343"/>
      <c r="I29" s="373"/>
    </row>
    <row r="30" spans="1:9" s="275" customFormat="1" ht="12.75" customHeight="1" x14ac:dyDescent="0.25">
      <c r="A30" s="286"/>
      <c r="B30" s="288"/>
      <c r="C30" s="344"/>
      <c r="D30" s="345"/>
      <c r="E30" s="345"/>
      <c r="F30" s="345"/>
      <c r="G30" s="345"/>
      <c r="H30" s="343"/>
      <c r="I30" s="373"/>
    </row>
    <row r="31" spans="1:9" s="275" customFormat="1" ht="12.75" customHeight="1" x14ac:dyDescent="0.25">
      <c r="A31" s="286"/>
      <c r="B31" s="288"/>
      <c r="C31" s="346"/>
      <c r="D31" s="347"/>
      <c r="E31" s="347"/>
      <c r="F31" s="347"/>
      <c r="G31" s="347"/>
      <c r="H31" s="347"/>
      <c r="I31" s="373"/>
    </row>
    <row r="32" spans="1:9" s="275" customFormat="1" ht="12.75" customHeight="1" x14ac:dyDescent="0.25"/>
    <row r="33" s="275" customFormat="1" ht="12.75" customHeight="1" x14ac:dyDescent="0.25"/>
    <row r="34" s="275" customFormat="1" ht="12.75" customHeight="1" x14ac:dyDescent="0.25"/>
    <row r="35" s="275" customFormat="1" ht="12.75" customHeight="1" x14ac:dyDescent="0.25"/>
    <row r="36" s="275" customFormat="1" ht="12.75" customHeight="1" x14ac:dyDescent="0.25"/>
  </sheetData>
  <conditionalFormatting sqref="I8:I23">
    <cfRule type="cellIs" dxfId="54" priority="1" operator="greaterThan">
      <formula>$H$23</formula>
    </cfRule>
  </conditionalFormatting>
  <pageMargins left="0.25" right="0.25" top="0.95" bottom="0.75" header="0.09" footer="0.3"/>
  <pageSetup scale="8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CBB0A-CCCC-48A6-B938-CF6D7475B79D}">
  <sheetPr>
    <tabColor rgb="FF0070C0"/>
    <pageSetUpPr fitToPage="1"/>
  </sheetPr>
  <dimension ref="A1:G22"/>
  <sheetViews>
    <sheetView zoomScaleNormal="100" workbookViewId="0">
      <selection activeCell="B23" sqref="B2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83"/>
      <c r="B1" s="35" t="s">
        <v>164</v>
      </c>
      <c r="C1" s="35"/>
      <c r="D1" s="185"/>
      <c r="E1" s="185"/>
      <c r="F1" s="185"/>
      <c r="G1" s="185"/>
    </row>
    <row r="2" spans="1:7" ht="15.75" x14ac:dyDescent="0.25">
      <c r="A2" s="183"/>
      <c r="B2" s="186" t="s">
        <v>224</v>
      </c>
      <c r="C2" s="182"/>
      <c r="D2" s="185"/>
      <c r="E2" s="185"/>
      <c r="F2" s="185"/>
      <c r="G2" s="185"/>
    </row>
    <row r="3" spans="1:7" ht="15.75" x14ac:dyDescent="0.25">
      <c r="A3" s="183"/>
      <c r="B3" s="187" t="s">
        <v>225</v>
      </c>
      <c r="C3" s="182"/>
      <c r="D3" s="185"/>
      <c r="E3" s="188" t="s">
        <v>185</v>
      </c>
      <c r="F3" s="185"/>
      <c r="G3" s="185"/>
    </row>
    <row r="4" spans="1:7" ht="15.75" x14ac:dyDescent="0.25">
      <c r="A4" s="183"/>
      <c r="B4" s="189" t="s">
        <v>1</v>
      </c>
      <c r="C4" s="190" t="s">
        <v>2</v>
      </c>
      <c r="D4" s="185"/>
      <c r="E4" s="185"/>
      <c r="F4" s="185"/>
      <c r="G4" s="185"/>
    </row>
    <row r="5" spans="1:7" ht="15.75" x14ac:dyDescent="0.25">
      <c r="A5" s="183"/>
      <c r="B5" s="36" t="s">
        <v>64</v>
      </c>
      <c r="C5" s="182"/>
      <c r="D5" s="185"/>
      <c r="E5" s="185"/>
      <c r="F5" s="185"/>
      <c r="G5" s="185"/>
    </row>
    <row r="6" spans="1:7" ht="15.75" x14ac:dyDescent="0.25">
      <c r="A6" s="191"/>
      <c r="B6" s="192" t="s">
        <v>226</v>
      </c>
      <c r="C6" s="193"/>
      <c r="D6" s="194" t="s">
        <v>2</v>
      </c>
      <c r="E6" s="195"/>
      <c r="F6" s="195"/>
      <c r="G6" s="195"/>
    </row>
    <row r="7" spans="1:7" ht="35.25" customHeight="1" thickBot="1" x14ac:dyDescent="0.3">
      <c r="A7" s="183"/>
      <c r="B7" s="197" t="s">
        <v>2</v>
      </c>
      <c r="C7" s="198" t="s">
        <v>3</v>
      </c>
      <c r="D7" s="199" t="s">
        <v>4</v>
      </c>
      <c r="E7" s="200" t="s">
        <v>5</v>
      </c>
      <c r="F7" s="201" t="s">
        <v>6</v>
      </c>
      <c r="G7" s="201" t="s">
        <v>7</v>
      </c>
    </row>
    <row r="8" spans="1:7" ht="28.35" customHeight="1" x14ac:dyDescent="0.25">
      <c r="A8" s="183"/>
      <c r="B8" s="183" t="s">
        <v>8</v>
      </c>
      <c r="C8" s="202">
        <f>FINANCIAL!G36</f>
        <v>0</v>
      </c>
      <c r="D8" s="203"/>
      <c r="E8" s="203"/>
      <c r="F8" s="203"/>
      <c r="G8" s="204"/>
    </row>
    <row r="9" spans="1:7" x14ac:dyDescent="0.25">
      <c r="A9" s="183"/>
      <c r="B9" s="182"/>
      <c r="C9" s="205"/>
      <c r="D9" s="206"/>
      <c r="E9" s="206"/>
      <c r="F9" s="206"/>
      <c r="G9" s="204"/>
    </row>
    <row r="10" spans="1:7" x14ac:dyDescent="0.25">
      <c r="A10" s="183"/>
      <c r="B10" s="182" t="s">
        <v>9</v>
      </c>
      <c r="C10" s="205"/>
      <c r="D10" s="203">
        <f>'#9509.00 Vendor A'!D23</f>
        <v>0</v>
      </c>
      <c r="E10" s="203">
        <f>'#9509.00 Vendor A'!F23</f>
        <v>0</v>
      </c>
      <c r="F10" s="203">
        <f>'#9509.00 Vendor A'!H23</f>
        <v>0</v>
      </c>
      <c r="G10" s="204"/>
    </row>
    <row r="11" spans="1:7" x14ac:dyDescent="0.25">
      <c r="A11" s="183"/>
      <c r="B11" s="182" t="s">
        <v>10</v>
      </c>
      <c r="C11" s="205"/>
      <c r="D11" s="203">
        <f>'#9509.00 PM TIME'!E23</f>
        <v>0</v>
      </c>
      <c r="E11" s="203">
        <f>'#9509.00 PM TIME'!G23</f>
        <v>0</v>
      </c>
      <c r="F11" s="203">
        <f>'#9509.00 PM TIME'!I23</f>
        <v>0</v>
      </c>
      <c r="G11" s="204"/>
    </row>
    <row r="12" spans="1:7" x14ac:dyDescent="0.25">
      <c r="A12" s="183"/>
      <c r="B12" s="182" t="s">
        <v>11</v>
      </c>
      <c r="C12" s="206"/>
      <c r="D12" s="207">
        <f>'#9509.00 Misc'!G22</f>
        <v>0</v>
      </c>
      <c r="E12" s="207">
        <f>'#9509.00 Misc'!H22</f>
        <v>0</v>
      </c>
      <c r="F12" s="203">
        <f>D12-E12</f>
        <v>0</v>
      </c>
      <c r="G12" s="204"/>
    </row>
    <row r="13" spans="1:7" ht="13.35" customHeight="1" x14ac:dyDescent="0.25">
      <c r="A13" s="191"/>
      <c r="B13" s="182"/>
      <c r="C13" s="206"/>
      <c r="D13" s="207"/>
      <c r="E13" s="207"/>
      <c r="F13" s="203"/>
      <c r="G13" s="208"/>
    </row>
    <row r="14" spans="1:7" ht="24" customHeight="1" thickBot="1" x14ac:dyDescent="0.3">
      <c r="A14" s="209"/>
      <c r="B14" s="210" t="s">
        <v>12</v>
      </c>
      <c r="C14" s="211">
        <f>SUM(C8:C13)</f>
        <v>0</v>
      </c>
      <c r="D14" s="211">
        <f>SUM(D8:D13)</f>
        <v>0</v>
      </c>
      <c r="E14" s="211">
        <f>SUM(E8:E13)</f>
        <v>0</v>
      </c>
      <c r="F14" s="211">
        <f>SUM(D14-E14)</f>
        <v>0</v>
      </c>
      <c r="G14" s="211">
        <f>C8-D14</f>
        <v>0</v>
      </c>
    </row>
    <row r="15" spans="1:7" ht="13.35" customHeight="1" thickTop="1" x14ac:dyDescent="0.25">
      <c r="A15" s="191"/>
      <c r="B15" s="182"/>
      <c r="C15" s="182"/>
      <c r="D15" s="208"/>
      <c r="E15" s="208"/>
      <c r="F15" s="208"/>
      <c r="G15" s="208"/>
    </row>
    <row r="16" spans="1:7" ht="13.35" customHeight="1" x14ac:dyDescent="0.25">
      <c r="A16" s="191"/>
      <c r="B16" s="182"/>
      <c r="C16" s="182"/>
      <c r="D16" s="208"/>
      <c r="E16" s="208"/>
      <c r="F16" s="208"/>
      <c r="G16" s="208"/>
    </row>
    <row r="17" spans="1:7" ht="13.35" customHeight="1" x14ac:dyDescent="0.25">
      <c r="A17" s="191"/>
      <c r="B17" s="183" t="s">
        <v>346</v>
      </c>
      <c r="C17" s="182"/>
      <c r="D17" s="208"/>
      <c r="E17" s="208"/>
      <c r="F17" s="208"/>
      <c r="G17" s="208"/>
    </row>
    <row r="18" spans="1:7" ht="13.35" customHeight="1" x14ac:dyDescent="0.25">
      <c r="A18" s="191"/>
      <c r="B18" s="182"/>
      <c r="C18" s="182"/>
      <c r="D18" s="208"/>
      <c r="E18" s="208"/>
      <c r="F18" s="208"/>
      <c r="G18" s="208"/>
    </row>
    <row r="19" spans="1:7" ht="13.35" customHeight="1" x14ac:dyDescent="0.25">
      <c r="A19" s="191"/>
      <c r="B19" s="182"/>
      <c r="C19" s="182"/>
      <c r="D19" s="208"/>
      <c r="E19" s="208"/>
      <c r="F19" s="208"/>
      <c r="G19" s="208"/>
    </row>
    <row r="20" spans="1:7" ht="13.35" customHeight="1" x14ac:dyDescent="0.25">
      <c r="A20" s="191"/>
      <c r="B20" s="182"/>
      <c r="C20" s="182"/>
      <c r="D20" s="208"/>
      <c r="E20" s="208"/>
      <c r="F20" s="208"/>
      <c r="G20" s="208"/>
    </row>
    <row r="21" spans="1:7" ht="13.35" customHeight="1" x14ac:dyDescent="0.25">
      <c r="A21" s="191"/>
      <c r="B21" s="182"/>
      <c r="C21" s="182"/>
      <c r="D21" s="208"/>
      <c r="E21" s="208"/>
      <c r="F21" s="208"/>
      <c r="G21" s="208"/>
    </row>
    <row r="22" spans="1:7" ht="13.35" customHeight="1" x14ac:dyDescent="0.25">
      <c r="A22" s="191"/>
      <c r="B22" s="182"/>
      <c r="C22" s="182"/>
      <c r="D22" s="208"/>
      <c r="E22" s="208"/>
      <c r="F22" s="208"/>
      <c r="G22" s="208"/>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34BCA-A777-414C-82C7-5F8F0B1D5A5E}">
  <sheetPr>
    <tabColor rgb="FF0070C0"/>
    <pageSetUpPr fitToPage="1"/>
  </sheetPr>
  <dimension ref="A1:I29"/>
  <sheetViews>
    <sheetView zoomScaleNormal="100" workbookViewId="0">
      <selection activeCell="N28" sqref="N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35" t="str">
        <f>'RECAP #9509.00'!B1</f>
        <v>DOC FDCF Boone Unit Roof Replacement</v>
      </c>
      <c r="B1" s="35"/>
      <c r="C1" s="185"/>
      <c r="D1" s="185"/>
      <c r="E1" s="185"/>
      <c r="F1" s="223"/>
      <c r="G1" s="223"/>
      <c r="H1" s="224"/>
      <c r="I1" s="224"/>
    </row>
    <row r="2" spans="1:9" ht="15.75" x14ac:dyDescent="0.25">
      <c r="A2" s="186" t="str">
        <f>'RECAP #9509.00'!B2</f>
        <v>Project # 9509.00</v>
      </c>
      <c r="B2" s="182"/>
      <c r="C2" s="185"/>
      <c r="D2" s="185"/>
      <c r="E2" s="185"/>
      <c r="F2" s="223"/>
      <c r="G2" s="223"/>
      <c r="H2" s="224"/>
      <c r="I2" s="224"/>
    </row>
    <row r="3" spans="1:9" ht="15.75" x14ac:dyDescent="0.25">
      <c r="A3" s="187" t="str">
        <f>'RECAP #9509.00'!B3</f>
        <v>Program code 950900</v>
      </c>
      <c r="B3" s="182"/>
      <c r="C3" s="185"/>
      <c r="D3" s="188" t="str">
        <f>'RECAP #9509.00'!E3</f>
        <v>Major Program 4E02</v>
      </c>
      <c r="E3" s="185"/>
      <c r="F3" s="223"/>
      <c r="G3" s="223"/>
      <c r="H3" s="224"/>
      <c r="I3" s="224"/>
    </row>
    <row r="4" spans="1:9" ht="15.75" x14ac:dyDescent="0.25">
      <c r="A4" s="35" t="s">
        <v>13</v>
      </c>
      <c r="B4" s="36"/>
      <c r="C4" s="224"/>
      <c r="D4" s="225" t="s">
        <v>14</v>
      </c>
      <c r="E4" s="189"/>
      <c r="F4" s="223"/>
      <c r="G4" s="223"/>
      <c r="H4" s="224"/>
      <c r="I4" s="224"/>
    </row>
    <row r="5" spans="1:9" ht="15.75" x14ac:dyDescent="0.25">
      <c r="A5" s="226" t="s">
        <v>66</v>
      </c>
      <c r="B5" s="224"/>
      <c r="C5" s="227"/>
      <c r="D5" s="43"/>
      <c r="E5" s="49"/>
      <c r="F5" s="228"/>
      <c r="G5" s="223"/>
      <c r="H5" s="224"/>
      <c r="I5" s="224"/>
    </row>
    <row r="6" spans="1:9" ht="15.75" x14ac:dyDescent="0.25">
      <c r="A6" s="192" t="str">
        <f>'RECAP #9509.00'!B6</f>
        <v>Project Manager - Geoff W. (JE)</v>
      </c>
      <c r="B6" s="36"/>
      <c r="C6" s="229"/>
      <c r="D6" s="230" t="s">
        <v>15</v>
      </c>
      <c r="E6" s="49"/>
      <c r="F6" s="50"/>
      <c r="G6" s="223"/>
      <c r="H6" s="224"/>
      <c r="I6" s="224"/>
    </row>
    <row r="7" spans="1:9" ht="15.75" x14ac:dyDescent="0.25">
      <c r="A7" s="224"/>
      <c r="B7" s="231"/>
      <c r="C7" s="231"/>
      <c r="D7" s="224"/>
      <c r="E7" s="52"/>
      <c r="F7" s="53"/>
      <c r="G7" s="223"/>
      <c r="H7" s="224"/>
      <c r="I7" s="224" t="s">
        <v>2</v>
      </c>
    </row>
    <row r="8" spans="1:9" ht="32.25" thickBot="1" x14ac:dyDescent="0.3">
      <c r="A8" s="232" t="s">
        <v>16</v>
      </c>
      <c r="B8" s="233" t="s">
        <v>17</v>
      </c>
      <c r="C8" s="234" t="s">
        <v>18</v>
      </c>
      <c r="D8" s="235" t="s">
        <v>19</v>
      </c>
      <c r="E8" s="235" t="s">
        <v>20</v>
      </c>
      <c r="F8" s="235" t="s">
        <v>21</v>
      </c>
      <c r="G8" s="235" t="s">
        <v>22</v>
      </c>
      <c r="H8" s="235" t="s">
        <v>23</v>
      </c>
      <c r="I8" s="224"/>
    </row>
    <row r="9" spans="1:9" x14ac:dyDescent="0.25">
      <c r="A9" s="236"/>
      <c r="B9" s="237"/>
      <c r="C9" s="238"/>
      <c r="D9" s="239"/>
      <c r="E9" s="240">
        <f>D9</f>
        <v>0</v>
      </c>
      <c r="F9" s="241"/>
      <c r="G9" s="241"/>
      <c r="H9" s="241">
        <f>E9</f>
        <v>0</v>
      </c>
      <c r="I9" s="49"/>
    </row>
    <row r="10" spans="1:9" x14ac:dyDescent="0.25">
      <c r="A10" s="236"/>
      <c r="B10" s="242"/>
      <c r="C10" s="238"/>
      <c r="D10" s="240"/>
      <c r="E10" s="240">
        <f t="shared" ref="E10:E21" si="0">E9+D10</f>
        <v>0</v>
      </c>
      <c r="F10" s="243"/>
      <c r="G10" s="241">
        <f t="shared" ref="G10:G21" si="1">G9+F10</f>
        <v>0</v>
      </c>
      <c r="H10" s="241">
        <f t="shared" ref="H10:H21" si="2">H9-F10+D10</f>
        <v>0</v>
      </c>
      <c r="I10" s="49"/>
    </row>
    <row r="11" spans="1:9" x14ac:dyDescent="0.25">
      <c r="A11" s="236"/>
      <c r="B11" s="237"/>
      <c r="C11" s="238"/>
      <c r="D11" s="240"/>
      <c r="E11" s="240">
        <f t="shared" si="0"/>
        <v>0</v>
      </c>
      <c r="F11" s="243"/>
      <c r="G11" s="241">
        <f t="shared" si="1"/>
        <v>0</v>
      </c>
      <c r="H11" s="241">
        <f t="shared" si="2"/>
        <v>0</v>
      </c>
      <c r="I11" s="49"/>
    </row>
    <row r="12" spans="1:9" x14ac:dyDescent="0.25">
      <c r="A12" s="236"/>
      <c r="B12" s="237"/>
      <c r="C12" s="238"/>
      <c r="D12" s="240"/>
      <c r="E12" s="240">
        <f t="shared" si="0"/>
        <v>0</v>
      </c>
      <c r="F12" s="243"/>
      <c r="G12" s="241">
        <f t="shared" si="1"/>
        <v>0</v>
      </c>
      <c r="H12" s="241">
        <f t="shared" si="2"/>
        <v>0</v>
      </c>
      <c r="I12" s="49"/>
    </row>
    <row r="13" spans="1:9" x14ac:dyDescent="0.25">
      <c r="A13" s="236"/>
      <c r="B13" s="237"/>
      <c r="C13" s="238"/>
      <c r="D13" s="240"/>
      <c r="E13" s="240">
        <f t="shared" si="0"/>
        <v>0</v>
      </c>
      <c r="F13" s="243"/>
      <c r="G13" s="241">
        <f t="shared" si="1"/>
        <v>0</v>
      </c>
      <c r="H13" s="241">
        <f t="shared" si="2"/>
        <v>0</v>
      </c>
      <c r="I13" s="49"/>
    </row>
    <row r="14" spans="1:9" x14ac:dyDescent="0.25">
      <c r="A14" s="236"/>
      <c r="B14" s="237"/>
      <c r="C14" s="238"/>
      <c r="D14" s="240"/>
      <c r="E14" s="240">
        <f t="shared" si="0"/>
        <v>0</v>
      </c>
      <c r="F14" s="241"/>
      <c r="G14" s="241">
        <f t="shared" si="1"/>
        <v>0</v>
      </c>
      <c r="H14" s="241">
        <f t="shared" si="2"/>
        <v>0</v>
      </c>
      <c r="I14" s="49"/>
    </row>
    <row r="15" spans="1:9" x14ac:dyDescent="0.25">
      <c r="A15" s="236"/>
      <c r="B15" s="237"/>
      <c r="C15" s="238"/>
      <c r="D15" s="240"/>
      <c r="E15" s="240">
        <f t="shared" si="0"/>
        <v>0</v>
      </c>
      <c r="F15" s="243"/>
      <c r="G15" s="241">
        <f t="shared" si="1"/>
        <v>0</v>
      </c>
      <c r="H15" s="241">
        <f t="shared" si="2"/>
        <v>0</v>
      </c>
      <c r="I15" s="49"/>
    </row>
    <row r="16" spans="1:9" x14ac:dyDescent="0.25">
      <c r="A16" s="236"/>
      <c r="B16" s="237"/>
      <c r="C16" s="238"/>
      <c r="D16" s="240"/>
      <c r="E16" s="240">
        <f t="shared" si="0"/>
        <v>0</v>
      </c>
      <c r="F16" s="243"/>
      <c r="G16" s="241">
        <f t="shared" si="1"/>
        <v>0</v>
      </c>
      <c r="H16" s="241">
        <f t="shared" si="2"/>
        <v>0</v>
      </c>
      <c r="I16" s="49"/>
    </row>
    <row r="17" spans="1:9" x14ac:dyDescent="0.25">
      <c r="A17" s="236"/>
      <c r="B17" s="237"/>
      <c r="C17" s="238"/>
      <c r="D17" s="240"/>
      <c r="E17" s="240">
        <f t="shared" si="0"/>
        <v>0</v>
      </c>
      <c r="F17" s="243"/>
      <c r="G17" s="241">
        <f t="shared" si="1"/>
        <v>0</v>
      </c>
      <c r="H17" s="241">
        <f t="shared" si="2"/>
        <v>0</v>
      </c>
      <c r="I17" s="49"/>
    </row>
    <row r="18" spans="1:9" x14ac:dyDescent="0.25">
      <c r="A18" s="236"/>
      <c r="B18" s="237"/>
      <c r="C18" s="238"/>
      <c r="D18" s="240"/>
      <c r="E18" s="240">
        <f t="shared" si="0"/>
        <v>0</v>
      </c>
      <c r="F18" s="243"/>
      <c r="G18" s="241">
        <f t="shared" si="1"/>
        <v>0</v>
      </c>
      <c r="H18" s="241">
        <f t="shared" si="2"/>
        <v>0</v>
      </c>
      <c r="I18" s="49"/>
    </row>
    <row r="19" spans="1:9" x14ac:dyDescent="0.25">
      <c r="A19" s="236"/>
      <c r="B19" s="237"/>
      <c r="C19" s="238"/>
      <c r="D19" s="240"/>
      <c r="E19" s="240">
        <f t="shared" si="0"/>
        <v>0</v>
      </c>
      <c r="F19" s="241"/>
      <c r="G19" s="241">
        <f t="shared" si="1"/>
        <v>0</v>
      </c>
      <c r="H19" s="241">
        <f t="shared" si="2"/>
        <v>0</v>
      </c>
      <c r="I19" s="49"/>
    </row>
    <row r="20" spans="1:9" x14ac:dyDescent="0.25">
      <c r="A20" s="236"/>
      <c r="B20" s="237"/>
      <c r="C20" s="238"/>
      <c r="D20" s="240"/>
      <c r="E20" s="240">
        <f t="shared" si="0"/>
        <v>0</v>
      </c>
      <c r="F20" s="241"/>
      <c r="G20" s="241">
        <f t="shared" si="1"/>
        <v>0</v>
      </c>
      <c r="H20" s="241">
        <f t="shared" si="2"/>
        <v>0</v>
      </c>
      <c r="I20" s="49"/>
    </row>
    <row r="21" spans="1:9" x14ac:dyDescent="0.25">
      <c r="A21" s="236"/>
      <c r="B21" s="237"/>
      <c r="C21" s="244"/>
      <c r="D21" s="240"/>
      <c r="E21" s="240">
        <f t="shared" si="0"/>
        <v>0</v>
      </c>
      <c r="F21" s="241"/>
      <c r="G21" s="241">
        <f t="shared" si="1"/>
        <v>0</v>
      </c>
      <c r="H21" s="241">
        <f t="shared" si="2"/>
        <v>0</v>
      </c>
      <c r="I21" s="49"/>
    </row>
    <row r="22" spans="1:9" x14ac:dyDescent="0.25">
      <c r="A22" s="236"/>
      <c r="B22" s="238"/>
      <c r="C22" s="245"/>
      <c r="D22" s="241"/>
      <c r="E22" s="241"/>
      <c r="F22" s="241"/>
      <c r="G22" s="241"/>
      <c r="H22" s="241"/>
      <c r="I22" s="49"/>
    </row>
    <row r="23" spans="1:9" ht="15.75" thickBot="1" x14ac:dyDescent="0.3">
      <c r="A23" s="236"/>
      <c r="B23" s="246"/>
      <c r="C23" s="247" t="s">
        <v>24</v>
      </c>
      <c r="D23" s="248">
        <f>SUM(D9:D22)</f>
        <v>0</v>
      </c>
      <c r="E23" s="248"/>
      <c r="F23" s="248">
        <f>SUM(F9:F22)</f>
        <v>0</v>
      </c>
      <c r="G23" s="248"/>
      <c r="H23" s="248">
        <f>D23-F23</f>
        <v>0</v>
      </c>
      <c r="I23" s="49"/>
    </row>
    <row r="24" spans="1:9" ht="15.75" thickTop="1" x14ac:dyDescent="0.25">
      <c r="A24" s="249"/>
      <c r="B24" s="238"/>
      <c r="C24" s="245"/>
      <c r="D24" s="241"/>
      <c r="E24" s="241"/>
      <c r="F24" s="241"/>
      <c r="G24" s="241"/>
      <c r="H24" s="241"/>
      <c r="I24" s="49"/>
    </row>
    <row r="25" spans="1:9" x14ac:dyDescent="0.25">
      <c r="A25" s="249"/>
      <c r="B25" s="238"/>
      <c r="C25" s="245"/>
      <c r="D25" s="241"/>
      <c r="E25" s="241"/>
      <c r="F25" s="241"/>
      <c r="G25" s="241"/>
      <c r="H25" s="241"/>
      <c r="I25" s="49"/>
    </row>
    <row r="26" spans="1:9" x14ac:dyDescent="0.25">
      <c r="A26" s="249"/>
      <c r="B26" s="238"/>
      <c r="C26" s="245" t="s">
        <v>112</v>
      </c>
      <c r="D26" s="250">
        <v>0</v>
      </c>
      <c r="E26" s="250"/>
      <c r="F26" s="250"/>
      <c r="G26" s="250"/>
      <c r="H26" s="250">
        <f>D26-F26</f>
        <v>0</v>
      </c>
      <c r="I26" s="49"/>
    </row>
    <row r="27" spans="1:9" x14ac:dyDescent="0.25">
      <c r="A27" s="249"/>
      <c r="B27" s="238"/>
      <c r="C27" s="245" t="s">
        <v>113</v>
      </c>
      <c r="D27" s="250">
        <v>0</v>
      </c>
      <c r="E27" s="250"/>
      <c r="F27" s="250"/>
      <c r="G27" s="250"/>
      <c r="H27" s="250">
        <f>D27-F27</f>
        <v>0</v>
      </c>
      <c r="I27" s="49"/>
    </row>
    <row r="28" spans="1:9" ht="15.75" thickBot="1" x14ac:dyDescent="0.3">
      <c r="A28" s="249"/>
      <c r="B28" s="238"/>
      <c r="C28" s="251" t="s">
        <v>67</v>
      </c>
      <c r="D28" s="248">
        <f>SUM(D26:D27)</f>
        <v>0</v>
      </c>
      <c r="E28" s="252"/>
      <c r="F28" s="248">
        <f>SUM(F26:F27)</f>
        <v>0</v>
      </c>
      <c r="G28" s="252"/>
      <c r="H28" s="248">
        <f>SUM(H26:H27)</f>
        <v>0</v>
      </c>
      <c r="I28" s="49"/>
    </row>
    <row r="29" spans="1:9" ht="15" customHeight="1" thickTop="1" x14ac:dyDescent="0.25"/>
  </sheetData>
  <conditionalFormatting sqref="I8:I23">
    <cfRule type="cellIs" dxfId="16"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3F271-088C-42B0-B272-765998AF6650}">
  <sheetPr>
    <tabColor indexed="30"/>
    <pageSetUpPr fitToPage="1"/>
  </sheetPr>
  <dimension ref="A1:J24"/>
  <sheetViews>
    <sheetView zoomScaleNormal="100" workbookViewId="0">
      <selection activeCell="M22" sqref="M22"/>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35" t="str">
        <f>'RECAP #9509.00'!B1</f>
        <v>DOC FDCF Boone Unit Roof Replacement</v>
      </c>
      <c r="B1" s="35"/>
      <c r="C1" s="35"/>
      <c r="D1" s="185"/>
      <c r="E1" s="185"/>
      <c r="F1" s="185"/>
      <c r="G1" s="223"/>
      <c r="H1" s="223"/>
      <c r="I1" s="224"/>
      <c r="J1" s="224"/>
    </row>
    <row r="2" spans="1:10" ht="15.75" x14ac:dyDescent="0.25">
      <c r="A2" s="186" t="str">
        <f>'RECAP #9509.00'!B2</f>
        <v>Project # 9509.00</v>
      </c>
      <c r="B2" s="182"/>
      <c r="C2" s="182"/>
      <c r="D2" s="185"/>
      <c r="E2" s="185"/>
      <c r="F2" s="185"/>
      <c r="G2" s="223"/>
      <c r="H2" s="223"/>
      <c r="I2" s="224"/>
      <c r="J2" s="224"/>
    </row>
    <row r="3" spans="1:10" ht="15.75" x14ac:dyDescent="0.25">
      <c r="A3" s="187" t="str">
        <f>'RECAP #9509.00'!B3</f>
        <v>Program code 950900</v>
      </c>
      <c r="B3" s="182"/>
      <c r="C3" s="182"/>
      <c r="D3" s="185"/>
      <c r="E3" s="188" t="str">
        <f>'RECAP #9509.00'!E3</f>
        <v>Major Program 4E02</v>
      </c>
      <c r="F3" s="185"/>
      <c r="G3" s="223"/>
      <c r="H3" s="223"/>
      <c r="I3" s="224"/>
      <c r="J3" s="224"/>
    </row>
    <row r="4" spans="1:10" ht="15.75" x14ac:dyDescent="0.25">
      <c r="A4" s="35" t="s">
        <v>10</v>
      </c>
      <c r="B4" s="36"/>
      <c r="C4" s="36"/>
      <c r="D4" s="224"/>
      <c r="E4" s="225" t="s">
        <v>25</v>
      </c>
      <c r="F4" s="189"/>
      <c r="G4" s="223"/>
      <c r="H4" s="223"/>
      <c r="I4" s="224"/>
      <c r="J4" s="224"/>
    </row>
    <row r="5" spans="1:10" ht="15.75" x14ac:dyDescent="0.25">
      <c r="A5" s="36"/>
      <c r="B5" s="224"/>
      <c r="C5" s="224"/>
      <c r="D5" s="227"/>
      <c r="E5" s="43"/>
      <c r="F5" s="49"/>
      <c r="G5" s="228"/>
      <c r="H5" s="223"/>
      <c r="I5" s="224"/>
      <c r="J5" s="224"/>
    </row>
    <row r="6" spans="1:10" ht="15.75" x14ac:dyDescent="0.25">
      <c r="A6" s="226" t="s">
        <v>66</v>
      </c>
      <c r="B6" s="36"/>
      <c r="C6" s="36"/>
      <c r="D6" s="229"/>
      <c r="E6" s="43" t="s">
        <v>253</v>
      </c>
      <c r="F6" s="49"/>
      <c r="G6" s="50"/>
      <c r="H6" s="223"/>
      <c r="I6" s="224"/>
      <c r="J6" s="224"/>
    </row>
    <row r="7" spans="1:10" ht="15.75" x14ac:dyDescent="0.25">
      <c r="A7" s="192" t="str">
        <f>'RECAP #9509.00'!B6</f>
        <v>Project Manager - Geoff W. (JE)</v>
      </c>
      <c r="B7" s="231"/>
      <c r="C7" s="231"/>
      <c r="D7" s="231"/>
      <c r="E7" s="50" t="s">
        <v>2</v>
      </c>
      <c r="F7" s="52"/>
      <c r="G7" s="53"/>
      <c r="H7" s="223"/>
      <c r="I7" s="224"/>
      <c r="J7" s="224" t="s">
        <v>2</v>
      </c>
    </row>
    <row r="8" spans="1:10" ht="32.25" thickBot="1" x14ac:dyDescent="0.3">
      <c r="A8" s="232" t="s">
        <v>16</v>
      </c>
      <c r="B8" s="233" t="s">
        <v>17</v>
      </c>
      <c r="C8" s="255" t="s">
        <v>27</v>
      </c>
      <c r="D8" s="234" t="s">
        <v>28</v>
      </c>
      <c r="E8" s="235" t="s">
        <v>19</v>
      </c>
      <c r="F8" s="235" t="s">
        <v>20</v>
      </c>
      <c r="G8" s="235" t="s">
        <v>21</v>
      </c>
      <c r="H8" s="235" t="s">
        <v>22</v>
      </c>
      <c r="I8" s="235" t="s">
        <v>23</v>
      </c>
      <c r="J8" s="224" t="s">
        <v>2</v>
      </c>
    </row>
    <row r="9" spans="1:10" x14ac:dyDescent="0.25">
      <c r="A9" s="256"/>
      <c r="B9" s="237"/>
      <c r="C9" s="237"/>
      <c r="D9" s="257" t="s">
        <v>29</v>
      </c>
      <c r="E9" s="239"/>
      <c r="F9" s="240">
        <f>E9</f>
        <v>0</v>
      </c>
      <c r="G9" s="241"/>
      <c r="H9" s="241"/>
      <c r="I9" s="241">
        <f>F9</f>
        <v>0</v>
      </c>
      <c r="J9" s="49"/>
    </row>
    <row r="10" spans="1:10" x14ac:dyDescent="0.25">
      <c r="A10" s="258"/>
      <c r="B10" s="242"/>
      <c r="C10" s="242"/>
      <c r="D10" s="257"/>
      <c r="E10" s="240"/>
      <c r="F10" s="240">
        <f t="shared" ref="F10:F21" si="0">F9+E10</f>
        <v>0</v>
      </c>
      <c r="G10" s="243"/>
      <c r="H10" s="241">
        <f t="shared" ref="H10:H21" si="1">H9+G10</f>
        <v>0</v>
      </c>
      <c r="I10" s="241">
        <f t="shared" ref="I10:I21" si="2">I9-G10+E10</f>
        <v>0</v>
      </c>
      <c r="J10" s="49"/>
    </row>
    <row r="11" spans="1:10" x14ac:dyDescent="0.25">
      <c r="A11" s="259"/>
      <c r="B11" s="237"/>
      <c r="C11" s="237"/>
      <c r="D11" s="257"/>
      <c r="E11" s="240"/>
      <c r="F11" s="240">
        <f t="shared" si="0"/>
        <v>0</v>
      </c>
      <c r="G11" s="243"/>
      <c r="H11" s="241">
        <f t="shared" si="1"/>
        <v>0</v>
      </c>
      <c r="I11" s="241">
        <f t="shared" si="2"/>
        <v>0</v>
      </c>
      <c r="J11" s="49"/>
    </row>
    <row r="12" spans="1:10" x14ac:dyDescent="0.25">
      <c r="A12" s="259"/>
      <c r="B12" s="237"/>
      <c r="C12" s="237"/>
      <c r="D12" s="257"/>
      <c r="E12" s="240"/>
      <c r="F12" s="240">
        <f t="shared" si="0"/>
        <v>0</v>
      </c>
      <c r="G12" s="243"/>
      <c r="H12" s="241">
        <f t="shared" si="1"/>
        <v>0</v>
      </c>
      <c r="I12" s="241">
        <f t="shared" si="2"/>
        <v>0</v>
      </c>
      <c r="J12" s="49"/>
    </row>
    <row r="13" spans="1:10" x14ac:dyDescent="0.25">
      <c r="A13" s="259"/>
      <c r="B13" s="237"/>
      <c r="C13" s="237"/>
      <c r="D13" s="257"/>
      <c r="E13" s="240"/>
      <c r="F13" s="240">
        <f t="shared" si="0"/>
        <v>0</v>
      </c>
      <c r="G13" s="243"/>
      <c r="H13" s="241">
        <f t="shared" si="1"/>
        <v>0</v>
      </c>
      <c r="I13" s="241">
        <f t="shared" si="2"/>
        <v>0</v>
      </c>
      <c r="J13" s="49"/>
    </row>
    <row r="14" spans="1:10" x14ac:dyDescent="0.25">
      <c r="A14" s="259"/>
      <c r="B14" s="237"/>
      <c r="C14" s="237"/>
      <c r="D14" s="257"/>
      <c r="E14" s="240"/>
      <c r="F14" s="240">
        <f t="shared" si="0"/>
        <v>0</v>
      </c>
      <c r="G14" s="241"/>
      <c r="H14" s="241">
        <f t="shared" si="1"/>
        <v>0</v>
      </c>
      <c r="I14" s="241">
        <f t="shared" si="2"/>
        <v>0</v>
      </c>
      <c r="J14" s="49"/>
    </row>
    <row r="15" spans="1:10" x14ac:dyDescent="0.25">
      <c r="A15" s="259"/>
      <c r="B15" s="237"/>
      <c r="C15" s="237"/>
      <c r="D15" s="257"/>
      <c r="E15" s="240"/>
      <c r="F15" s="240">
        <f t="shared" si="0"/>
        <v>0</v>
      </c>
      <c r="G15" s="243"/>
      <c r="H15" s="241">
        <f t="shared" si="1"/>
        <v>0</v>
      </c>
      <c r="I15" s="241">
        <f t="shared" si="2"/>
        <v>0</v>
      </c>
      <c r="J15" s="49"/>
    </row>
    <row r="16" spans="1:10" x14ac:dyDescent="0.25">
      <c r="A16" s="259"/>
      <c r="B16" s="237"/>
      <c r="C16" s="237"/>
      <c r="D16" s="257"/>
      <c r="E16" s="240"/>
      <c r="F16" s="240">
        <f t="shared" si="0"/>
        <v>0</v>
      </c>
      <c r="G16" s="243"/>
      <c r="H16" s="241">
        <f t="shared" si="1"/>
        <v>0</v>
      </c>
      <c r="I16" s="241">
        <f t="shared" si="2"/>
        <v>0</v>
      </c>
      <c r="J16" s="49"/>
    </row>
    <row r="17" spans="1:10" x14ac:dyDescent="0.25">
      <c r="A17" s="259"/>
      <c r="B17" s="237"/>
      <c r="C17" s="237"/>
      <c r="D17" s="257"/>
      <c r="E17" s="240"/>
      <c r="F17" s="240">
        <f t="shared" si="0"/>
        <v>0</v>
      </c>
      <c r="G17" s="243"/>
      <c r="H17" s="241">
        <f t="shared" si="1"/>
        <v>0</v>
      </c>
      <c r="I17" s="241">
        <f t="shared" si="2"/>
        <v>0</v>
      </c>
      <c r="J17" s="49"/>
    </row>
    <row r="18" spans="1:10" x14ac:dyDescent="0.25">
      <c r="A18" s="259"/>
      <c r="B18" s="237"/>
      <c r="C18" s="237"/>
      <c r="D18" s="257"/>
      <c r="E18" s="240"/>
      <c r="F18" s="240">
        <f t="shared" si="0"/>
        <v>0</v>
      </c>
      <c r="G18" s="243"/>
      <c r="H18" s="241">
        <f t="shared" si="1"/>
        <v>0</v>
      </c>
      <c r="I18" s="241">
        <f t="shared" si="2"/>
        <v>0</v>
      </c>
      <c r="J18" s="49"/>
    </row>
    <row r="19" spans="1:10" x14ac:dyDescent="0.25">
      <c r="A19" s="256"/>
      <c r="B19" s="237"/>
      <c r="C19" s="237"/>
      <c r="D19" s="257"/>
      <c r="E19" s="240"/>
      <c r="F19" s="240">
        <f t="shared" si="0"/>
        <v>0</v>
      </c>
      <c r="G19" s="241"/>
      <c r="H19" s="241">
        <f t="shared" si="1"/>
        <v>0</v>
      </c>
      <c r="I19" s="241">
        <f t="shared" si="2"/>
        <v>0</v>
      </c>
      <c r="J19" s="49"/>
    </row>
    <row r="20" spans="1:10" x14ac:dyDescent="0.25">
      <c r="A20" s="256"/>
      <c r="B20" s="237"/>
      <c r="C20" s="237"/>
      <c r="D20" s="257"/>
      <c r="E20" s="240"/>
      <c r="F20" s="240">
        <f t="shared" si="0"/>
        <v>0</v>
      </c>
      <c r="G20" s="241"/>
      <c r="H20" s="241">
        <f t="shared" si="1"/>
        <v>0</v>
      </c>
      <c r="I20" s="241">
        <f t="shared" si="2"/>
        <v>0</v>
      </c>
      <c r="J20" s="49"/>
    </row>
    <row r="21" spans="1:10" x14ac:dyDescent="0.25">
      <c r="A21" s="256"/>
      <c r="B21" s="237"/>
      <c r="C21" s="237"/>
      <c r="D21" s="260"/>
      <c r="E21" s="240"/>
      <c r="F21" s="240">
        <f t="shared" si="0"/>
        <v>0</v>
      </c>
      <c r="G21" s="241"/>
      <c r="H21" s="241">
        <f t="shared" si="1"/>
        <v>0</v>
      </c>
      <c r="I21" s="241">
        <f t="shared" si="2"/>
        <v>0</v>
      </c>
      <c r="J21" s="49"/>
    </row>
    <row r="22" spans="1:10" x14ac:dyDescent="0.25">
      <c r="A22" s="249"/>
      <c r="B22" s="238"/>
      <c r="C22" s="238"/>
      <c r="D22" s="245"/>
      <c r="E22" s="241"/>
      <c r="F22" s="241"/>
      <c r="G22" s="241"/>
      <c r="H22" s="241"/>
      <c r="I22" s="241"/>
      <c r="J22" s="49"/>
    </row>
    <row r="23" spans="1:10" ht="15.75" thickBot="1" x14ac:dyDescent="0.3">
      <c r="A23" s="249"/>
      <c r="B23" s="246"/>
      <c r="C23" s="246"/>
      <c r="D23" s="247" t="s">
        <v>24</v>
      </c>
      <c r="E23" s="248">
        <f>SUM(E9:E22)</f>
        <v>0</v>
      </c>
      <c r="F23" s="248"/>
      <c r="G23" s="248">
        <f>SUM(G9:G22)</f>
        <v>0</v>
      </c>
      <c r="H23" s="248"/>
      <c r="I23" s="248">
        <f>E23-G23</f>
        <v>0</v>
      </c>
      <c r="J23" s="49"/>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8741D-7E6F-4188-B0E0-6F6A2586A799}">
  <sheetPr>
    <tabColor indexed="30"/>
    <pageSetUpPr fitToPage="1"/>
  </sheetPr>
  <dimension ref="A1:H23"/>
  <sheetViews>
    <sheetView zoomScaleNormal="100" workbookViewId="0">
      <selection activeCell="L21" sqref="L2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35" t="str">
        <f>'RECAP #9509.00'!B1</f>
        <v>DOC FDCF Boone Unit Roof Replacement</v>
      </c>
      <c r="B1" s="35"/>
      <c r="C1" s="35"/>
      <c r="D1" s="35"/>
      <c r="E1" s="185"/>
      <c r="F1" s="185"/>
      <c r="G1" s="185"/>
      <c r="H1" s="223"/>
    </row>
    <row r="2" spans="1:8" ht="15.75" x14ac:dyDescent="0.25">
      <c r="A2" s="186" t="str">
        <f>'RECAP #9509.00'!B2</f>
        <v>Project # 9509.00</v>
      </c>
      <c r="B2" s="182"/>
      <c r="C2" s="182"/>
      <c r="D2" s="182"/>
      <c r="E2" s="185"/>
      <c r="F2" s="185"/>
      <c r="G2" s="185"/>
      <c r="H2" s="223"/>
    </row>
    <row r="3" spans="1:8" ht="15.75" x14ac:dyDescent="0.25">
      <c r="A3" s="187" t="str">
        <f>'RECAP #9509.00'!B3</f>
        <v>Program code 950900</v>
      </c>
      <c r="B3" s="182"/>
      <c r="C3" s="182"/>
      <c r="D3" s="182"/>
      <c r="E3" s="188" t="str">
        <f>'RECAP #9509.00'!E3</f>
        <v>Major Program 4E02</v>
      </c>
      <c r="F3" s="182"/>
      <c r="G3" s="185"/>
      <c r="H3" s="223"/>
    </row>
    <row r="4" spans="1:8" ht="15.75" x14ac:dyDescent="0.25">
      <c r="A4" s="261" t="s">
        <v>30</v>
      </c>
      <c r="B4" s="36"/>
      <c r="C4" s="36"/>
      <c r="D4" s="36"/>
      <c r="E4" s="225"/>
      <c r="F4" s="182"/>
      <c r="G4" s="189"/>
      <c r="H4" s="223"/>
    </row>
    <row r="5" spans="1:8" ht="15.75" x14ac:dyDescent="0.25">
      <c r="A5" s="36"/>
      <c r="B5" s="224"/>
      <c r="C5" s="224"/>
      <c r="D5" s="224"/>
      <c r="E5" s="83" t="s">
        <v>31</v>
      </c>
      <c r="F5" s="182"/>
      <c r="G5" s="49"/>
      <c r="H5" s="228"/>
    </row>
    <row r="6" spans="1:8" ht="15.75" x14ac:dyDescent="0.25">
      <c r="A6" s="226" t="s">
        <v>66</v>
      </c>
      <c r="B6" s="36"/>
      <c r="C6" s="36"/>
      <c r="D6" s="36"/>
      <c r="E6" s="188" t="s">
        <v>97</v>
      </c>
      <c r="F6" s="224"/>
      <c r="G6" s="49"/>
      <c r="H6" s="228"/>
    </row>
    <row r="7" spans="1:8" ht="15.75" x14ac:dyDescent="0.25">
      <c r="A7" s="192" t="str">
        <f>'RECAP #9509.00'!B6</f>
        <v>Project Manager - Geoff W. (JE)</v>
      </c>
      <c r="B7" s="231"/>
      <c r="C7" s="231"/>
      <c r="D7" s="231"/>
      <c r="E7" s="231"/>
      <c r="F7" s="196"/>
      <c r="G7" s="189"/>
      <c r="H7" s="223"/>
    </row>
    <row r="8" spans="1:8" ht="32.25" thickBot="1" x14ac:dyDescent="0.3">
      <c r="A8" s="232" t="s">
        <v>32</v>
      </c>
      <c r="B8" s="233" t="s">
        <v>17</v>
      </c>
      <c r="C8" s="255" t="s">
        <v>27</v>
      </c>
      <c r="D8" s="255" t="s">
        <v>28</v>
      </c>
      <c r="E8" s="234" t="s">
        <v>18</v>
      </c>
      <c r="F8" s="235" t="s">
        <v>33</v>
      </c>
      <c r="G8" s="235" t="s">
        <v>21</v>
      </c>
      <c r="H8" s="235" t="s">
        <v>22</v>
      </c>
    </row>
    <row r="9" spans="1:8" x14ac:dyDescent="0.25">
      <c r="A9" s="244"/>
      <c r="B9" s="237"/>
      <c r="C9" s="253"/>
      <c r="D9" s="253"/>
      <c r="E9" s="262"/>
      <c r="F9" s="263"/>
      <c r="G9" s="254"/>
      <c r="H9" s="254">
        <f>G9</f>
        <v>0</v>
      </c>
    </row>
    <row r="10" spans="1:8" x14ac:dyDescent="0.25">
      <c r="A10" s="264"/>
      <c r="B10" s="237"/>
      <c r="C10" s="245"/>
      <c r="D10" s="245"/>
      <c r="E10" s="49"/>
      <c r="F10" s="207"/>
      <c r="G10" s="254"/>
      <c r="H10" s="254">
        <f>H9+G10</f>
        <v>0</v>
      </c>
    </row>
    <row r="11" spans="1:8" x14ac:dyDescent="0.25">
      <c r="A11" s="264"/>
      <c r="B11" s="237"/>
      <c r="C11" s="237"/>
      <c r="D11" s="237"/>
      <c r="E11" s="49"/>
      <c r="F11" s="207"/>
      <c r="G11" s="254"/>
      <c r="H11" s="254">
        <f t="shared" ref="H11:H20" si="0">H10+G11</f>
        <v>0</v>
      </c>
    </row>
    <row r="12" spans="1:8" x14ac:dyDescent="0.25">
      <c r="A12" s="264" t="s">
        <v>2</v>
      </c>
      <c r="B12" s="237" t="s">
        <v>2</v>
      </c>
      <c r="C12" s="237"/>
      <c r="D12" s="237"/>
      <c r="E12" s="49" t="s">
        <v>2</v>
      </c>
      <c r="F12" s="207"/>
      <c r="G12" s="254"/>
      <c r="H12" s="254">
        <f t="shared" si="0"/>
        <v>0</v>
      </c>
    </row>
    <row r="13" spans="1:8" x14ac:dyDescent="0.25">
      <c r="A13" s="264" t="s">
        <v>2</v>
      </c>
      <c r="B13" s="237" t="s">
        <v>2</v>
      </c>
      <c r="C13" s="237"/>
      <c r="D13" s="237"/>
      <c r="E13" s="49" t="s">
        <v>2</v>
      </c>
      <c r="F13" s="207"/>
      <c r="G13" s="254"/>
      <c r="H13" s="254">
        <f t="shared" si="0"/>
        <v>0</v>
      </c>
    </row>
    <row r="14" spans="1:8" x14ac:dyDescent="0.25">
      <c r="A14" s="264"/>
      <c r="B14" s="237"/>
      <c r="C14" s="237"/>
      <c r="D14" s="237"/>
      <c r="E14" s="49"/>
      <c r="F14" s="207"/>
      <c r="G14" s="254"/>
      <c r="H14" s="254">
        <f t="shared" si="0"/>
        <v>0</v>
      </c>
    </row>
    <row r="15" spans="1:8" x14ac:dyDescent="0.25">
      <c r="A15" s="264"/>
      <c r="B15" s="237"/>
      <c r="C15" s="237"/>
      <c r="D15" s="237"/>
      <c r="E15" s="43"/>
      <c r="F15" s="207"/>
      <c r="G15" s="254"/>
      <c r="H15" s="254">
        <f t="shared" si="0"/>
        <v>0</v>
      </c>
    </row>
    <row r="16" spans="1:8" x14ac:dyDescent="0.25">
      <c r="A16" s="264"/>
      <c r="B16" s="237"/>
      <c r="C16" s="237"/>
      <c r="D16" s="237"/>
      <c r="E16" s="49"/>
      <c r="F16" s="207"/>
      <c r="G16" s="254"/>
      <c r="H16" s="254">
        <f t="shared" si="0"/>
        <v>0</v>
      </c>
    </row>
    <row r="17" spans="1:8" x14ac:dyDescent="0.25">
      <c r="A17" s="253"/>
      <c r="B17" s="237"/>
      <c r="C17" s="237"/>
      <c r="D17" s="237"/>
      <c r="E17" s="49"/>
      <c r="F17" s="207"/>
      <c r="G17" s="254"/>
      <c r="H17" s="254">
        <f t="shared" si="0"/>
        <v>0</v>
      </c>
    </row>
    <row r="18" spans="1:8" x14ac:dyDescent="0.25">
      <c r="A18" s="253"/>
      <c r="B18" s="237"/>
      <c r="C18" s="237"/>
      <c r="D18" s="237"/>
      <c r="E18" s="49"/>
      <c r="F18" s="207"/>
      <c r="G18" s="254"/>
      <c r="H18" s="254">
        <f t="shared" si="0"/>
        <v>0</v>
      </c>
    </row>
    <row r="19" spans="1:8" x14ac:dyDescent="0.25">
      <c r="A19" s="253"/>
      <c r="B19" s="237"/>
      <c r="C19" s="237"/>
      <c r="D19" s="237"/>
      <c r="E19" s="49"/>
      <c r="F19" s="207"/>
      <c r="G19" s="254"/>
      <c r="H19" s="254">
        <f t="shared" si="0"/>
        <v>0</v>
      </c>
    </row>
    <row r="20" spans="1:8" x14ac:dyDescent="0.25">
      <c r="A20" s="253"/>
      <c r="B20" s="237"/>
      <c r="C20" s="237"/>
      <c r="D20" s="237"/>
      <c r="E20" s="49"/>
      <c r="F20" s="207"/>
      <c r="G20" s="254"/>
      <c r="H20" s="254">
        <f t="shared" si="0"/>
        <v>0</v>
      </c>
    </row>
    <row r="21" spans="1:8" x14ac:dyDescent="0.25">
      <c r="A21" s="253"/>
      <c r="B21" s="245"/>
      <c r="C21" s="245"/>
      <c r="D21" s="245"/>
      <c r="E21" s="49"/>
      <c r="F21" s="254"/>
      <c r="G21" s="49"/>
      <c r="H21" s="254"/>
    </row>
    <row r="22" spans="1:8" ht="15.75" thickBot="1" x14ac:dyDescent="0.3">
      <c r="A22" s="265"/>
      <c r="B22" s="251"/>
      <c r="C22" s="251"/>
      <c r="D22" s="251"/>
      <c r="E22" s="266" t="s">
        <v>24</v>
      </c>
      <c r="F22" s="267"/>
      <c r="G22" s="248">
        <f>SUM(G9:G21)</f>
        <v>0</v>
      </c>
      <c r="H22" s="267"/>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1873-65DB-4FFE-8272-605988653338}">
  <sheetPr>
    <tabColor rgb="FF0070C0"/>
    <pageSetUpPr fitToPage="1"/>
  </sheetPr>
  <dimension ref="A1:G22"/>
  <sheetViews>
    <sheetView zoomScaleNormal="100" workbookViewId="0">
      <selection activeCell="G26" sqref="G26"/>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83"/>
      <c r="B1" s="35" t="s">
        <v>165</v>
      </c>
      <c r="C1" s="35"/>
      <c r="D1" s="185"/>
      <c r="E1" s="185"/>
      <c r="F1" s="185"/>
      <c r="G1" s="185"/>
    </row>
    <row r="2" spans="1:7" ht="15.75" x14ac:dyDescent="0.25">
      <c r="A2" s="183"/>
      <c r="B2" s="186" t="s">
        <v>227</v>
      </c>
      <c r="C2" s="182"/>
      <c r="D2" s="185"/>
      <c r="E2" s="185"/>
      <c r="F2" s="185"/>
      <c r="G2" s="185"/>
    </row>
    <row r="3" spans="1:7" ht="15.75" x14ac:dyDescent="0.25">
      <c r="A3" s="183"/>
      <c r="B3" s="187" t="s">
        <v>228</v>
      </c>
      <c r="C3" s="182"/>
      <c r="D3" s="185"/>
      <c r="E3" s="188" t="s">
        <v>185</v>
      </c>
      <c r="F3" s="185"/>
      <c r="G3" s="185"/>
    </row>
    <row r="4" spans="1:7" ht="15.75" x14ac:dyDescent="0.25">
      <c r="A4" s="183"/>
      <c r="B4" s="189" t="s">
        <v>1</v>
      </c>
      <c r="C4" s="190" t="s">
        <v>2</v>
      </c>
      <c r="D4" s="185"/>
      <c r="E4" s="185"/>
      <c r="F4" s="185"/>
      <c r="G4" s="185"/>
    </row>
    <row r="5" spans="1:7" ht="15.75" x14ac:dyDescent="0.25">
      <c r="A5" s="183"/>
      <c r="B5" s="36" t="s">
        <v>64</v>
      </c>
      <c r="C5" s="182"/>
      <c r="D5" s="185"/>
      <c r="E5" s="185"/>
      <c r="F5" s="185"/>
      <c r="G5" s="185"/>
    </row>
    <row r="6" spans="1:7" ht="15.75" x14ac:dyDescent="0.25">
      <c r="A6" s="191"/>
      <c r="B6" s="192" t="s">
        <v>226</v>
      </c>
      <c r="C6" s="193"/>
      <c r="D6" s="194" t="s">
        <v>2</v>
      </c>
      <c r="E6" s="195"/>
      <c r="F6" s="195"/>
      <c r="G6" s="195"/>
    </row>
    <row r="7" spans="1:7" ht="26.85" customHeight="1" thickBot="1" x14ac:dyDescent="0.3">
      <c r="A7" s="183"/>
      <c r="B7" s="197" t="s">
        <v>2</v>
      </c>
      <c r="C7" s="198" t="s">
        <v>3</v>
      </c>
      <c r="D7" s="199" t="s">
        <v>4</v>
      </c>
      <c r="E7" s="200" t="s">
        <v>5</v>
      </c>
      <c r="F7" s="201" t="s">
        <v>6</v>
      </c>
      <c r="G7" s="201" t="s">
        <v>7</v>
      </c>
    </row>
    <row r="8" spans="1:7" ht="28.35" customHeight="1" x14ac:dyDescent="0.25">
      <c r="A8" s="183"/>
      <c r="B8" s="183" t="s">
        <v>8</v>
      </c>
      <c r="C8" s="202">
        <f>FINANCIAL!G37</f>
        <v>0</v>
      </c>
      <c r="D8" s="203"/>
      <c r="E8" s="203"/>
      <c r="F8" s="203"/>
      <c r="G8" s="204"/>
    </row>
    <row r="9" spans="1:7" x14ac:dyDescent="0.25">
      <c r="A9" s="183"/>
      <c r="B9" s="182"/>
      <c r="C9" s="205"/>
      <c r="D9" s="206"/>
      <c r="E9" s="206"/>
      <c r="F9" s="206"/>
      <c r="G9" s="204"/>
    </row>
    <row r="10" spans="1:7" x14ac:dyDescent="0.25">
      <c r="A10" s="183"/>
      <c r="B10" s="182" t="s">
        <v>9</v>
      </c>
      <c r="C10" s="205"/>
      <c r="D10" s="203">
        <f>'#9510.00 Vendor A'!D23</f>
        <v>0</v>
      </c>
      <c r="E10" s="203">
        <f>'#9510.00 Vendor A'!F23</f>
        <v>0</v>
      </c>
      <c r="F10" s="203">
        <f>'#9510.00 Vendor A'!H23</f>
        <v>0</v>
      </c>
      <c r="G10" s="204"/>
    </row>
    <row r="11" spans="1:7" x14ac:dyDescent="0.25">
      <c r="A11" s="183"/>
      <c r="B11" s="182" t="s">
        <v>10</v>
      </c>
      <c r="C11" s="205"/>
      <c r="D11" s="203">
        <f>'#9510.00 PM TIME'!E23</f>
        <v>0</v>
      </c>
      <c r="E11" s="203">
        <f>'#9510.00 PM TIME'!G23</f>
        <v>0</v>
      </c>
      <c r="F11" s="203">
        <f>'#9510.00 PM TIME'!I23</f>
        <v>0</v>
      </c>
      <c r="G11" s="204"/>
    </row>
    <row r="12" spans="1:7" x14ac:dyDescent="0.25">
      <c r="A12" s="183"/>
      <c r="B12" s="182" t="s">
        <v>11</v>
      </c>
      <c r="C12" s="206"/>
      <c r="D12" s="207">
        <f>'#9510.00 Misc'!G22</f>
        <v>0</v>
      </c>
      <c r="E12" s="207">
        <f>'#9510.00 Misc'!H22</f>
        <v>0</v>
      </c>
      <c r="F12" s="203">
        <f>D12-E12</f>
        <v>0</v>
      </c>
      <c r="G12" s="204"/>
    </row>
    <row r="13" spans="1:7" ht="13.35" customHeight="1" x14ac:dyDescent="0.25">
      <c r="A13" s="191"/>
      <c r="B13" s="182"/>
      <c r="C13" s="206"/>
      <c r="D13" s="207"/>
      <c r="E13" s="207"/>
      <c r="F13" s="203"/>
      <c r="G13" s="208"/>
    </row>
    <row r="14" spans="1:7" ht="24" customHeight="1" thickBot="1" x14ac:dyDescent="0.3">
      <c r="A14" s="209"/>
      <c r="B14" s="210" t="s">
        <v>12</v>
      </c>
      <c r="C14" s="211">
        <f>SUM(C8:C13)</f>
        <v>0</v>
      </c>
      <c r="D14" s="211">
        <f>SUM(D8:D13)</f>
        <v>0</v>
      </c>
      <c r="E14" s="211">
        <f>SUM(E8:E13)</f>
        <v>0</v>
      </c>
      <c r="F14" s="211">
        <f>SUM(D14-E14)</f>
        <v>0</v>
      </c>
      <c r="G14" s="211">
        <f>C8-D14</f>
        <v>0</v>
      </c>
    </row>
    <row r="15" spans="1:7" ht="13.35" customHeight="1" thickTop="1" x14ac:dyDescent="0.25">
      <c r="A15" s="191"/>
      <c r="B15" s="182"/>
      <c r="C15" s="182"/>
      <c r="D15" s="208"/>
      <c r="E15" s="208"/>
      <c r="F15" s="208"/>
      <c r="G15" s="208"/>
    </row>
    <row r="16" spans="1:7" ht="13.35" customHeight="1" x14ac:dyDescent="0.25">
      <c r="A16" s="191"/>
      <c r="B16" s="182"/>
      <c r="C16" s="182"/>
      <c r="D16" s="208"/>
      <c r="E16" s="208"/>
      <c r="F16" s="208"/>
      <c r="G16" s="208"/>
    </row>
    <row r="17" spans="1:7" ht="13.35" customHeight="1" x14ac:dyDescent="0.25">
      <c r="A17" s="191"/>
      <c r="B17" s="183" t="s">
        <v>346</v>
      </c>
      <c r="C17" s="182"/>
      <c r="D17" s="208"/>
      <c r="E17" s="208"/>
      <c r="F17" s="208"/>
      <c r="G17" s="208"/>
    </row>
    <row r="18" spans="1:7" ht="13.35" customHeight="1" x14ac:dyDescent="0.25">
      <c r="A18" s="191"/>
      <c r="B18" s="182"/>
      <c r="C18" s="182"/>
      <c r="D18" s="208"/>
      <c r="E18" s="208"/>
      <c r="F18" s="208"/>
      <c r="G18" s="208"/>
    </row>
    <row r="19" spans="1:7" ht="13.35" customHeight="1" x14ac:dyDescent="0.25">
      <c r="A19" s="191"/>
      <c r="B19" s="182"/>
      <c r="C19" s="182"/>
      <c r="D19" s="208"/>
      <c r="E19" s="208"/>
      <c r="F19" s="208"/>
      <c r="G19" s="208"/>
    </row>
    <row r="20" spans="1:7" ht="13.35" customHeight="1" x14ac:dyDescent="0.25">
      <c r="A20" s="191"/>
      <c r="B20" s="182"/>
      <c r="C20" s="182"/>
      <c r="D20" s="208"/>
      <c r="E20" s="208"/>
      <c r="F20" s="208"/>
      <c r="G20" s="208"/>
    </row>
    <row r="21" spans="1:7" ht="13.35" customHeight="1" x14ac:dyDescent="0.25">
      <c r="A21" s="191"/>
      <c r="B21" s="182"/>
      <c r="C21" s="182"/>
      <c r="D21" s="208"/>
      <c r="E21" s="208"/>
      <c r="F21" s="208"/>
      <c r="G21" s="208"/>
    </row>
    <row r="22" spans="1:7" ht="13.35" customHeight="1" x14ac:dyDescent="0.25">
      <c r="A22" s="191"/>
      <c r="B22" s="182"/>
      <c r="C22" s="182"/>
      <c r="D22" s="208"/>
      <c r="E22" s="208"/>
      <c r="F22" s="208"/>
      <c r="G22" s="208"/>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BCEC1-D087-4788-84AF-9FBAEA6D6355}">
  <sheetPr>
    <tabColor rgb="FF0070C0"/>
    <pageSetUpPr fitToPage="1"/>
  </sheetPr>
  <dimension ref="A1:I29"/>
  <sheetViews>
    <sheetView zoomScaleNormal="100" workbookViewId="0">
      <selection activeCell="J30" sqref="J3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35" t="str">
        <f>'RECAP #9510.00'!B1</f>
        <v>DOC FDCF Grove Unit Roof Replacement</v>
      </c>
      <c r="B1" s="35"/>
      <c r="C1" s="185"/>
      <c r="D1" s="185"/>
      <c r="E1" s="185"/>
      <c r="F1" s="223"/>
      <c r="G1" s="223"/>
      <c r="H1" s="224"/>
      <c r="I1" s="224"/>
    </row>
    <row r="2" spans="1:9" ht="15.75" x14ac:dyDescent="0.25">
      <c r="A2" s="186" t="str">
        <f>'RECAP #9510.00'!B2</f>
        <v>Project # 9510.00</v>
      </c>
      <c r="B2" s="182"/>
      <c r="C2" s="185"/>
      <c r="D2" s="185"/>
      <c r="E2" s="185"/>
      <c r="F2" s="223"/>
      <c r="G2" s="223"/>
      <c r="H2" s="224"/>
      <c r="I2" s="224"/>
    </row>
    <row r="3" spans="1:9" ht="15.75" x14ac:dyDescent="0.25">
      <c r="A3" s="187" t="str">
        <f>'RECAP #9510.00'!B3</f>
        <v>Program code 951000</v>
      </c>
      <c r="B3" s="182"/>
      <c r="C3" s="185"/>
      <c r="D3" s="188" t="str">
        <f>'RECAP #9510.00'!E3</f>
        <v>Major Program 4E02</v>
      </c>
      <c r="E3" s="185"/>
      <c r="F3" s="223"/>
      <c r="G3" s="223"/>
      <c r="H3" s="224"/>
      <c r="I3" s="224"/>
    </row>
    <row r="4" spans="1:9" ht="15.75" x14ac:dyDescent="0.25">
      <c r="A4" s="35" t="s">
        <v>13</v>
      </c>
      <c r="B4" s="36"/>
      <c r="C4" s="224"/>
      <c r="D4" s="225" t="s">
        <v>14</v>
      </c>
      <c r="E4" s="189"/>
      <c r="F4" s="223"/>
      <c r="G4" s="223"/>
      <c r="H4" s="224"/>
      <c r="I4" s="224"/>
    </row>
    <row r="5" spans="1:9" ht="15.75" x14ac:dyDescent="0.25">
      <c r="A5" s="226" t="s">
        <v>66</v>
      </c>
      <c r="B5" s="224"/>
      <c r="C5" s="227"/>
      <c r="D5" s="43"/>
      <c r="E5" s="49"/>
      <c r="F5" s="228"/>
      <c r="G5" s="223"/>
      <c r="H5" s="224"/>
      <c r="I5" s="224"/>
    </row>
    <row r="6" spans="1:9" ht="15.75" x14ac:dyDescent="0.25">
      <c r="A6" s="192" t="str">
        <f>'RECAP #9510.00'!B6</f>
        <v>Project Manager - Geoff W. (JE)</v>
      </c>
      <c r="B6" s="36"/>
      <c r="C6" s="229"/>
      <c r="D6" s="230" t="s">
        <v>15</v>
      </c>
      <c r="E6" s="49"/>
      <c r="F6" s="50"/>
      <c r="G6" s="223"/>
      <c r="H6" s="224"/>
      <c r="I6" s="224"/>
    </row>
    <row r="7" spans="1:9" ht="15.75" x14ac:dyDescent="0.25">
      <c r="A7" s="224"/>
      <c r="B7" s="231"/>
      <c r="C7" s="231"/>
      <c r="D7" s="224"/>
      <c r="E7" s="52"/>
      <c r="F7" s="53"/>
      <c r="G7" s="223"/>
      <c r="H7" s="224"/>
      <c r="I7" s="224" t="s">
        <v>2</v>
      </c>
    </row>
    <row r="8" spans="1:9" ht="32.25" thickBot="1" x14ac:dyDescent="0.3">
      <c r="A8" s="232" t="s">
        <v>16</v>
      </c>
      <c r="B8" s="233" t="s">
        <v>17</v>
      </c>
      <c r="C8" s="234" t="s">
        <v>18</v>
      </c>
      <c r="D8" s="235" t="s">
        <v>19</v>
      </c>
      <c r="E8" s="235" t="s">
        <v>20</v>
      </c>
      <c r="F8" s="235" t="s">
        <v>21</v>
      </c>
      <c r="G8" s="235" t="s">
        <v>22</v>
      </c>
      <c r="H8" s="235" t="s">
        <v>23</v>
      </c>
      <c r="I8" s="224"/>
    </row>
    <row r="9" spans="1:9" x14ac:dyDescent="0.25">
      <c r="A9" s="236"/>
      <c r="B9" s="237"/>
      <c r="C9" s="238"/>
      <c r="D9" s="239"/>
      <c r="E9" s="240">
        <f>D9</f>
        <v>0</v>
      </c>
      <c r="F9" s="241"/>
      <c r="G9" s="241"/>
      <c r="H9" s="241">
        <f>E9</f>
        <v>0</v>
      </c>
      <c r="I9" s="49"/>
    </row>
    <row r="10" spans="1:9" x14ac:dyDescent="0.25">
      <c r="A10" s="236"/>
      <c r="B10" s="242"/>
      <c r="C10" s="238"/>
      <c r="D10" s="240"/>
      <c r="E10" s="240">
        <f t="shared" ref="E10:E21" si="0">E9+D10</f>
        <v>0</v>
      </c>
      <c r="F10" s="243"/>
      <c r="G10" s="241">
        <f t="shared" ref="G10:G21" si="1">G9+F10</f>
        <v>0</v>
      </c>
      <c r="H10" s="241">
        <f t="shared" ref="H10:H21" si="2">H9-F10+D10</f>
        <v>0</v>
      </c>
      <c r="I10" s="49"/>
    </row>
    <row r="11" spans="1:9" x14ac:dyDescent="0.25">
      <c r="A11" s="236"/>
      <c r="B11" s="237"/>
      <c r="C11" s="238"/>
      <c r="D11" s="240"/>
      <c r="E11" s="240">
        <f t="shared" si="0"/>
        <v>0</v>
      </c>
      <c r="F11" s="243"/>
      <c r="G11" s="241">
        <f t="shared" si="1"/>
        <v>0</v>
      </c>
      <c r="H11" s="241">
        <f t="shared" si="2"/>
        <v>0</v>
      </c>
      <c r="I11" s="49"/>
    </row>
    <row r="12" spans="1:9" x14ac:dyDescent="0.25">
      <c r="A12" s="236"/>
      <c r="B12" s="237"/>
      <c r="C12" s="238"/>
      <c r="D12" s="240"/>
      <c r="E12" s="240">
        <f t="shared" si="0"/>
        <v>0</v>
      </c>
      <c r="F12" s="243"/>
      <c r="G12" s="241">
        <f t="shared" si="1"/>
        <v>0</v>
      </c>
      <c r="H12" s="241">
        <f t="shared" si="2"/>
        <v>0</v>
      </c>
      <c r="I12" s="49"/>
    </row>
    <row r="13" spans="1:9" x14ac:dyDescent="0.25">
      <c r="A13" s="236"/>
      <c r="B13" s="237"/>
      <c r="C13" s="238"/>
      <c r="D13" s="240"/>
      <c r="E13" s="240">
        <f t="shared" si="0"/>
        <v>0</v>
      </c>
      <c r="F13" s="243"/>
      <c r="G13" s="241">
        <f t="shared" si="1"/>
        <v>0</v>
      </c>
      <c r="H13" s="241">
        <f t="shared" si="2"/>
        <v>0</v>
      </c>
      <c r="I13" s="49"/>
    </row>
    <row r="14" spans="1:9" x14ac:dyDescent="0.25">
      <c r="A14" s="236"/>
      <c r="B14" s="237"/>
      <c r="C14" s="238"/>
      <c r="D14" s="240"/>
      <c r="E14" s="240">
        <f t="shared" si="0"/>
        <v>0</v>
      </c>
      <c r="F14" s="241"/>
      <c r="G14" s="241">
        <f t="shared" si="1"/>
        <v>0</v>
      </c>
      <c r="H14" s="241">
        <f t="shared" si="2"/>
        <v>0</v>
      </c>
      <c r="I14" s="49"/>
    </row>
    <row r="15" spans="1:9" x14ac:dyDescent="0.25">
      <c r="A15" s="236"/>
      <c r="B15" s="237"/>
      <c r="C15" s="238"/>
      <c r="D15" s="240"/>
      <c r="E15" s="240">
        <f t="shared" si="0"/>
        <v>0</v>
      </c>
      <c r="F15" s="243"/>
      <c r="G15" s="241">
        <f t="shared" si="1"/>
        <v>0</v>
      </c>
      <c r="H15" s="241">
        <f t="shared" si="2"/>
        <v>0</v>
      </c>
      <c r="I15" s="49"/>
    </row>
    <row r="16" spans="1:9" x14ac:dyDescent="0.25">
      <c r="A16" s="236"/>
      <c r="B16" s="237"/>
      <c r="C16" s="238"/>
      <c r="D16" s="240"/>
      <c r="E16" s="240">
        <f t="shared" si="0"/>
        <v>0</v>
      </c>
      <c r="F16" s="243"/>
      <c r="G16" s="241">
        <f t="shared" si="1"/>
        <v>0</v>
      </c>
      <c r="H16" s="241">
        <f t="shared" si="2"/>
        <v>0</v>
      </c>
      <c r="I16" s="49"/>
    </row>
    <row r="17" spans="1:9" x14ac:dyDescent="0.25">
      <c r="A17" s="236"/>
      <c r="B17" s="237"/>
      <c r="C17" s="238"/>
      <c r="D17" s="240"/>
      <c r="E17" s="240">
        <f t="shared" si="0"/>
        <v>0</v>
      </c>
      <c r="F17" s="243"/>
      <c r="G17" s="241">
        <f t="shared" si="1"/>
        <v>0</v>
      </c>
      <c r="H17" s="241">
        <f t="shared" si="2"/>
        <v>0</v>
      </c>
      <c r="I17" s="49"/>
    </row>
    <row r="18" spans="1:9" x14ac:dyDescent="0.25">
      <c r="A18" s="236"/>
      <c r="B18" s="237"/>
      <c r="C18" s="238"/>
      <c r="D18" s="240"/>
      <c r="E18" s="240">
        <f t="shared" si="0"/>
        <v>0</v>
      </c>
      <c r="F18" s="243"/>
      <c r="G18" s="241">
        <f t="shared" si="1"/>
        <v>0</v>
      </c>
      <c r="H18" s="241">
        <f t="shared" si="2"/>
        <v>0</v>
      </c>
      <c r="I18" s="49"/>
    </row>
    <row r="19" spans="1:9" x14ac:dyDescent="0.25">
      <c r="A19" s="236"/>
      <c r="B19" s="237"/>
      <c r="C19" s="238"/>
      <c r="D19" s="240"/>
      <c r="E19" s="240">
        <f t="shared" si="0"/>
        <v>0</v>
      </c>
      <c r="F19" s="241"/>
      <c r="G19" s="241">
        <f t="shared" si="1"/>
        <v>0</v>
      </c>
      <c r="H19" s="241">
        <f t="shared" si="2"/>
        <v>0</v>
      </c>
      <c r="I19" s="49"/>
    </row>
    <row r="20" spans="1:9" x14ac:dyDescent="0.25">
      <c r="A20" s="236"/>
      <c r="B20" s="237"/>
      <c r="C20" s="238"/>
      <c r="D20" s="240"/>
      <c r="E20" s="240">
        <f t="shared" si="0"/>
        <v>0</v>
      </c>
      <c r="F20" s="241"/>
      <c r="G20" s="241">
        <f t="shared" si="1"/>
        <v>0</v>
      </c>
      <c r="H20" s="241">
        <f t="shared" si="2"/>
        <v>0</v>
      </c>
      <c r="I20" s="49"/>
    </row>
    <row r="21" spans="1:9" x14ac:dyDescent="0.25">
      <c r="A21" s="236"/>
      <c r="B21" s="237"/>
      <c r="C21" s="244"/>
      <c r="D21" s="240"/>
      <c r="E21" s="240">
        <f t="shared" si="0"/>
        <v>0</v>
      </c>
      <c r="F21" s="241"/>
      <c r="G21" s="241">
        <f t="shared" si="1"/>
        <v>0</v>
      </c>
      <c r="H21" s="241">
        <f t="shared" si="2"/>
        <v>0</v>
      </c>
      <c r="I21" s="49"/>
    </row>
    <row r="22" spans="1:9" x14ac:dyDescent="0.25">
      <c r="A22" s="236"/>
      <c r="B22" s="238"/>
      <c r="C22" s="245"/>
      <c r="D22" s="241"/>
      <c r="E22" s="241"/>
      <c r="F22" s="241"/>
      <c r="G22" s="241"/>
      <c r="H22" s="241"/>
      <c r="I22" s="49"/>
    </row>
    <row r="23" spans="1:9" ht="15.75" thickBot="1" x14ac:dyDescent="0.3">
      <c r="A23" s="236"/>
      <c r="B23" s="246"/>
      <c r="C23" s="247" t="s">
        <v>24</v>
      </c>
      <c r="D23" s="248">
        <f>SUM(D9:D22)</f>
        <v>0</v>
      </c>
      <c r="E23" s="248"/>
      <c r="F23" s="248">
        <f>SUM(F9:F22)</f>
        <v>0</v>
      </c>
      <c r="G23" s="248"/>
      <c r="H23" s="248">
        <f>D23-F23</f>
        <v>0</v>
      </c>
      <c r="I23" s="49"/>
    </row>
    <row r="24" spans="1:9" ht="15.75" thickTop="1" x14ac:dyDescent="0.25">
      <c r="A24" s="249"/>
      <c r="B24" s="238"/>
      <c r="C24" s="245"/>
      <c r="D24" s="241"/>
      <c r="E24" s="241"/>
      <c r="F24" s="241"/>
      <c r="G24" s="241"/>
      <c r="H24" s="241"/>
      <c r="I24" s="49"/>
    </row>
    <row r="25" spans="1:9" x14ac:dyDescent="0.25">
      <c r="A25" s="249"/>
      <c r="B25" s="238"/>
      <c r="C25" s="245"/>
      <c r="D25" s="241"/>
      <c r="E25" s="241"/>
      <c r="F25" s="241"/>
      <c r="G25" s="241"/>
      <c r="H25" s="241"/>
      <c r="I25" s="49"/>
    </row>
    <row r="26" spans="1:9" x14ac:dyDescent="0.25">
      <c r="A26" s="249"/>
      <c r="B26" s="238"/>
      <c r="C26" s="245" t="s">
        <v>112</v>
      </c>
      <c r="D26" s="250">
        <v>0</v>
      </c>
      <c r="E26" s="250"/>
      <c r="F26" s="250"/>
      <c r="G26" s="250"/>
      <c r="H26" s="250">
        <f>D26-F26</f>
        <v>0</v>
      </c>
      <c r="I26" s="49"/>
    </row>
    <row r="27" spans="1:9" x14ac:dyDescent="0.25">
      <c r="A27" s="249"/>
      <c r="B27" s="238"/>
      <c r="C27" s="245" t="s">
        <v>113</v>
      </c>
      <c r="D27" s="250">
        <v>0</v>
      </c>
      <c r="E27" s="250"/>
      <c r="F27" s="250"/>
      <c r="G27" s="250"/>
      <c r="H27" s="250">
        <f>D27-F27</f>
        <v>0</v>
      </c>
      <c r="I27" s="49"/>
    </row>
    <row r="28" spans="1:9" ht="15.75" thickBot="1" x14ac:dyDescent="0.3">
      <c r="A28" s="249"/>
      <c r="B28" s="238"/>
      <c r="C28" s="251" t="s">
        <v>67</v>
      </c>
      <c r="D28" s="248">
        <f>SUM(D26:D27)</f>
        <v>0</v>
      </c>
      <c r="E28" s="252"/>
      <c r="F28" s="248">
        <f>SUM(F26:F27)</f>
        <v>0</v>
      </c>
      <c r="G28" s="252"/>
      <c r="H28" s="248">
        <f>SUM(H26:H27)</f>
        <v>0</v>
      </c>
      <c r="I28" s="49"/>
    </row>
    <row r="29" spans="1:9" ht="15" customHeight="1" thickTop="1" x14ac:dyDescent="0.25"/>
  </sheetData>
  <conditionalFormatting sqref="I8:I23">
    <cfRule type="cellIs" dxfId="15"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E6953-C2E9-48D4-80C9-8E6D90F53562}">
  <sheetPr>
    <tabColor indexed="30"/>
    <pageSetUpPr fitToPage="1"/>
  </sheetPr>
  <dimension ref="A1:J24"/>
  <sheetViews>
    <sheetView zoomScaleNormal="100" workbookViewId="0">
      <selection activeCell="L29" sqref="L29"/>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35" t="str">
        <f>'RECAP #9510.00'!B1</f>
        <v>DOC FDCF Grove Unit Roof Replacement</v>
      </c>
      <c r="B1" s="35"/>
      <c r="C1" s="35"/>
      <c r="D1" s="185"/>
      <c r="E1" s="185"/>
      <c r="F1" s="185"/>
      <c r="G1" s="223"/>
      <c r="H1" s="223"/>
      <c r="I1" s="224"/>
      <c r="J1" s="224"/>
    </row>
    <row r="2" spans="1:10" ht="15.75" x14ac:dyDescent="0.25">
      <c r="A2" s="186" t="str">
        <f>'RECAP #9510.00'!B2</f>
        <v>Project # 9510.00</v>
      </c>
      <c r="B2" s="182"/>
      <c r="C2" s="182"/>
      <c r="D2" s="185"/>
      <c r="E2" s="185"/>
      <c r="F2" s="185"/>
      <c r="G2" s="223"/>
      <c r="H2" s="223"/>
      <c r="I2" s="224"/>
      <c r="J2" s="224"/>
    </row>
    <row r="3" spans="1:10" ht="15.75" x14ac:dyDescent="0.25">
      <c r="A3" s="187" t="str">
        <f>'RECAP #9510.00'!B3</f>
        <v>Program code 951000</v>
      </c>
      <c r="B3" s="182"/>
      <c r="C3" s="182"/>
      <c r="D3" s="185"/>
      <c r="E3" s="188" t="str">
        <f>'RECAP #9510.00'!E3</f>
        <v>Major Program 4E02</v>
      </c>
      <c r="F3" s="185"/>
      <c r="G3" s="223"/>
      <c r="H3" s="223"/>
      <c r="I3" s="224"/>
      <c r="J3" s="224"/>
    </row>
    <row r="4" spans="1:10" ht="15.75" x14ac:dyDescent="0.25">
      <c r="A4" s="35" t="s">
        <v>10</v>
      </c>
      <c r="B4" s="36"/>
      <c r="C4" s="36"/>
      <c r="D4" s="224"/>
      <c r="E4" s="225" t="s">
        <v>25</v>
      </c>
      <c r="F4" s="189"/>
      <c r="G4" s="223"/>
      <c r="H4" s="223"/>
      <c r="I4" s="224"/>
      <c r="J4" s="224"/>
    </row>
    <row r="5" spans="1:10" ht="15.75" x14ac:dyDescent="0.25">
      <c r="A5" s="36"/>
      <c r="B5" s="224"/>
      <c r="C5" s="224"/>
      <c r="D5" s="227"/>
      <c r="E5" s="43"/>
      <c r="F5" s="49"/>
      <c r="G5" s="228"/>
      <c r="H5" s="223"/>
      <c r="I5" s="224"/>
      <c r="J5" s="224"/>
    </row>
    <row r="6" spans="1:10" ht="15.75" x14ac:dyDescent="0.25">
      <c r="A6" s="226" t="s">
        <v>66</v>
      </c>
      <c r="B6" s="36"/>
      <c r="C6" s="36"/>
      <c r="D6" s="229"/>
      <c r="E6" s="43" t="s">
        <v>254</v>
      </c>
      <c r="F6" s="49"/>
      <c r="G6" s="50"/>
      <c r="H6" s="223"/>
      <c r="I6" s="224"/>
      <c r="J6" s="224"/>
    </row>
    <row r="7" spans="1:10" ht="15.75" x14ac:dyDescent="0.25">
      <c r="A7" s="192" t="str">
        <f>'RECAP #9510.00'!B6</f>
        <v>Project Manager - Geoff W. (JE)</v>
      </c>
      <c r="B7" s="231"/>
      <c r="C7" s="231"/>
      <c r="D7" s="231"/>
      <c r="E7" s="50" t="s">
        <v>2</v>
      </c>
      <c r="F7" s="52"/>
      <c r="G7" s="53"/>
      <c r="H7" s="223"/>
      <c r="I7" s="224"/>
      <c r="J7" s="224" t="s">
        <v>2</v>
      </c>
    </row>
    <row r="8" spans="1:10" ht="32.25" thickBot="1" x14ac:dyDescent="0.3">
      <c r="A8" s="232" t="s">
        <v>16</v>
      </c>
      <c r="B8" s="233" t="s">
        <v>17</v>
      </c>
      <c r="C8" s="255" t="s">
        <v>27</v>
      </c>
      <c r="D8" s="234" t="s">
        <v>28</v>
      </c>
      <c r="E8" s="235" t="s">
        <v>19</v>
      </c>
      <c r="F8" s="235" t="s">
        <v>20</v>
      </c>
      <c r="G8" s="235" t="s">
        <v>21</v>
      </c>
      <c r="H8" s="235" t="s">
        <v>22</v>
      </c>
      <c r="I8" s="235" t="s">
        <v>23</v>
      </c>
      <c r="J8" s="224" t="s">
        <v>2</v>
      </c>
    </row>
    <row r="9" spans="1:10" x14ac:dyDescent="0.25">
      <c r="A9" s="256"/>
      <c r="B9" s="237"/>
      <c r="C9" s="237"/>
      <c r="D9" s="257" t="s">
        <v>29</v>
      </c>
      <c r="E9" s="239"/>
      <c r="F9" s="240">
        <f>E9</f>
        <v>0</v>
      </c>
      <c r="G9" s="241"/>
      <c r="H9" s="241"/>
      <c r="I9" s="241">
        <f>F9</f>
        <v>0</v>
      </c>
      <c r="J9" s="49"/>
    </row>
    <row r="10" spans="1:10" x14ac:dyDescent="0.25">
      <c r="A10" s="258"/>
      <c r="B10" s="242"/>
      <c r="C10" s="242"/>
      <c r="D10" s="257"/>
      <c r="E10" s="240"/>
      <c r="F10" s="240">
        <f t="shared" ref="F10:F21" si="0">F9+E10</f>
        <v>0</v>
      </c>
      <c r="G10" s="243"/>
      <c r="H10" s="241">
        <f t="shared" ref="H10:H21" si="1">H9+G10</f>
        <v>0</v>
      </c>
      <c r="I10" s="241">
        <f t="shared" ref="I10:I21" si="2">I9-G10+E10</f>
        <v>0</v>
      </c>
      <c r="J10" s="49"/>
    </row>
    <row r="11" spans="1:10" x14ac:dyDescent="0.25">
      <c r="A11" s="259"/>
      <c r="B11" s="237"/>
      <c r="C11" s="237"/>
      <c r="D11" s="257"/>
      <c r="E11" s="240"/>
      <c r="F11" s="240">
        <f t="shared" si="0"/>
        <v>0</v>
      </c>
      <c r="G11" s="243"/>
      <c r="H11" s="241">
        <f t="shared" si="1"/>
        <v>0</v>
      </c>
      <c r="I11" s="241">
        <f t="shared" si="2"/>
        <v>0</v>
      </c>
      <c r="J11" s="49"/>
    </row>
    <row r="12" spans="1:10" x14ac:dyDescent="0.25">
      <c r="A12" s="259"/>
      <c r="B12" s="237"/>
      <c r="C12" s="237"/>
      <c r="D12" s="257"/>
      <c r="E12" s="240"/>
      <c r="F12" s="240">
        <f t="shared" si="0"/>
        <v>0</v>
      </c>
      <c r="G12" s="243"/>
      <c r="H12" s="241">
        <f t="shared" si="1"/>
        <v>0</v>
      </c>
      <c r="I12" s="241">
        <f t="shared" si="2"/>
        <v>0</v>
      </c>
      <c r="J12" s="49"/>
    </row>
    <row r="13" spans="1:10" x14ac:dyDescent="0.25">
      <c r="A13" s="259"/>
      <c r="B13" s="237"/>
      <c r="C13" s="237"/>
      <c r="D13" s="257"/>
      <c r="E13" s="240"/>
      <c r="F13" s="240">
        <f t="shared" si="0"/>
        <v>0</v>
      </c>
      <c r="G13" s="243"/>
      <c r="H13" s="241">
        <f t="shared" si="1"/>
        <v>0</v>
      </c>
      <c r="I13" s="241">
        <f t="shared" si="2"/>
        <v>0</v>
      </c>
      <c r="J13" s="49"/>
    </row>
    <row r="14" spans="1:10" x14ac:dyDescent="0.25">
      <c r="A14" s="259"/>
      <c r="B14" s="237"/>
      <c r="C14" s="237"/>
      <c r="D14" s="257"/>
      <c r="E14" s="240"/>
      <c r="F14" s="240">
        <f t="shared" si="0"/>
        <v>0</v>
      </c>
      <c r="G14" s="241"/>
      <c r="H14" s="241">
        <f t="shared" si="1"/>
        <v>0</v>
      </c>
      <c r="I14" s="241">
        <f t="shared" si="2"/>
        <v>0</v>
      </c>
      <c r="J14" s="49"/>
    </row>
    <row r="15" spans="1:10" x14ac:dyDescent="0.25">
      <c r="A15" s="259"/>
      <c r="B15" s="237"/>
      <c r="C15" s="237"/>
      <c r="D15" s="257"/>
      <c r="E15" s="240"/>
      <c r="F15" s="240">
        <f t="shared" si="0"/>
        <v>0</v>
      </c>
      <c r="G15" s="243"/>
      <c r="H15" s="241">
        <f t="shared" si="1"/>
        <v>0</v>
      </c>
      <c r="I15" s="241">
        <f t="shared" si="2"/>
        <v>0</v>
      </c>
      <c r="J15" s="49"/>
    </row>
    <row r="16" spans="1:10" x14ac:dyDescent="0.25">
      <c r="A16" s="259"/>
      <c r="B16" s="237"/>
      <c r="C16" s="237"/>
      <c r="D16" s="257"/>
      <c r="E16" s="240"/>
      <c r="F16" s="240">
        <f t="shared" si="0"/>
        <v>0</v>
      </c>
      <c r="G16" s="243"/>
      <c r="H16" s="241">
        <f t="shared" si="1"/>
        <v>0</v>
      </c>
      <c r="I16" s="241">
        <f t="shared" si="2"/>
        <v>0</v>
      </c>
      <c r="J16" s="49"/>
    </row>
    <row r="17" spans="1:10" x14ac:dyDescent="0.25">
      <c r="A17" s="259"/>
      <c r="B17" s="237"/>
      <c r="C17" s="237"/>
      <c r="D17" s="257"/>
      <c r="E17" s="240"/>
      <c r="F17" s="240">
        <f t="shared" si="0"/>
        <v>0</v>
      </c>
      <c r="G17" s="243"/>
      <c r="H17" s="241">
        <f t="shared" si="1"/>
        <v>0</v>
      </c>
      <c r="I17" s="241">
        <f t="shared" si="2"/>
        <v>0</v>
      </c>
      <c r="J17" s="49"/>
    </row>
    <row r="18" spans="1:10" x14ac:dyDescent="0.25">
      <c r="A18" s="259"/>
      <c r="B18" s="237"/>
      <c r="C18" s="237"/>
      <c r="D18" s="257"/>
      <c r="E18" s="240"/>
      <c r="F18" s="240">
        <f t="shared" si="0"/>
        <v>0</v>
      </c>
      <c r="G18" s="243"/>
      <c r="H18" s="241">
        <f t="shared" si="1"/>
        <v>0</v>
      </c>
      <c r="I18" s="241">
        <f t="shared" si="2"/>
        <v>0</v>
      </c>
      <c r="J18" s="49"/>
    </row>
    <row r="19" spans="1:10" x14ac:dyDescent="0.25">
      <c r="A19" s="256"/>
      <c r="B19" s="237"/>
      <c r="C19" s="237"/>
      <c r="D19" s="257"/>
      <c r="E19" s="240"/>
      <c r="F19" s="240">
        <f t="shared" si="0"/>
        <v>0</v>
      </c>
      <c r="G19" s="241"/>
      <c r="H19" s="241">
        <f t="shared" si="1"/>
        <v>0</v>
      </c>
      <c r="I19" s="241">
        <f t="shared" si="2"/>
        <v>0</v>
      </c>
      <c r="J19" s="49"/>
    </row>
    <row r="20" spans="1:10" x14ac:dyDescent="0.25">
      <c r="A20" s="256"/>
      <c r="B20" s="237"/>
      <c r="C20" s="237"/>
      <c r="D20" s="257"/>
      <c r="E20" s="240"/>
      <c r="F20" s="240">
        <f t="shared" si="0"/>
        <v>0</v>
      </c>
      <c r="G20" s="241"/>
      <c r="H20" s="241">
        <f t="shared" si="1"/>
        <v>0</v>
      </c>
      <c r="I20" s="241">
        <f t="shared" si="2"/>
        <v>0</v>
      </c>
      <c r="J20" s="49"/>
    </row>
    <row r="21" spans="1:10" x14ac:dyDescent="0.25">
      <c r="A21" s="256"/>
      <c r="B21" s="237"/>
      <c r="C21" s="237"/>
      <c r="D21" s="260"/>
      <c r="E21" s="240"/>
      <c r="F21" s="240">
        <f t="shared" si="0"/>
        <v>0</v>
      </c>
      <c r="G21" s="241"/>
      <c r="H21" s="241">
        <f t="shared" si="1"/>
        <v>0</v>
      </c>
      <c r="I21" s="241">
        <f t="shared" si="2"/>
        <v>0</v>
      </c>
      <c r="J21" s="49"/>
    </row>
    <row r="22" spans="1:10" x14ac:dyDescent="0.25">
      <c r="A22" s="249"/>
      <c r="B22" s="238"/>
      <c r="C22" s="238"/>
      <c r="D22" s="245"/>
      <c r="E22" s="241"/>
      <c r="F22" s="241"/>
      <c r="G22" s="241"/>
      <c r="H22" s="241"/>
      <c r="I22" s="241"/>
      <c r="J22" s="49"/>
    </row>
    <row r="23" spans="1:10" ht="15.75" thickBot="1" x14ac:dyDescent="0.3">
      <c r="A23" s="249"/>
      <c r="B23" s="246"/>
      <c r="C23" s="246"/>
      <c r="D23" s="247" t="s">
        <v>24</v>
      </c>
      <c r="E23" s="248">
        <f>SUM(E9:E22)</f>
        <v>0</v>
      </c>
      <c r="F23" s="248"/>
      <c r="G23" s="248">
        <f>SUM(G9:G22)</f>
        <v>0</v>
      </c>
      <c r="H23" s="248"/>
      <c r="I23" s="248">
        <f>E23-G23</f>
        <v>0</v>
      </c>
      <c r="J23" s="49"/>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5BAF-9693-4F30-847D-FC176D4DECF5}">
  <sheetPr>
    <tabColor indexed="30"/>
    <pageSetUpPr fitToPage="1"/>
  </sheetPr>
  <dimension ref="A1:H23"/>
  <sheetViews>
    <sheetView zoomScaleNormal="100" workbookViewId="0">
      <selection activeCell="A19" sqref="A1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35" t="str">
        <f>'RECAP #9510.00'!B1</f>
        <v>DOC FDCF Grove Unit Roof Replacement</v>
      </c>
      <c r="B1" s="35"/>
      <c r="C1" s="35"/>
      <c r="D1" s="35"/>
      <c r="E1" s="185"/>
      <c r="F1" s="185"/>
      <c r="G1" s="185"/>
      <c r="H1" s="223"/>
    </row>
    <row r="2" spans="1:8" ht="15.75" x14ac:dyDescent="0.25">
      <c r="A2" s="186" t="str">
        <f>'RECAP #9510.00'!B2</f>
        <v>Project # 9510.00</v>
      </c>
      <c r="B2" s="182"/>
      <c r="C2" s="182"/>
      <c r="D2" s="182"/>
      <c r="E2" s="185"/>
      <c r="F2" s="185"/>
      <c r="G2" s="185"/>
      <c r="H2" s="223"/>
    </row>
    <row r="3" spans="1:8" ht="15.75" x14ac:dyDescent="0.25">
      <c r="A3" s="187" t="str">
        <f>'RECAP #9510.00'!B3</f>
        <v>Program code 951000</v>
      </c>
      <c r="B3" s="182"/>
      <c r="C3" s="182"/>
      <c r="D3" s="182"/>
      <c r="E3" s="188" t="str">
        <f>'RECAP #9510.00'!E3</f>
        <v>Major Program 4E02</v>
      </c>
      <c r="F3" s="182"/>
      <c r="G3" s="185"/>
      <c r="H3" s="223"/>
    </row>
    <row r="4" spans="1:8" ht="15.75" x14ac:dyDescent="0.25">
      <c r="A4" s="261" t="s">
        <v>30</v>
      </c>
      <c r="B4" s="36"/>
      <c r="C4" s="36"/>
      <c r="D4" s="36"/>
      <c r="E4" s="225"/>
      <c r="F4" s="182"/>
      <c r="G4" s="189"/>
      <c r="H4" s="223"/>
    </row>
    <row r="5" spans="1:8" ht="15.75" x14ac:dyDescent="0.25">
      <c r="A5" s="36"/>
      <c r="B5" s="224"/>
      <c r="C5" s="224"/>
      <c r="D5" s="224"/>
      <c r="E5" s="83" t="s">
        <v>31</v>
      </c>
      <c r="F5" s="182"/>
      <c r="G5" s="49"/>
      <c r="H5" s="228"/>
    </row>
    <row r="6" spans="1:8" ht="15.75" x14ac:dyDescent="0.25">
      <c r="A6" s="226" t="s">
        <v>66</v>
      </c>
      <c r="B6" s="36"/>
      <c r="C6" s="36"/>
      <c r="D6" s="36"/>
      <c r="E6" s="188" t="s">
        <v>97</v>
      </c>
      <c r="F6" s="224"/>
      <c r="G6" s="49"/>
      <c r="H6" s="228"/>
    </row>
    <row r="7" spans="1:8" ht="15.75" x14ac:dyDescent="0.25">
      <c r="A7" s="192" t="str">
        <f>'RECAP #9510.00'!B6</f>
        <v>Project Manager - Geoff W. (JE)</v>
      </c>
      <c r="B7" s="231"/>
      <c r="C7" s="231"/>
      <c r="D7" s="231"/>
      <c r="E7" s="231"/>
      <c r="F7" s="196"/>
      <c r="G7" s="189"/>
      <c r="H7" s="223"/>
    </row>
    <row r="8" spans="1:8" ht="32.25" thickBot="1" x14ac:dyDescent="0.3">
      <c r="A8" s="232" t="s">
        <v>32</v>
      </c>
      <c r="B8" s="233" t="s">
        <v>17</v>
      </c>
      <c r="C8" s="255" t="s">
        <v>27</v>
      </c>
      <c r="D8" s="255" t="s">
        <v>28</v>
      </c>
      <c r="E8" s="234" t="s">
        <v>18</v>
      </c>
      <c r="F8" s="235" t="s">
        <v>33</v>
      </c>
      <c r="G8" s="235" t="s">
        <v>21</v>
      </c>
      <c r="H8" s="235" t="s">
        <v>22</v>
      </c>
    </row>
    <row r="9" spans="1:8" x14ac:dyDescent="0.25">
      <c r="A9" s="244"/>
      <c r="B9" s="237"/>
      <c r="C9" s="253"/>
      <c r="D9" s="253"/>
      <c r="E9" s="262"/>
      <c r="F9" s="263"/>
      <c r="G9" s="254"/>
      <c r="H9" s="254">
        <f>G9</f>
        <v>0</v>
      </c>
    </row>
    <row r="10" spans="1:8" x14ac:dyDescent="0.25">
      <c r="A10" s="264"/>
      <c r="B10" s="237"/>
      <c r="C10" s="245"/>
      <c r="D10" s="245"/>
      <c r="E10" s="49"/>
      <c r="F10" s="207"/>
      <c r="G10" s="254"/>
      <c r="H10" s="254">
        <f>H9+G10</f>
        <v>0</v>
      </c>
    </row>
    <row r="11" spans="1:8" x14ac:dyDescent="0.25">
      <c r="A11" s="264"/>
      <c r="B11" s="237"/>
      <c r="C11" s="237"/>
      <c r="D11" s="237"/>
      <c r="E11" s="49"/>
      <c r="F11" s="207"/>
      <c r="G11" s="254"/>
      <c r="H11" s="254">
        <f t="shared" ref="H11:H20" si="0">H10+G11</f>
        <v>0</v>
      </c>
    </row>
    <row r="12" spans="1:8" x14ac:dyDescent="0.25">
      <c r="A12" s="264" t="s">
        <v>2</v>
      </c>
      <c r="B12" s="237" t="s">
        <v>2</v>
      </c>
      <c r="C12" s="237"/>
      <c r="D12" s="237"/>
      <c r="E12" s="49" t="s">
        <v>2</v>
      </c>
      <c r="F12" s="207"/>
      <c r="G12" s="254"/>
      <c r="H12" s="254">
        <f t="shared" si="0"/>
        <v>0</v>
      </c>
    </row>
    <row r="13" spans="1:8" x14ac:dyDescent="0.25">
      <c r="A13" s="264" t="s">
        <v>2</v>
      </c>
      <c r="B13" s="237" t="s">
        <v>2</v>
      </c>
      <c r="C13" s="237"/>
      <c r="D13" s="237"/>
      <c r="E13" s="49" t="s">
        <v>2</v>
      </c>
      <c r="F13" s="207"/>
      <c r="G13" s="254"/>
      <c r="H13" s="254">
        <f t="shared" si="0"/>
        <v>0</v>
      </c>
    </row>
    <row r="14" spans="1:8" x14ac:dyDescent="0.25">
      <c r="A14" s="264"/>
      <c r="B14" s="237"/>
      <c r="C14" s="237"/>
      <c r="D14" s="237"/>
      <c r="E14" s="49"/>
      <c r="F14" s="207"/>
      <c r="G14" s="254"/>
      <c r="H14" s="254">
        <f t="shared" si="0"/>
        <v>0</v>
      </c>
    </row>
    <row r="15" spans="1:8" x14ac:dyDescent="0.25">
      <c r="A15" s="264"/>
      <c r="B15" s="237"/>
      <c r="C15" s="237"/>
      <c r="D15" s="237"/>
      <c r="E15" s="43"/>
      <c r="F15" s="207"/>
      <c r="G15" s="254"/>
      <c r="H15" s="254">
        <f t="shared" si="0"/>
        <v>0</v>
      </c>
    </row>
    <row r="16" spans="1:8" x14ac:dyDescent="0.25">
      <c r="A16" s="264"/>
      <c r="B16" s="237"/>
      <c r="C16" s="237"/>
      <c r="D16" s="237"/>
      <c r="E16" s="49"/>
      <c r="F16" s="207"/>
      <c r="G16" s="254"/>
      <c r="H16" s="254">
        <f t="shared" si="0"/>
        <v>0</v>
      </c>
    </row>
    <row r="17" spans="1:8" x14ac:dyDescent="0.25">
      <c r="A17" s="253"/>
      <c r="B17" s="237"/>
      <c r="C17" s="237"/>
      <c r="D17" s="237"/>
      <c r="E17" s="49"/>
      <c r="F17" s="207"/>
      <c r="G17" s="254"/>
      <c r="H17" s="254">
        <f t="shared" si="0"/>
        <v>0</v>
      </c>
    </row>
    <row r="18" spans="1:8" x14ac:dyDescent="0.25">
      <c r="A18" s="253"/>
      <c r="B18" s="237"/>
      <c r="C18" s="237"/>
      <c r="D18" s="237"/>
      <c r="E18" s="49"/>
      <c r="F18" s="207"/>
      <c r="G18" s="254"/>
      <c r="H18" s="254">
        <f t="shared" si="0"/>
        <v>0</v>
      </c>
    </row>
    <row r="19" spans="1:8" x14ac:dyDescent="0.25">
      <c r="A19" s="253"/>
      <c r="B19" s="237"/>
      <c r="C19" s="237"/>
      <c r="D19" s="237"/>
      <c r="E19" s="49"/>
      <c r="F19" s="207"/>
      <c r="G19" s="254"/>
      <c r="H19" s="254">
        <f t="shared" si="0"/>
        <v>0</v>
      </c>
    </row>
    <row r="20" spans="1:8" x14ac:dyDescent="0.25">
      <c r="A20" s="253"/>
      <c r="B20" s="237"/>
      <c r="C20" s="237"/>
      <c r="D20" s="237"/>
      <c r="E20" s="49"/>
      <c r="F20" s="207"/>
      <c r="G20" s="254"/>
      <c r="H20" s="254">
        <f t="shared" si="0"/>
        <v>0</v>
      </c>
    </row>
    <row r="21" spans="1:8" x14ac:dyDescent="0.25">
      <c r="A21" s="253"/>
      <c r="B21" s="245"/>
      <c r="C21" s="245"/>
      <c r="D21" s="245"/>
      <c r="E21" s="49"/>
      <c r="F21" s="254"/>
      <c r="G21" s="49"/>
      <c r="H21" s="254"/>
    </row>
    <row r="22" spans="1:8" ht="15.75" thickBot="1" x14ac:dyDescent="0.3">
      <c r="A22" s="265"/>
      <c r="B22" s="251"/>
      <c r="C22" s="251"/>
      <c r="D22" s="251"/>
      <c r="E22" s="266" t="s">
        <v>24</v>
      </c>
      <c r="F22" s="267"/>
      <c r="G22" s="248">
        <f>SUM(G9:G21)</f>
        <v>0</v>
      </c>
      <c r="H22" s="267"/>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822AA-35E6-4ABC-85CC-4050D7D8C263}">
  <sheetPr>
    <pageSetUpPr fitToPage="1"/>
  </sheetPr>
  <dimension ref="A1:G17"/>
  <sheetViews>
    <sheetView topLeftCell="A2" zoomScaleNormal="100" workbookViewId="0">
      <selection activeCell="K9" sqref="K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166</v>
      </c>
      <c r="C1" s="3"/>
      <c r="D1" s="4"/>
      <c r="E1" s="4"/>
      <c r="F1" s="4"/>
      <c r="G1" s="4"/>
    </row>
    <row r="2" spans="1:7" ht="15.75" x14ac:dyDescent="0.25">
      <c r="A2" s="1"/>
      <c r="B2" s="6" t="s">
        <v>229</v>
      </c>
      <c r="C2" s="5"/>
      <c r="D2" s="4"/>
      <c r="E2" s="4"/>
      <c r="F2" s="4"/>
      <c r="G2" s="4"/>
    </row>
    <row r="3" spans="1:7" ht="15.75" x14ac:dyDescent="0.25">
      <c r="A3" s="1"/>
      <c r="B3" s="7" t="s">
        <v>230</v>
      </c>
      <c r="C3" s="5"/>
      <c r="D3" s="4"/>
      <c r="E3" s="8" t="s">
        <v>231</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202</v>
      </c>
      <c r="C6" s="14"/>
      <c r="D6" s="15" t="s">
        <v>2</v>
      </c>
      <c r="E6" s="16"/>
      <c r="F6" s="16"/>
      <c r="G6" s="16"/>
    </row>
    <row r="7" spans="1:7" ht="36.75" customHeight="1" thickBot="1" x14ac:dyDescent="0.3">
      <c r="A7" s="1"/>
      <c r="B7" s="18" t="s">
        <v>2</v>
      </c>
      <c r="C7" s="19" t="s">
        <v>3</v>
      </c>
      <c r="D7" s="20" t="s">
        <v>4</v>
      </c>
      <c r="E7" s="21" t="s">
        <v>5</v>
      </c>
      <c r="F7" s="22" t="s">
        <v>6</v>
      </c>
      <c r="G7" s="22" t="s">
        <v>7</v>
      </c>
    </row>
    <row r="8" spans="1:7" ht="28.35" customHeight="1" x14ac:dyDescent="0.25">
      <c r="A8" s="1"/>
      <c r="B8" s="1" t="s">
        <v>8</v>
      </c>
      <c r="C8" s="23">
        <f>FINANCIAL!G38</f>
        <v>205000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03"/>
      <c r="B10" s="304" t="s">
        <v>261</v>
      </c>
      <c r="C10" s="305"/>
      <c r="D10" s="308">
        <f>'#9511.00 McGough Construction'!D23</f>
        <v>15864.97</v>
      </c>
      <c r="E10" s="308">
        <f>'#9511.00 McGough Construction'!F23</f>
        <v>4899.42</v>
      </c>
      <c r="F10" s="308">
        <f>'#9511.00 McGough Construction'!H23</f>
        <v>10965.55</v>
      </c>
      <c r="G10" s="307"/>
    </row>
    <row r="11" spans="1:7" s="275" customFormat="1" ht="12.75" customHeight="1" x14ac:dyDescent="0.25">
      <c r="A11" s="303"/>
      <c r="B11" s="304" t="s">
        <v>10</v>
      </c>
      <c r="C11" s="305"/>
      <c r="D11" s="308">
        <f>'#9511.00 PM TIME'!E26</f>
        <v>12000</v>
      </c>
      <c r="E11" s="308">
        <f>'#9511.00 PM TIME'!G26</f>
        <v>6927.2300000000005</v>
      </c>
      <c r="F11" s="308">
        <f>'#9511.00 PM TIME'!I26</f>
        <v>5072.7699999999995</v>
      </c>
      <c r="G11" s="307"/>
    </row>
    <row r="12" spans="1:7" s="275" customFormat="1" ht="12.75" customHeight="1" x14ac:dyDescent="0.25">
      <c r="A12" s="303"/>
      <c r="B12" s="304" t="s">
        <v>11</v>
      </c>
      <c r="C12" s="306"/>
      <c r="D12" s="309">
        <f>'#9511.00 Misc'!G22</f>
        <v>0</v>
      </c>
      <c r="E12" s="309">
        <f>'#9511.00 Misc'!H22</f>
        <v>0</v>
      </c>
      <c r="F12" s="308">
        <f>D12-E12</f>
        <v>0</v>
      </c>
      <c r="G12" s="307"/>
    </row>
    <row r="13" spans="1:7" s="275" customFormat="1" ht="12.75" customHeight="1" x14ac:dyDescent="0.25">
      <c r="A13" s="303"/>
      <c r="B13" s="304" t="s">
        <v>546</v>
      </c>
      <c r="C13" s="306"/>
      <c r="D13" s="309">
        <f>'#9511.00 Bolton and Menk'!D23</f>
        <v>35303</v>
      </c>
      <c r="E13" s="309">
        <f>'#9511.00 Bolton and Menk'!F23</f>
        <v>9019.5</v>
      </c>
      <c r="F13" s="308">
        <f>'#9511.00 Bolton and Menk'!H23</f>
        <v>26283.5</v>
      </c>
      <c r="G13" s="307"/>
    </row>
    <row r="14" spans="1:7" s="275" customFormat="1" ht="12.75" customHeight="1" x14ac:dyDescent="0.25">
      <c r="A14" s="303"/>
      <c r="B14" s="304" t="s">
        <v>580</v>
      </c>
      <c r="C14" s="306"/>
      <c r="D14" s="309">
        <f>'#9511.00 Terracon Consultants'!D23</f>
        <v>5825</v>
      </c>
      <c r="E14" s="309">
        <f>'#9511.00 Terracon Consultants'!F23</f>
        <v>0</v>
      </c>
      <c r="F14" s="308">
        <f>'#9511.00 Terracon Consultants'!H23</f>
        <v>5825</v>
      </c>
      <c r="G14" s="307"/>
    </row>
    <row r="15" spans="1:7" s="275" customFormat="1" ht="12.75" customHeight="1" x14ac:dyDescent="0.25">
      <c r="A15" s="310"/>
      <c r="B15" s="304"/>
      <c r="C15" s="306"/>
      <c r="D15" s="309"/>
      <c r="E15" s="309"/>
      <c r="F15" s="308"/>
      <c r="G15" s="311"/>
    </row>
    <row r="16" spans="1:7" ht="24" customHeight="1" thickBot="1" x14ac:dyDescent="0.3">
      <c r="A16" s="30"/>
      <c r="B16" s="31" t="s">
        <v>12</v>
      </c>
      <c r="C16" s="32">
        <f>SUM(C8:C15)</f>
        <v>205000</v>
      </c>
      <c r="D16" s="32">
        <f>SUM(D8:D15)</f>
        <v>68992.97</v>
      </c>
      <c r="E16" s="32">
        <f>SUM(E8:E15)</f>
        <v>20846.150000000001</v>
      </c>
      <c r="F16" s="32">
        <f>SUM(D16-E16)</f>
        <v>48146.82</v>
      </c>
      <c r="G16" s="32">
        <f>C8-D16</f>
        <v>136007.03</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7BDA8-FDB4-46A3-B319-050E6473CE5F}">
  <sheetPr>
    <pageSetUpPr fitToPage="1"/>
  </sheetPr>
  <dimension ref="A1:I30"/>
  <sheetViews>
    <sheetView zoomScaleNormal="100" workbookViewId="0">
      <selection activeCell="F31" sqref="F31"/>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#9511.00'!B1</f>
        <v>DPS P13 Upper Parking Lot Replacement</v>
      </c>
      <c r="B1" s="3"/>
      <c r="C1" s="4"/>
      <c r="D1" s="4"/>
      <c r="E1" s="4"/>
      <c r="F1" s="33"/>
      <c r="G1" s="33"/>
      <c r="H1" s="34"/>
      <c r="I1" s="34"/>
    </row>
    <row r="2" spans="1:9" ht="15.75" x14ac:dyDescent="0.25">
      <c r="A2" s="6" t="str">
        <f>'RECAP #9511.00'!B2</f>
        <v>Project # 9511.00</v>
      </c>
      <c r="B2" s="5"/>
      <c r="C2" s="4"/>
      <c r="D2" s="4"/>
      <c r="E2" s="4"/>
      <c r="F2" s="33"/>
      <c r="G2" s="33"/>
      <c r="H2" s="34"/>
      <c r="I2" s="34"/>
    </row>
    <row r="3" spans="1:9" ht="15.75" x14ac:dyDescent="0.25">
      <c r="A3" s="7" t="str">
        <f>'RECAP #9511.00'!B3</f>
        <v>Program code 951100</v>
      </c>
      <c r="B3" s="5"/>
      <c r="C3" s="4"/>
      <c r="D3" s="8" t="str">
        <f>'RECAP #9511.00'!E3</f>
        <v>Major Program 4E12</v>
      </c>
      <c r="E3" s="4"/>
      <c r="F3" s="33"/>
      <c r="G3" s="33"/>
      <c r="H3" s="34"/>
      <c r="I3" s="34"/>
    </row>
    <row r="4" spans="1:9" ht="15.75" x14ac:dyDescent="0.25">
      <c r="A4" s="35" t="s">
        <v>261</v>
      </c>
      <c r="B4" s="36"/>
      <c r="C4" s="37"/>
      <c r="D4" s="38" t="s">
        <v>262</v>
      </c>
      <c r="E4" s="39"/>
      <c r="F4" s="33"/>
      <c r="G4" s="33"/>
      <c r="H4" s="34"/>
      <c r="I4" s="34"/>
    </row>
    <row r="5" spans="1:9" ht="15.75" x14ac:dyDescent="0.25">
      <c r="A5" s="40" t="s">
        <v>106</v>
      </c>
      <c r="B5" s="41"/>
      <c r="C5" s="42"/>
      <c r="D5" s="43" t="s">
        <v>263</v>
      </c>
      <c r="E5" s="44"/>
      <c r="F5" s="45"/>
      <c r="G5" s="46"/>
      <c r="H5" s="41"/>
      <c r="I5" s="34"/>
    </row>
    <row r="6" spans="1:9" ht="15.75" x14ac:dyDescent="0.25">
      <c r="A6" s="13" t="str">
        <f>'RECAP #9511.00'!B6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329</v>
      </c>
      <c r="B9" s="287">
        <v>45979</v>
      </c>
      <c r="C9" s="288" t="s">
        <v>111</v>
      </c>
      <c r="D9" s="289">
        <v>15864.97</v>
      </c>
      <c r="E9" s="290">
        <f>D9</f>
        <v>15864.97</v>
      </c>
      <c r="F9" s="291"/>
      <c r="G9" s="291"/>
      <c r="H9" s="291">
        <f>E9</f>
        <v>15864.97</v>
      </c>
      <c r="I9" s="292"/>
    </row>
    <row r="10" spans="1:9" s="275" customFormat="1" ht="12.75" customHeight="1" x14ac:dyDescent="0.25">
      <c r="A10" s="286" t="s">
        <v>566</v>
      </c>
      <c r="B10" s="293">
        <v>46066</v>
      </c>
      <c r="C10" s="288" t="s">
        <v>567</v>
      </c>
      <c r="D10" s="290"/>
      <c r="E10" s="290">
        <f t="shared" ref="E10:E21" si="0">E9+D10</f>
        <v>15864.97</v>
      </c>
      <c r="F10" s="294">
        <v>3588.59</v>
      </c>
      <c r="G10" s="291">
        <f t="shared" ref="G10:G21" si="1">G9+F10</f>
        <v>3588.59</v>
      </c>
      <c r="H10" s="291">
        <f t="shared" ref="H10:H21" si="2">H9-F10+D10</f>
        <v>12276.38</v>
      </c>
      <c r="I10" s="292"/>
    </row>
    <row r="11" spans="1:9" s="275" customFormat="1" ht="12.75" customHeight="1" x14ac:dyDescent="0.25">
      <c r="A11" s="286" t="s">
        <v>696</v>
      </c>
      <c r="B11" s="287">
        <v>46101</v>
      </c>
      <c r="C11" s="288" t="s">
        <v>697</v>
      </c>
      <c r="D11" s="290"/>
      <c r="E11" s="290">
        <f t="shared" si="0"/>
        <v>15864.97</v>
      </c>
      <c r="F11" s="294">
        <v>1310.83</v>
      </c>
      <c r="G11" s="291">
        <f t="shared" si="1"/>
        <v>4899.42</v>
      </c>
      <c r="H11" s="291">
        <f t="shared" si="2"/>
        <v>10965.55</v>
      </c>
      <c r="I11" s="292"/>
    </row>
    <row r="12" spans="1:9" s="275" customFormat="1" ht="12.75" customHeight="1" x14ac:dyDescent="0.25">
      <c r="A12" s="286"/>
      <c r="B12" s="287"/>
      <c r="C12" s="288"/>
      <c r="D12" s="290"/>
      <c r="E12" s="290">
        <f t="shared" si="0"/>
        <v>15864.97</v>
      </c>
      <c r="F12" s="295"/>
      <c r="G12" s="291">
        <f t="shared" si="1"/>
        <v>4899.42</v>
      </c>
      <c r="H12" s="291">
        <f t="shared" si="2"/>
        <v>10965.55</v>
      </c>
      <c r="I12" s="292"/>
    </row>
    <row r="13" spans="1:9" s="275" customFormat="1" ht="12.75" customHeight="1" x14ac:dyDescent="0.25">
      <c r="A13" s="286"/>
      <c r="B13" s="287"/>
      <c r="C13" s="288"/>
      <c r="D13" s="290"/>
      <c r="E13" s="290">
        <f t="shared" si="0"/>
        <v>15864.97</v>
      </c>
      <c r="F13" s="295"/>
      <c r="G13" s="291">
        <f t="shared" si="1"/>
        <v>4899.42</v>
      </c>
      <c r="H13" s="291">
        <f t="shared" si="2"/>
        <v>10965.55</v>
      </c>
      <c r="I13" s="292"/>
    </row>
    <row r="14" spans="1:9" s="275" customFormat="1" ht="12.75" customHeight="1" x14ac:dyDescent="0.25">
      <c r="A14" s="286"/>
      <c r="B14" s="287"/>
      <c r="C14" s="288"/>
      <c r="D14" s="290"/>
      <c r="E14" s="290">
        <f t="shared" si="0"/>
        <v>15864.97</v>
      </c>
      <c r="F14" s="291"/>
      <c r="G14" s="291">
        <f t="shared" si="1"/>
        <v>4899.42</v>
      </c>
      <c r="H14" s="291">
        <f t="shared" si="2"/>
        <v>10965.55</v>
      </c>
      <c r="I14" s="292"/>
    </row>
    <row r="15" spans="1:9" s="275" customFormat="1" ht="12.75" customHeight="1" x14ac:dyDescent="0.25">
      <c r="A15" s="286"/>
      <c r="B15" s="287"/>
      <c r="C15" s="288"/>
      <c r="D15" s="290"/>
      <c r="E15" s="290">
        <f t="shared" si="0"/>
        <v>15864.97</v>
      </c>
      <c r="F15" s="295"/>
      <c r="G15" s="291">
        <f t="shared" si="1"/>
        <v>4899.42</v>
      </c>
      <c r="H15" s="291">
        <f t="shared" si="2"/>
        <v>10965.55</v>
      </c>
      <c r="I15" s="292"/>
    </row>
    <row r="16" spans="1:9" s="275" customFormat="1" ht="12.75" customHeight="1" x14ac:dyDescent="0.25">
      <c r="A16" s="286"/>
      <c r="B16" s="287"/>
      <c r="C16" s="288"/>
      <c r="D16" s="290"/>
      <c r="E16" s="290">
        <f t="shared" si="0"/>
        <v>15864.97</v>
      </c>
      <c r="F16" s="295"/>
      <c r="G16" s="291">
        <f t="shared" si="1"/>
        <v>4899.42</v>
      </c>
      <c r="H16" s="291">
        <f t="shared" si="2"/>
        <v>10965.55</v>
      </c>
      <c r="I16" s="292"/>
    </row>
    <row r="17" spans="1:9" s="275" customFormat="1" ht="12.75" customHeight="1" x14ac:dyDescent="0.25">
      <c r="A17" s="286"/>
      <c r="B17" s="287"/>
      <c r="C17" s="288"/>
      <c r="D17" s="290"/>
      <c r="E17" s="290">
        <f t="shared" si="0"/>
        <v>15864.97</v>
      </c>
      <c r="F17" s="295"/>
      <c r="G17" s="291">
        <f t="shared" si="1"/>
        <v>4899.42</v>
      </c>
      <c r="H17" s="291">
        <f t="shared" si="2"/>
        <v>10965.55</v>
      </c>
      <c r="I17" s="292"/>
    </row>
    <row r="18" spans="1:9" s="275" customFormat="1" ht="12.75" customHeight="1" x14ac:dyDescent="0.25">
      <c r="A18" s="286"/>
      <c r="B18" s="287"/>
      <c r="C18" s="288"/>
      <c r="D18" s="290"/>
      <c r="E18" s="290">
        <f t="shared" si="0"/>
        <v>15864.97</v>
      </c>
      <c r="F18" s="295"/>
      <c r="G18" s="291">
        <f t="shared" si="1"/>
        <v>4899.42</v>
      </c>
      <c r="H18" s="291">
        <f t="shared" si="2"/>
        <v>10965.55</v>
      </c>
      <c r="I18" s="292"/>
    </row>
    <row r="19" spans="1:9" s="275" customFormat="1" ht="12.75" customHeight="1" x14ac:dyDescent="0.25">
      <c r="A19" s="286"/>
      <c r="B19" s="287"/>
      <c r="C19" s="288"/>
      <c r="D19" s="290"/>
      <c r="E19" s="290">
        <f t="shared" si="0"/>
        <v>15864.97</v>
      </c>
      <c r="F19" s="291"/>
      <c r="G19" s="291">
        <f t="shared" si="1"/>
        <v>4899.42</v>
      </c>
      <c r="H19" s="291">
        <f t="shared" si="2"/>
        <v>10965.55</v>
      </c>
      <c r="I19" s="292"/>
    </row>
    <row r="20" spans="1:9" s="275" customFormat="1" ht="12.75" customHeight="1" x14ac:dyDescent="0.25">
      <c r="A20" s="286"/>
      <c r="B20" s="287"/>
      <c r="C20" s="288"/>
      <c r="D20" s="290"/>
      <c r="E20" s="290">
        <f t="shared" si="0"/>
        <v>15864.97</v>
      </c>
      <c r="F20" s="291"/>
      <c r="G20" s="291">
        <f t="shared" si="1"/>
        <v>4899.42</v>
      </c>
      <c r="H20" s="291">
        <f t="shared" si="2"/>
        <v>10965.55</v>
      </c>
      <c r="I20" s="292"/>
    </row>
    <row r="21" spans="1:9" s="275" customFormat="1" ht="12.75" customHeight="1" x14ac:dyDescent="0.25">
      <c r="A21" s="286"/>
      <c r="B21" s="287"/>
      <c r="C21" s="296"/>
      <c r="D21" s="290"/>
      <c r="E21" s="290">
        <f t="shared" si="0"/>
        <v>15864.97</v>
      </c>
      <c r="F21" s="291"/>
      <c r="G21" s="291">
        <f t="shared" si="1"/>
        <v>4899.42</v>
      </c>
      <c r="H21" s="291">
        <f t="shared" si="2"/>
        <v>10965.55</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15864.97</v>
      </c>
      <c r="E23" s="302"/>
      <c r="F23" s="302">
        <f>SUM(F9:F22)</f>
        <v>4899.42</v>
      </c>
      <c r="G23" s="302"/>
      <c r="H23" s="302">
        <f>D23-F23</f>
        <v>10965.55</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15444.97</v>
      </c>
      <c r="E26" s="313"/>
      <c r="F26" s="313">
        <f>3541.59+1296.83</f>
        <v>4838.42</v>
      </c>
      <c r="G26" s="313"/>
      <c r="H26" s="313">
        <f>D26-F26</f>
        <v>10606.55</v>
      </c>
      <c r="I26" s="292"/>
    </row>
    <row r="27" spans="1:9" s="275" customFormat="1" ht="12.75" customHeight="1" x14ac:dyDescent="0.25">
      <c r="A27" s="286"/>
      <c r="B27" s="288"/>
      <c r="C27" s="312" t="s">
        <v>113</v>
      </c>
      <c r="D27" s="313">
        <v>420</v>
      </c>
      <c r="E27" s="313"/>
      <c r="F27" s="313">
        <f>47+14</f>
        <v>61</v>
      </c>
      <c r="G27" s="313"/>
      <c r="H27" s="313">
        <f>D27-F27</f>
        <v>359</v>
      </c>
      <c r="I27" s="292"/>
    </row>
    <row r="28" spans="1:9" s="275" customFormat="1" ht="12.75" customHeight="1" thickBot="1" x14ac:dyDescent="0.3">
      <c r="A28" s="286"/>
      <c r="B28" s="288"/>
      <c r="C28" s="314" t="s">
        <v>67</v>
      </c>
      <c r="D28" s="315">
        <f>SUM(D26:D27)</f>
        <v>15864.97</v>
      </c>
      <c r="E28" s="316"/>
      <c r="F28" s="315">
        <f>SUM(F26:F27)</f>
        <v>4899.42</v>
      </c>
      <c r="G28" s="316"/>
      <c r="H28" s="315">
        <f>SUM(H26:H27)</f>
        <v>10965.55</v>
      </c>
      <c r="I28" s="292"/>
    </row>
    <row r="29" spans="1:9" s="275" customFormat="1" ht="12.75" customHeight="1" thickTop="1" x14ac:dyDescent="0.25"/>
    <row r="30" spans="1:9" s="275" customFormat="1" ht="12.75" customHeight="1" x14ac:dyDescent="0.25"/>
  </sheetData>
  <conditionalFormatting sqref="I8:I23">
    <cfRule type="cellIs" dxfId="14"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EA4A-87F3-406F-8B40-CC5ED33D48EC}">
  <sheetPr>
    <tabColor indexed="30"/>
    <pageSetUpPr fitToPage="1"/>
  </sheetPr>
  <dimension ref="A1:J161"/>
  <sheetViews>
    <sheetView zoomScaleNormal="100" workbookViewId="0">
      <selection activeCell="L24" sqref="L24"/>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#9455.00'!B1</f>
        <v>IDOE ISD Giangreco Hall Water Infiltration Mitigation</v>
      </c>
      <c r="B1" s="3"/>
      <c r="C1" s="3"/>
      <c r="D1" s="4"/>
      <c r="E1" s="4"/>
      <c r="F1" s="4"/>
      <c r="G1" s="33"/>
      <c r="H1" s="33"/>
      <c r="I1" s="34"/>
      <c r="J1" s="34"/>
    </row>
    <row r="2" spans="1:10" ht="15.75" x14ac:dyDescent="0.25">
      <c r="A2" s="6" t="str">
        <f>'RECAP #9455.00'!B2</f>
        <v>Project # 9455.00</v>
      </c>
      <c r="B2" s="5"/>
      <c r="C2" s="5"/>
      <c r="D2" s="4"/>
      <c r="E2" s="4"/>
      <c r="F2" s="4"/>
      <c r="G2" s="33"/>
      <c r="H2" s="33"/>
      <c r="I2" s="34"/>
      <c r="J2" s="34"/>
    </row>
    <row r="3" spans="1:10" ht="15.75" x14ac:dyDescent="0.25">
      <c r="A3" s="7" t="str">
        <f>'RECAP #9455.00'!B3</f>
        <v>Program code 945500</v>
      </c>
      <c r="B3" s="5"/>
      <c r="C3" s="5"/>
      <c r="D3" s="4"/>
      <c r="E3" s="8" t="str">
        <f>'RECAP #9455.00'!E3</f>
        <v>Major Program 4F04</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363</v>
      </c>
      <c r="F6" s="49"/>
      <c r="G6" s="50"/>
      <c r="H6" s="46"/>
      <c r="I6" s="41"/>
      <c r="J6" s="34"/>
    </row>
    <row r="7" spans="1:10" ht="15.75" x14ac:dyDescent="0.25">
      <c r="A7" s="13" t="str">
        <f>'RECAP #9455.00'!B6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330"/>
      <c r="F9" s="290">
        <f>E9</f>
        <v>0</v>
      </c>
      <c r="G9" s="291"/>
      <c r="H9" s="291"/>
      <c r="I9" s="291">
        <f>F9</f>
        <v>0</v>
      </c>
      <c r="J9" s="292"/>
    </row>
    <row r="10" spans="1:10" s="275" customFormat="1" ht="12.75" customHeight="1" x14ac:dyDescent="0.25">
      <c r="A10" s="222"/>
      <c r="B10" s="293"/>
      <c r="C10" s="293"/>
      <c r="D10" s="297"/>
      <c r="E10" s="290"/>
      <c r="F10" s="290">
        <f t="shared" ref="F10:F21" si="0">F9+E10</f>
        <v>0</v>
      </c>
      <c r="G10" s="295"/>
      <c r="H10" s="291">
        <f t="shared" ref="H10:H21" si="1">H9+G10</f>
        <v>0</v>
      </c>
      <c r="I10" s="291">
        <f t="shared" ref="I10:I21" si="2">I9-G10+E10</f>
        <v>0</v>
      </c>
      <c r="J10" s="292"/>
    </row>
    <row r="11" spans="1:10" s="275" customFormat="1" ht="12.75" customHeight="1" x14ac:dyDescent="0.25">
      <c r="A11" s="317"/>
      <c r="B11" s="287"/>
      <c r="C11" s="287"/>
      <c r="D11" s="297"/>
      <c r="E11" s="290"/>
      <c r="F11" s="290">
        <f t="shared" si="0"/>
        <v>0</v>
      </c>
      <c r="G11" s="295"/>
      <c r="H11" s="291">
        <f t="shared" si="1"/>
        <v>0</v>
      </c>
      <c r="I11" s="291">
        <f t="shared" si="2"/>
        <v>0</v>
      </c>
      <c r="J11" s="292"/>
    </row>
    <row r="12" spans="1:10" s="275" customFormat="1" ht="12.75" customHeight="1" x14ac:dyDescent="0.25">
      <c r="A12" s="317"/>
      <c r="B12" s="287"/>
      <c r="C12" s="287"/>
      <c r="D12" s="297"/>
      <c r="E12" s="290"/>
      <c r="F12" s="290">
        <f t="shared" si="0"/>
        <v>0</v>
      </c>
      <c r="G12" s="295"/>
      <c r="H12" s="291">
        <f t="shared" si="1"/>
        <v>0</v>
      </c>
      <c r="I12" s="291">
        <f t="shared" si="2"/>
        <v>0</v>
      </c>
      <c r="J12" s="292"/>
    </row>
    <row r="13" spans="1:10" s="275" customFormat="1" ht="12.75" customHeight="1" x14ac:dyDescent="0.25">
      <c r="A13" s="317"/>
      <c r="B13" s="287"/>
      <c r="C13" s="287"/>
      <c r="D13" s="297"/>
      <c r="E13" s="290"/>
      <c r="F13" s="290">
        <f t="shared" si="0"/>
        <v>0</v>
      </c>
      <c r="G13" s="295"/>
      <c r="H13" s="291">
        <f t="shared" si="1"/>
        <v>0</v>
      </c>
      <c r="I13" s="291">
        <f t="shared" si="2"/>
        <v>0</v>
      </c>
      <c r="J13" s="292"/>
    </row>
    <row r="14" spans="1:10" s="275" customFormat="1" ht="12.75" customHeight="1" x14ac:dyDescent="0.25">
      <c r="A14" s="317"/>
      <c r="B14" s="287"/>
      <c r="C14" s="287"/>
      <c r="D14" s="297"/>
      <c r="E14" s="290"/>
      <c r="F14" s="290">
        <f t="shared" si="0"/>
        <v>0</v>
      </c>
      <c r="G14" s="291"/>
      <c r="H14" s="291">
        <f t="shared" si="1"/>
        <v>0</v>
      </c>
      <c r="I14" s="291">
        <f t="shared" si="2"/>
        <v>0</v>
      </c>
      <c r="J14" s="292"/>
    </row>
    <row r="15" spans="1:10" s="275" customFormat="1" ht="12.75" customHeight="1" x14ac:dyDescent="0.25">
      <c r="A15" s="317"/>
      <c r="B15" s="287"/>
      <c r="C15" s="287"/>
      <c r="D15" s="297"/>
      <c r="E15" s="290"/>
      <c r="F15" s="290">
        <f t="shared" si="0"/>
        <v>0</v>
      </c>
      <c r="G15" s="295"/>
      <c r="H15" s="291">
        <f t="shared" si="1"/>
        <v>0</v>
      </c>
      <c r="I15" s="291">
        <f t="shared" si="2"/>
        <v>0</v>
      </c>
      <c r="J15" s="292"/>
    </row>
    <row r="16" spans="1:10" s="275" customFormat="1" ht="12.75" customHeight="1" x14ac:dyDescent="0.25">
      <c r="A16" s="317"/>
      <c r="B16" s="287"/>
      <c r="C16" s="287"/>
      <c r="D16" s="297"/>
      <c r="E16" s="290"/>
      <c r="F16" s="290">
        <f t="shared" si="0"/>
        <v>0</v>
      </c>
      <c r="G16" s="295"/>
      <c r="H16" s="291">
        <f t="shared" si="1"/>
        <v>0</v>
      </c>
      <c r="I16" s="291">
        <f t="shared" si="2"/>
        <v>0</v>
      </c>
      <c r="J16" s="292"/>
    </row>
    <row r="17" spans="1:10" s="275" customFormat="1" ht="12.75" customHeight="1" x14ac:dyDescent="0.25">
      <c r="A17" s="317"/>
      <c r="B17" s="287"/>
      <c r="C17" s="287"/>
      <c r="D17" s="297"/>
      <c r="E17" s="290"/>
      <c r="F17" s="290">
        <f t="shared" si="0"/>
        <v>0</v>
      </c>
      <c r="G17" s="295"/>
      <c r="H17" s="291">
        <f t="shared" si="1"/>
        <v>0</v>
      </c>
      <c r="I17" s="291">
        <f t="shared" si="2"/>
        <v>0</v>
      </c>
      <c r="J17" s="292"/>
    </row>
    <row r="18" spans="1:10" s="275" customFormat="1" ht="12.75" customHeight="1" x14ac:dyDescent="0.25">
      <c r="A18" s="317"/>
      <c r="B18" s="287"/>
      <c r="C18" s="287"/>
      <c r="D18" s="297"/>
      <c r="E18" s="290"/>
      <c r="F18" s="290">
        <f t="shared" si="0"/>
        <v>0</v>
      </c>
      <c r="G18" s="295"/>
      <c r="H18" s="291">
        <f t="shared" si="1"/>
        <v>0</v>
      </c>
      <c r="I18" s="291">
        <f t="shared" si="2"/>
        <v>0</v>
      </c>
      <c r="J18" s="292"/>
    </row>
    <row r="19" spans="1:10" s="275" customFormat="1" ht="12.75" customHeight="1" x14ac:dyDescent="0.25">
      <c r="A19" s="298"/>
      <c r="B19" s="287"/>
      <c r="C19" s="287"/>
      <c r="D19" s="297"/>
      <c r="E19" s="290"/>
      <c r="F19" s="290">
        <f t="shared" si="0"/>
        <v>0</v>
      </c>
      <c r="G19" s="291"/>
      <c r="H19" s="291">
        <f t="shared" si="1"/>
        <v>0</v>
      </c>
      <c r="I19" s="291">
        <f t="shared" si="2"/>
        <v>0</v>
      </c>
      <c r="J19" s="292"/>
    </row>
    <row r="20" spans="1:10" s="275" customFormat="1" ht="12.75" customHeight="1" x14ac:dyDescent="0.25">
      <c r="A20" s="298"/>
      <c r="B20" s="287"/>
      <c r="C20" s="287"/>
      <c r="D20" s="297"/>
      <c r="E20" s="290"/>
      <c r="F20" s="290">
        <f t="shared" si="0"/>
        <v>0</v>
      </c>
      <c r="G20" s="291"/>
      <c r="H20" s="291">
        <f t="shared" si="1"/>
        <v>0</v>
      </c>
      <c r="I20" s="291">
        <f t="shared" si="2"/>
        <v>0</v>
      </c>
      <c r="J20" s="292"/>
    </row>
    <row r="21" spans="1:10" s="275" customFormat="1" ht="12.75" customHeight="1" x14ac:dyDescent="0.25">
      <c r="A21" s="298"/>
      <c r="B21" s="287"/>
      <c r="C21" s="287"/>
      <c r="D21" s="318"/>
      <c r="E21" s="290"/>
      <c r="F21" s="290">
        <f t="shared" si="0"/>
        <v>0</v>
      </c>
      <c r="G21" s="291"/>
      <c r="H21" s="291">
        <f t="shared" si="1"/>
        <v>0</v>
      </c>
      <c r="I21" s="291">
        <f t="shared" si="2"/>
        <v>0</v>
      </c>
      <c r="J21" s="292"/>
    </row>
    <row r="22" spans="1:10" s="275" customFormat="1" ht="12.75" customHeight="1" x14ac:dyDescent="0.25">
      <c r="A22" s="286"/>
      <c r="B22" s="288"/>
      <c r="C22" s="288"/>
      <c r="D22" s="297"/>
      <c r="E22" s="291"/>
      <c r="F22" s="291"/>
      <c r="G22" s="291"/>
      <c r="H22" s="291"/>
      <c r="I22" s="291"/>
      <c r="J22" s="292"/>
    </row>
    <row r="23" spans="1:10" s="275" customFormat="1" ht="12.75" customHeight="1" thickBot="1" x14ac:dyDescent="0.3">
      <c r="A23" s="286"/>
      <c r="B23" s="300"/>
      <c r="C23" s="300"/>
      <c r="D23" s="301" t="s">
        <v>24</v>
      </c>
      <c r="E23" s="302">
        <f>SUM(E9:E22)</f>
        <v>0</v>
      </c>
      <c r="F23" s="302"/>
      <c r="G23" s="302">
        <f>SUM(G9:G22)</f>
        <v>0</v>
      </c>
      <c r="H23" s="302"/>
      <c r="I23" s="302">
        <f>E23-G23</f>
        <v>0</v>
      </c>
      <c r="J23" s="292"/>
    </row>
    <row r="24" spans="1:10" s="275" customFormat="1" ht="12.75" customHeight="1" thickTop="1" x14ac:dyDescent="0.25"/>
    <row r="25" spans="1:10" s="275" customFormat="1" ht="12.75" customHeight="1" x14ac:dyDescent="0.25"/>
    <row r="26" spans="1:10" s="275" customFormat="1" ht="12.75" customHeight="1" x14ac:dyDescent="0.25"/>
    <row r="27" spans="1:10" s="275" customFormat="1" ht="12.75" customHeight="1" x14ac:dyDescent="0.25"/>
    <row r="28" spans="1:10" s="275" customFormat="1" ht="12.75" customHeight="1" x14ac:dyDescent="0.25"/>
    <row r="29" spans="1:10" s="275" customFormat="1" ht="12.75" customHeight="1" x14ac:dyDescent="0.25"/>
    <row r="30" spans="1:10" s="275" customFormat="1" ht="12.75" customHeight="1" x14ac:dyDescent="0.25"/>
    <row r="31" spans="1:10" s="275" customFormat="1" ht="12.75" customHeight="1" x14ac:dyDescent="0.25"/>
    <row r="32" spans="1:10" s="275" customFormat="1" ht="12.75" customHeight="1" x14ac:dyDescent="0.25"/>
    <row r="33" s="275" customFormat="1" ht="12.75" customHeight="1" x14ac:dyDescent="0.25"/>
    <row r="34" s="275" customFormat="1" ht="12.75" customHeight="1" x14ac:dyDescent="0.25"/>
    <row r="35" s="275" customFormat="1" ht="12.75" customHeight="1" x14ac:dyDescent="0.25"/>
    <row r="36" s="275" customFormat="1" ht="12.75" customHeight="1" x14ac:dyDescent="0.25"/>
    <row r="37" s="275" customFormat="1" ht="12.75" customHeight="1" x14ac:dyDescent="0.25"/>
    <row r="38" s="275" customFormat="1" ht="12.75" customHeight="1" x14ac:dyDescent="0.25"/>
    <row r="39" s="275" customFormat="1" ht="12.75" customHeight="1" x14ac:dyDescent="0.25"/>
    <row r="40" s="275" customFormat="1" ht="12.75" customHeight="1" x14ac:dyDescent="0.25"/>
    <row r="41" s="275" customFormat="1" ht="12.75" customHeight="1" x14ac:dyDescent="0.25"/>
    <row r="42" s="275" customFormat="1" ht="12.75" customHeight="1" x14ac:dyDescent="0.25"/>
    <row r="43" s="275" customFormat="1" ht="12.75" customHeight="1" x14ac:dyDescent="0.25"/>
    <row r="44" s="275" customFormat="1" ht="12.75" customHeight="1" x14ac:dyDescent="0.25"/>
    <row r="45" s="275" customFormat="1" ht="12.75" customHeight="1" x14ac:dyDescent="0.25"/>
    <row r="46" s="275" customFormat="1" ht="12.75" customHeight="1" x14ac:dyDescent="0.25"/>
    <row r="47" s="275" customFormat="1" ht="12.75" customHeight="1" x14ac:dyDescent="0.25"/>
    <row r="48" s="275" customFormat="1" ht="12.75" customHeight="1" x14ac:dyDescent="0.25"/>
    <row r="49" s="275" customFormat="1" ht="12.75" customHeight="1" x14ac:dyDescent="0.25"/>
    <row r="50" s="275" customFormat="1" ht="12.75" customHeight="1" x14ac:dyDescent="0.25"/>
    <row r="51" s="275" customFormat="1" ht="12.75" customHeight="1" x14ac:dyDescent="0.25"/>
    <row r="52" s="275" customFormat="1" ht="12.75" customHeight="1" x14ac:dyDescent="0.25"/>
    <row r="53" s="275" customFormat="1" ht="12.75" customHeight="1" x14ac:dyDescent="0.25"/>
    <row r="54" s="275" customFormat="1" ht="12.75" customHeight="1" x14ac:dyDescent="0.25"/>
    <row r="55" s="275" customFormat="1" ht="12.75" customHeight="1" x14ac:dyDescent="0.25"/>
    <row r="56" s="275" customFormat="1" ht="12.75" customHeight="1" x14ac:dyDescent="0.25"/>
    <row r="57" s="275" customFormat="1" ht="12.75" customHeight="1" x14ac:dyDescent="0.25"/>
    <row r="58" s="275" customFormat="1" ht="12.75" customHeight="1" x14ac:dyDescent="0.25"/>
    <row r="59" s="275" customFormat="1" ht="12.75" customHeight="1" x14ac:dyDescent="0.25"/>
    <row r="60" s="275" customFormat="1" ht="12.75" customHeight="1" x14ac:dyDescent="0.25"/>
    <row r="61" s="275" customFormat="1" ht="12.75" customHeight="1" x14ac:dyDescent="0.25"/>
    <row r="62" s="275" customFormat="1" ht="12.75" customHeight="1" x14ac:dyDescent="0.25"/>
    <row r="63" s="275" customFormat="1" ht="12.75" customHeight="1" x14ac:dyDescent="0.25"/>
    <row r="64" s="275" customFormat="1" ht="12.75" customHeight="1" x14ac:dyDescent="0.25"/>
    <row r="65" s="275" customFormat="1" ht="12.75" customHeight="1" x14ac:dyDescent="0.25"/>
    <row r="66" s="275" customFormat="1" ht="12.75" customHeight="1" x14ac:dyDescent="0.25"/>
    <row r="67" s="275" customFormat="1" ht="12.75" customHeight="1" x14ac:dyDescent="0.25"/>
    <row r="68" s="275" customFormat="1" ht="12.75" customHeight="1" x14ac:dyDescent="0.25"/>
    <row r="69" s="275" customFormat="1" ht="12.75" customHeight="1" x14ac:dyDescent="0.25"/>
    <row r="70" s="275" customFormat="1" ht="12.75" customHeight="1" x14ac:dyDescent="0.25"/>
    <row r="71" s="275" customFormat="1" ht="12.75" customHeight="1" x14ac:dyDescent="0.25"/>
    <row r="72" s="275" customFormat="1" ht="12.75" customHeight="1" x14ac:dyDescent="0.25"/>
    <row r="73" s="275" customFormat="1" ht="12.75" customHeight="1" x14ac:dyDescent="0.25"/>
    <row r="74" s="275" customFormat="1" ht="12.75" customHeight="1" x14ac:dyDescent="0.25"/>
    <row r="75" s="275" customFormat="1" ht="12.75" customHeight="1" x14ac:dyDescent="0.25"/>
    <row r="76" s="275" customFormat="1" ht="12.75" customHeight="1" x14ac:dyDescent="0.25"/>
    <row r="77" s="275" customFormat="1" ht="12.75" customHeight="1" x14ac:dyDescent="0.25"/>
    <row r="78" s="275" customFormat="1" ht="12.75" customHeight="1" x14ac:dyDescent="0.25"/>
    <row r="79" s="275" customFormat="1" ht="12.75" customHeight="1" x14ac:dyDescent="0.25"/>
    <row r="80" s="275" customFormat="1" ht="12.75" customHeight="1" x14ac:dyDescent="0.25"/>
    <row r="81" s="275" customFormat="1" ht="12.75" customHeight="1" x14ac:dyDescent="0.25"/>
    <row r="82" s="275" customFormat="1" ht="12.75" customHeight="1" x14ac:dyDescent="0.25"/>
    <row r="83" s="275" customFormat="1" ht="12.75" customHeight="1" x14ac:dyDescent="0.25"/>
    <row r="84" s="275" customFormat="1" ht="12.75" customHeight="1" x14ac:dyDescent="0.25"/>
    <row r="85" s="275" customFormat="1" ht="12.75" customHeight="1" x14ac:dyDescent="0.25"/>
    <row r="86" s="275" customFormat="1" ht="12.75" customHeight="1" x14ac:dyDescent="0.25"/>
    <row r="87" s="275" customFormat="1" ht="12.75" customHeight="1" x14ac:dyDescent="0.25"/>
    <row r="88" s="275" customFormat="1" ht="12.75" customHeight="1" x14ac:dyDescent="0.25"/>
    <row r="89" s="275" customFormat="1" ht="12.75" customHeight="1" x14ac:dyDescent="0.25"/>
    <row r="90" s="275" customFormat="1" ht="12.75" customHeight="1" x14ac:dyDescent="0.25"/>
    <row r="91" s="275" customFormat="1" ht="12.75" customHeight="1" x14ac:dyDescent="0.25"/>
    <row r="92" s="275" customFormat="1" ht="12.75" customHeight="1" x14ac:dyDescent="0.25"/>
    <row r="93" s="275" customFormat="1" ht="12.75" customHeight="1" x14ac:dyDescent="0.25"/>
    <row r="94" s="275" customFormat="1" ht="12.75" customHeight="1" x14ac:dyDescent="0.25"/>
    <row r="95" s="275" customFormat="1" ht="12.75" customHeight="1" x14ac:dyDescent="0.25"/>
    <row r="96" s="275" customFormat="1" ht="12.75" customHeight="1" x14ac:dyDescent="0.25"/>
    <row r="97" s="275" customFormat="1" ht="12.75" customHeight="1" x14ac:dyDescent="0.25"/>
    <row r="98" s="275" customFormat="1" ht="12.75" customHeight="1" x14ac:dyDescent="0.25"/>
    <row r="99" s="275" customFormat="1" ht="12.75" customHeight="1" x14ac:dyDescent="0.25"/>
    <row r="100" s="275" customFormat="1" ht="12.75" customHeight="1" x14ac:dyDescent="0.25"/>
    <row r="101" s="275" customFormat="1" ht="12.75" customHeight="1" x14ac:dyDescent="0.25"/>
    <row r="102" s="275" customFormat="1" ht="12.75" customHeight="1" x14ac:dyDescent="0.25"/>
    <row r="103" s="275" customFormat="1" ht="12.75" customHeight="1" x14ac:dyDescent="0.25"/>
    <row r="104" s="275" customFormat="1" ht="12.75" customHeight="1" x14ac:dyDescent="0.25"/>
    <row r="105" s="275" customFormat="1" ht="12.75" customHeight="1" x14ac:dyDescent="0.25"/>
    <row r="106" s="275" customFormat="1" ht="12.75" customHeight="1" x14ac:dyDescent="0.25"/>
    <row r="107" s="275" customFormat="1" ht="12.75" customHeight="1" x14ac:dyDescent="0.25"/>
    <row r="108" s="275" customFormat="1" ht="12.75" customHeight="1" x14ac:dyDescent="0.25"/>
    <row r="109" s="275" customFormat="1" ht="12.75" customHeight="1" x14ac:dyDescent="0.25"/>
    <row r="110" s="275" customFormat="1" ht="12.75" customHeight="1" x14ac:dyDescent="0.25"/>
    <row r="111" s="275" customFormat="1" ht="12.75" customHeight="1" x14ac:dyDescent="0.25"/>
    <row r="112" s="275" customFormat="1" ht="12.75" customHeight="1" x14ac:dyDescent="0.25"/>
    <row r="113" s="275" customFormat="1" ht="12.75" customHeight="1" x14ac:dyDescent="0.25"/>
    <row r="114" s="275" customFormat="1" ht="12.75" customHeight="1" x14ac:dyDescent="0.25"/>
    <row r="115" s="275" customFormat="1" ht="12.75" customHeight="1" x14ac:dyDescent="0.25"/>
    <row r="116" s="275" customFormat="1" ht="12.75" customHeight="1" x14ac:dyDescent="0.25"/>
    <row r="117" s="275" customFormat="1" ht="12.75" customHeight="1" x14ac:dyDescent="0.25"/>
    <row r="118" s="275" customFormat="1" ht="12.75" customHeight="1" x14ac:dyDescent="0.25"/>
    <row r="119" s="275" customFormat="1" ht="12.75" customHeight="1" x14ac:dyDescent="0.25"/>
    <row r="120" s="275" customFormat="1" ht="12.75" customHeight="1" x14ac:dyDescent="0.25"/>
    <row r="121" s="275" customFormat="1" ht="12.75" customHeight="1" x14ac:dyDescent="0.25"/>
    <row r="122" s="275" customFormat="1" ht="12.75" customHeight="1" x14ac:dyDescent="0.25"/>
    <row r="123" s="275" customFormat="1" ht="12.75" customHeight="1" x14ac:dyDescent="0.25"/>
    <row r="124" s="275" customFormat="1" ht="12.75" customHeight="1" x14ac:dyDescent="0.25"/>
    <row r="125" s="275" customFormat="1" ht="12.75" customHeight="1" x14ac:dyDescent="0.25"/>
    <row r="126" s="275" customFormat="1" ht="12.75" customHeight="1" x14ac:dyDescent="0.25"/>
    <row r="127" s="275" customFormat="1" ht="12.75" customHeight="1" x14ac:dyDescent="0.25"/>
    <row r="128" s="275" customFormat="1" ht="12.75" customHeight="1" x14ac:dyDescent="0.25"/>
    <row r="129" s="275" customFormat="1" ht="12.75" customHeight="1" x14ac:dyDescent="0.25"/>
    <row r="130" s="275" customFormat="1" ht="12.75" customHeight="1" x14ac:dyDescent="0.25"/>
    <row r="131" s="275" customFormat="1" ht="12.75" customHeight="1" x14ac:dyDescent="0.25"/>
    <row r="132" s="275" customFormat="1" ht="12.75" customHeight="1" x14ac:dyDescent="0.25"/>
    <row r="133" s="275" customFormat="1" ht="12.75" customHeight="1" x14ac:dyDescent="0.25"/>
    <row r="134" s="275" customFormat="1" ht="12.75" customHeight="1" x14ac:dyDescent="0.25"/>
    <row r="135" s="275" customFormat="1" ht="12.75" customHeight="1" x14ac:dyDescent="0.25"/>
    <row r="136" s="275" customFormat="1" ht="12.75" customHeight="1" x14ac:dyDescent="0.25"/>
    <row r="137" s="275" customFormat="1" ht="12.75" customHeight="1" x14ac:dyDescent="0.25"/>
    <row r="138" s="275" customFormat="1" ht="12.75" customHeight="1" x14ac:dyDescent="0.25"/>
    <row r="139" s="275" customFormat="1" ht="12.75" customHeight="1" x14ac:dyDescent="0.25"/>
    <row r="140" s="275" customFormat="1" ht="12.75" customHeight="1" x14ac:dyDescent="0.25"/>
    <row r="141" s="275" customFormat="1" ht="12.75" customHeight="1" x14ac:dyDescent="0.25"/>
    <row r="142" s="275" customFormat="1" ht="12.75" customHeight="1" x14ac:dyDescent="0.25"/>
    <row r="143" s="275" customFormat="1" ht="12.75" customHeight="1" x14ac:dyDescent="0.25"/>
    <row r="144" s="275" customFormat="1" ht="12.75" customHeight="1" x14ac:dyDescent="0.25"/>
    <row r="145" s="275" customFormat="1" ht="12.75" customHeight="1" x14ac:dyDescent="0.25"/>
    <row r="146" s="275" customFormat="1" ht="12.75" customHeight="1" x14ac:dyDescent="0.25"/>
    <row r="147" s="275" customFormat="1" ht="12.75" customHeight="1" x14ac:dyDescent="0.25"/>
    <row r="148" s="275" customFormat="1" ht="12.75" customHeight="1" x14ac:dyDescent="0.25"/>
    <row r="149" s="275" customFormat="1" ht="12.75" customHeight="1" x14ac:dyDescent="0.25"/>
    <row r="150" s="275" customFormat="1" ht="12.75" customHeight="1" x14ac:dyDescent="0.25"/>
    <row r="151" s="275" customFormat="1" ht="12.75" customHeight="1" x14ac:dyDescent="0.25"/>
    <row r="152" s="275" customFormat="1" ht="12.75" customHeight="1" x14ac:dyDescent="0.25"/>
    <row r="153" s="275" customFormat="1" ht="12.75" customHeight="1" x14ac:dyDescent="0.25"/>
    <row r="154" s="275" customFormat="1" ht="12.75" customHeight="1" x14ac:dyDescent="0.25"/>
    <row r="155" s="275" customFormat="1" ht="12.75" customHeight="1" x14ac:dyDescent="0.25"/>
    <row r="156" s="275" customFormat="1" ht="12.75" customHeight="1" x14ac:dyDescent="0.25"/>
    <row r="157" s="275" customFormat="1" ht="12.75" customHeight="1" x14ac:dyDescent="0.25"/>
    <row r="158" s="275" customFormat="1" ht="12.75" customHeight="1" x14ac:dyDescent="0.25"/>
    <row r="159" s="275" customFormat="1" ht="12.75" customHeight="1" x14ac:dyDescent="0.25"/>
    <row r="160" s="275" customFormat="1" ht="12.75" customHeight="1" x14ac:dyDescent="0.25"/>
    <row r="161" s="275"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6F93-F62F-4158-9834-A48BD04487B4}">
  <sheetPr>
    <pageSetUpPr fitToPage="1"/>
  </sheetPr>
  <dimension ref="A1:J30"/>
  <sheetViews>
    <sheetView zoomScaleNormal="100" workbookViewId="0">
      <selection activeCell="G29" sqref="G29"/>
    </sheetView>
  </sheetViews>
  <sheetFormatPr defaultColWidth="11.42578125" defaultRowHeight="15" customHeight="1" x14ac:dyDescent="0.25"/>
  <cols>
    <col min="1" max="1" width="24.5703125" customWidth="1"/>
    <col min="2" max="3" width="9.42578125" customWidth="1"/>
    <col min="4" max="4" width="37.28515625" customWidth="1"/>
    <col min="5" max="5" width="12.5703125" customWidth="1"/>
    <col min="6" max="6" width="13.5703125" customWidth="1"/>
    <col min="7" max="7" width="12.42578125" customWidth="1"/>
    <col min="8" max="8" width="10.5703125" customWidth="1"/>
    <col min="9" max="9" width="13.5703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#9511.00'!B1</f>
        <v>DPS P13 Upper Parking Lot Replacement</v>
      </c>
      <c r="B1" s="3"/>
      <c r="C1" s="3"/>
      <c r="D1" s="4"/>
      <c r="E1" s="4"/>
      <c r="F1" s="4"/>
      <c r="G1" s="33"/>
      <c r="H1" s="33"/>
      <c r="I1" s="34"/>
      <c r="J1" s="34"/>
    </row>
    <row r="2" spans="1:10" ht="15.75" x14ac:dyDescent="0.25">
      <c r="A2" s="6" t="str">
        <f>'RECAP #9511.00'!B2</f>
        <v>Project # 9511.00</v>
      </c>
      <c r="B2" s="5"/>
      <c r="C2" s="5"/>
      <c r="D2" s="4"/>
      <c r="E2" s="4"/>
      <c r="F2" s="4"/>
      <c r="G2" s="33"/>
      <c r="H2" s="33"/>
      <c r="I2" s="34"/>
      <c r="J2" s="34"/>
    </row>
    <row r="3" spans="1:10" ht="15.75" x14ac:dyDescent="0.25">
      <c r="A3" s="7" t="str">
        <f>'RECAP #9511.00'!B3</f>
        <v>Program code 951100</v>
      </c>
      <c r="B3" s="5"/>
      <c r="C3" s="5"/>
      <c r="D3" s="4"/>
      <c r="E3" s="8" t="str">
        <f>'RECAP #9511.00'!E3</f>
        <v>Major Program 4E12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255</v>
      </c>
      <c r="F6" s="49"/>
      <c r="G6" s="50"/>
      <c r="H6" s="46"/>
      <c r="I6" s="41"/>
      <c r="J6" s="34"/>
    </row>
    <row r="7" spans="1:10" ht="15.75" x14ac:dyDescent="0.25">
      <c r="A7" s="13" t="str">
        <f>'RECAP #9511.00'!B6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f>12000</f>
        <v>12000</v>
      </c>
      <c r="F9" s="290">
        <f>E9</f>
        <v>12000</v>
      </c>
      <c r="G9" s="291"/>
      <c r="H9" s="291"/>
      <c r="I9" s="291">
        <f>F9</f>
        <v>12000</v>
      </c>
      <c r="J9" s="292"/>
    </row>
    <row r="10" spans="1:10" s="275" customFormat="1" ht="12.75" customHeight="1" x14ac:dyDescent="0.25">
      <c r="A10" s="220" t="s">
        <v>268</v>
      </c>
      <c r="B10" s="221">
        <v>45937</v>
      </c>
      <c r="C10" s="329" t="s">
        <v>269</v>
      </c>
      <c r="D10" s="179" t="s">
        <v>270</v>
      </c>
      <c r="E10" s="290"/>
      <c r="F10" s="290">
        <f t="shared" ref="F10:F24" si="0">F9+E10</f>
        <v>12000</v>
      </c>
      <c r="G10" s="294">
        <v>55.62</v>
      </c>
      <c r="H10" s="291">
        <f t="shared" ref="H10:H24" si="1">H9+G10</f>
        <v>55.62</v>
      </c>
      <c r="I10" s="291">
        <f t="shared" ref="I10:I24" si="2">I9-G10+E10</f>
        <v>11944.38</v>
      </c>
      <c r="J10" s="292"/>
    </row>
    <row r="11" spans="1:10" s="275" customFormat="1" ht="12.75" customHeight="1" x14ac:dyDescent="0.25">
      <c r="A11" s="220" t="s">
        <v>268</v>
      </c>
      <c r="B11" s="221">
        <v>45937</v>
      </c>
      <c r="C11" s="329">
        <v>9500</v>
      </c>
      <c r="D11" s="222" t="s">
        <v>271</v>
      </c>
      <c r="E11" s="290"/>
      <c r="F11" s="290">
        <f t="shared" si="0"/>
        <v>12000</v>
      </c>
      <c r="G11" s="294">
        <v>287.2</v>
      </c>
      <c r="H11" s="291">
        <f t="shared" si="1"/>
        <v>342.82</v>
      </c>
      <c r="I11" s="291">
        <f t="shared" si="2"/>
        <v>11657.179999999998</v>
      </c>
      <c r="J11" s="292"/>
    </row>
    <row r="12" spans="1:10" s="275" customFormat="1" ht="12.75" customHeight="1" x14ac:dyDescent="0.25">
      <c r="A12" s="220" t="s">
        <v>322</v>
      </c>
      <c r="B12" s="221">
        <v>45968</v>
      </c>
      <c r="C12" s="329" t="s">
        <v>269</v>
      </c>
      <c r="D12" s="179" t="s">
        <v>323</v>
      </c>
      <c r="E12" s="290"/>
      <c r="F12" s="290">
        <f t="shared" si="0"/>
        <v>12000</v>
      </c>
      <c r="G12" s="294">
        <v>60.38</v>
      </c>
      <c r="H12" s="291">
        <f t="shared" si="1"/>
        <v>403.2</v>
      </c>
      <c r="I12" s="291">
        <f t="shared" si="2"/>
        <v>11596.8</v>
      </c>
      <c r="J12" s="292"/>
    </row>
    <row r="13" spans="1:10" s="275" customFormat="1" ht="12.75" customHeight="1" x14ac:dyDescent="0.25">
      <c r="A13" s="220" t="s">
        <v>322</v>
      </c>
      <c r="B13" s="221">
        <v>45968</v>
      </c>
      <c r="C13" s="329">
        <v>9500</v>
      </c>
      <c r="D13" s="222" t="s">
        <v>324</v>
      </c>
      <c r="E13" s="290"/>
      <c r="F13" s="290">
        <f t="shared" si="0"/>
        <v>12000</v>
      </c>
      <c r="G13" s="294">
        <v>507.6</v>
      </c>
      <c r="H13" s="291">
        <f t="shared" si="1"/>
        <v>910.8</v>
      </c>
      <c r="I13" s="291">
        <f t="shared" si="2"/>
        <v>11089.199999999999</v>
      </c>
      <c r="J13" s="292"/>
    </row>
    <row r="14" spans="1:10" s="275" customFormat="1" ht="12.75" customHeight="1" x14ac:dyDescent="0.2">
      <c r="A14" s="213" t="s">
        <v>373</v>
      </c>
      <c r="B14" s="214">
        <v>45996</v>
      </c>
      <c r="C14" s="332" t="s">
        <v>269</v>
      </c>
      <c r="D14" s="175" t="s">
        <v>374</v>
      </c>
      <c r="E14" s="290"/>
      <c r="F14" s="290">
        <f t="shared" si="0"/>
        <v>12000</v>
      </c>
      <c r="G14" s="294">
        <v>65.209999999999994</v>
      </c>
      <c r="H14" s="291">
        <f t="shared" si="1"/>
        <v>976.01</v>
      </c>
      <c r="I14" s="291">
        <f t="shared" si="2"/>
        <v>11023.99</v>
      </c>
      <c r="J14" s="292"/>
    </row>
    <row r="15" spans="1:10" s="275" customFormat="1" ht="12.75" customHeight="1" x14ac:dyDescent="0.2">
      <c r="A15" s="213" t="s">
        <v>373</v>
      </c>
      <c r="B15" s="214">
        <v>45996</v>
      </c>
      <c r="C15" s="333">
        <v>9500</v>
      </c>
      <c r="D15" s="78" t="s">
        <v>375</v>
      </c>
      <c r="E15" s="290"/>
      <c r="F15" s="290">
        <f t="shared" si="0"/>
        <v>12000</v>
      </c>
      <c r="G15" s="294">
        <v>464.7</v>
      </c>
      <c r="H15" s="291">
        <f t="shared" si="1"/>
        <v>1440.71</v>
      </c>
      <c r="I15" s="291">
        <f t="shared" si="2"/>
        <v>10559.289999999999</v>
      </c>
      <c r="J15" s="292"/>
    </row>
    <row r="16" spans="1:10" s="275" customFormat="1" ht="12.75" customHeight="1" x14ac:dyDescent="0.2">
      <c r="A16" s="213" t="s">
        <v>433</v>
      </c>
      <c r="B16" s="214">
        <v>46030</v>
      </c>
      <c r="C16" s="332" t="s">
        <v>269</v>
      </c>
      <c r="D16" s="175" t="s">
        <v>434</v>
      </c>
      <c r="E16" s="290"/>
      <c r="F16" s="290">
        <f t="shared" si="0"/>
        <v>12000</v>
      </c>
      <c r="G16" s="294">
        <v>142.26</v>
      </c>
      <c r="H16" s="291">
        <f t="shared" si="1"/>
        <v>1582.97</v>
      </c>
      <c r="I16" s="291">
        <f t="shared" si="2"/>
        <v>10417.029999999999</v>
      </c>
      <c r="J16" s="292"/>
    </row>
    <row r="17" spans="1:10" s="275" customFormat="1" ht="12.75" customHeight="1" x14ac:dyDescent="0.2">
      <c r="A17" s="213" t="s">
        <v>433</v>
      </c>
      <c r="B17" s="214">
        <v>46030</v>
      </c>
      <c r="C17" s="333">
        <v>9500</v>
      </c>
      <c r="D17" s="78" t="s">
        <v>435</v>
      </c>
      <c r="E17" s="290"/>
      <c r="F17" s="290">
        <f t="shared" si="0"/>
        <v>12000</v>
      </c>
      <c r="G17" s="294">
        <v>1617.8</v>
      </c>
      <c r="H17" s="291">
        <f t="shared" si="1"/>
        <v>3200.77</v>
      </c>
      <c r="I17" s="291">
        <f t="shared" si="2"/>
        <v>8799.23</v>
      </c>
      <c r="J17" s="292"/>
    </row>
    <row r="18" spans="1:10" s="275" customFormat="1" ht="12.75" customHeight="1" x14ac:dyDescent="0.2">
      <c r="A18" s="213" t="s">
        <v>559</v>
      </c>
      <c r="B18" s="214">
        <v>46062</v>
      </c>
      <c r="C18" s="332" t="s">
        <v>269</v>
      </c>
      <c r="D18" s="175" t="s">
        <v>560</v>
      </c>
      <c r="E18" s="290"/>
      <c r="F18" s="290">
        <f t="shared" si="0"/>
        <v>12000</v>
      </c>
      <c r="G18" s="294">
        <v>149.63999999999999</v>
      </c>
      <c r="H18" s="291">
        <f t="shared" si="1"/>
        <v>3350.41</v>
      </c>
      <c r="I18" s="291">
        <f t="shared" si="2"/>
        <v>8649.59</v>
      </c>
      <c r="J18" s="292"/>
    </row>
    <row r="19" spans="1:10" s="275" customFormat="1" ht="12.75" customHeight="1" x14ac:dyDescent="0.2">
      <c r="A19" s="213" t="s">
        <v>559</v>
      </c>
      <c r="B19" s="214">
        <v>46062</v>
      </c>
      <c r="C19" s="333">
        <v>9500</v>
      </c>
      <c r="D19" s="78" t="s">
        <v>561</v>
      </c>
      <c r="E19" s="290"/>
      <c r="F19" s="290">
        <f t="shared" si="0"/>
        <v>12000</v>
      </c>
      <c r="G19" s="294">
        <v>1854.1</v>
      </c>
      <c r="H19" s="291">
        <f t="shared" si="1"/>
        <v>5204.51</v>
      </c>
      <c r="I19" s="291">
        <f t="shared" si="2"/>
        <v>6795.49</v>
      </c>
      <c r="J19" s="292"/>
    </row>
    <row r="20" spans="1:10" s="275" customFormat="1" ht="12.75" customHeight="1" x14ac:dyDescent="0.2">
      <c r="A20" s="213" t="s">
        <v>663</v>
      </c>
      <c r="B20" s="214">
        <v>46090</v>
      </c>
      <c r="C20" s="332" t="s">
        <v>269</v>
      </c>
      <c r="D20" s="175" t="s">
        <v>664</v>
      </c>
      <c r="E20" s="290"/>
      <c r="F20" s="290">
        <f t="shared" si="0"/>
        <v>12000</v>
      </c>
      <c r="G20" s="294">
        <v>137.72</v>
      </c>
      <c r="H20" s="291">
        <f t="shared" si="1"/>
        <v>5342.2300000000005</v>
      </c>
      <c r="I20" s="291">
        <f t="shared" si="2"/>
        <v>6657.7699999999995</v>
      </c>
      <c r="J20" s="292"/>
    </row>
    <row r="21" spans="1:10" s="275" customFormat="1" ht="12.75" customHeight="1" x14ac:dyDescent="0.2">
      <c r="A21" s="213" t="s">
        <v>663</v>
      </c>
      <c r="B21" s="214">
        <v>46090</v>
      </c>
      <c r="C21" s="333">
        <v>9500</v>
      </c>
      <c r="D21" s="78" t="s">
        <v>665</v>
      </c>
      <c r="E21" s="290"/>
      <c r="F21" s="290">
        <f t="shared" si="0"/>
        <v>12000</v>
      </c>
      <c r="G21" s="294">
        <v>1585</v>
      </c>
      <c r="H21" s="291">
        <f t="shared" si="1"/>
        <v>6927.2300000000005</v>
      </c>
      <c r="I21" s="291">
        <f t="shared" si="2"/>
        <v>5072.7699999999995</v>
      </c>
      <c r="J21" s="292"/>
    </row>
    <row r="22" spans="1:10" s="275" customFormat="1" ht="12.75" customHeight="1" x14ac:dyDescent="0.2">
      <c r="A22" s="213"/>
      <c r="B22" s="214"/>
      <c r="C22" s="333"/>
      <c r="D22" s="78"/>
      <c r="E22" s="290"/>
      <c r="F22" s="290">
        <f t="shared" si="0"/>
        <v>12000</v>
      </c>
      <c r="G22" s="295"/>
      <c r="H22" s="291">
        <f t="shared" si="1"/>
        <v>6927.2300000000005</v>
      </c>
      <c r="I22" s="291">
        <f t="shared" si="2"/>
        <v>5072.7699999999995</v>
      </c>
      <c r="J22" s="292"/>
    </row>
    <row r="23" spans="1:10" s="275" customFormat="1" ht="12.75" customHeight="1" x14ac:dyDescent="0.2">
      <c r="A23" s="213"/>
      <c r="B23" s="214"/>
      <c r="C23" s="333"/>
      <c r="D23" s="78"/>
      <c r="E23" s="290"/>
      <c r="F23" s="290">
        <f t="shared" si="0"/>
        <v>12000</v>
      </c>
      <c r="G23" s="295"/>
      <c r="H23" s="291">
        <f t="shared" si="1"/>
        <v>6927.2300000000005</v>
      </c>
      <c r="I23" s="291">
        <f t="shared" si="2"/>
        <v>5072.7699999999995</v>
      </c>
      <c r="J23" s="292"/>
    </row>
    <row r="24" spans="1:10" s="275" customFormat="1" ht="12.75" customHeight="1" x14ac:dyDescent="0.2">
      <c r="A24" s="213"/>
      <c r="B24" s="214"/>
      <c r="C24" s="333"/>
      <c r="D24" s="78"/>
      <c r="E24" s="290"/>
      <c r="F24" s="290">
        <f t="shared" si="0"/>
        <v>12000</v>
      </c>
      <c r="G24" s="295"/>
      <c r="H24" s="291">
        <f t="shared" si="1"/>
        <v>6927.2300000000005</v>
      </c>
      <c r="I24" s="291">
        <f t="shared" si="2"/>
        <v>5072.7699999999995</v>
      </c>
      <c r="J24" s="292"/>
    </row>
    <row r="25" spans="1:10" s="275" customFormat="1" ht="12.75" customHeight="1" x14ac:dyDescent="0.25">
      <c r="A25" s="286"/>
      <c r="B25" s="288"/>
      <c r="C25" s="329"/>
      <c r="D25" s="297"/>
      <c r="E25" s="291"/>
      <c r="F25" s="291"/>
      <c r="G25" s="291"/>
      <c r="H25" s="291"/>
      <c r="I25" s="291"/>
      <c r="J25" s="292"/>
    </row>
    <row r="26" spans="1:10" s="275" customFormat="1" ht="12.75" customHeight="1" thickBot="1" x14ac:dyDescent="0.3">
      <c r="A26" s="286"/>
      <c r="B26" s="300"/>
      <c r="C26" s="329"/>
      <c r="D26" s="301" t="s">
        <v>24</v>
      </c>
      <c r="E26" s="302">
        <f>SUM(E9:E25)</f>
        <v>12000</v>
      </c>
      <c r="F26" s="302"/>
      <c r="G26" s="302">
        <f>SUM(G9:G25)</f>
        <v>6927.2300000000005</v>
      </c>
      <c r="H26" s="302"/>
      <c r="I26" s="302">
        <f>E26-G26</f>
        <v>5072.7699999999995</v>
      </c>
      <c r="J26" s="292"/>
    </row>
    <row r="27" spans="1:10" s="275" customFormat="1" ht="12.75" customHeight="1" thickTop="1" x14ac:dyDescent="0.25"/>
    <row r="28" spans="1:10" s="275" customFormat="1" ht="12.75" customHeight="1" x14ac:dyDescent="0.25"/>
    <row r="29" spans="1:10" s="275" customFormat="1" ht="12.75" customHeight="1" x14ac:dyDescent="0.25"/>
    <row r="30" spans="1:10" s="275" customFormat="1" ht="12.75" customHeight="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8F50-604C-45A4-B2D7-8E1338977E45}">
  <sheetPr>
    <tabColor indexed="30"/>
    <pageSetUpPr fitToPage="1"/>
  </sheetPr>
  <dimension ref="A1:H23"/>
  <sheetViews>
    <sheetView zoomScaleNormal="100" workbookViewId="0">
      <selection activeCell="E6" sqref="E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#9511.00'!B1</f>
        <v>DPS P13 Upper Parking Lot Replacement</v>
      </c>
      <c r="B1" s="3"/>
      <c r="C1" s="3"/>
      <c r="D1" s="3"/>
      <c r="E1" s="4"/>
      <c r="F1" s="4"/>
      <c r="G1" s="4"/>
      <c r="H1" s="33"/>
    </row>
    <row r="2" spans="1:8" ht="15.75" x14ac:dyDescent="0.25">
      <c r="A2" s="6" t="str">
        <f>'RECAP #9511.00'!B2</f>
        <v>Project # 9511.00</v>
      </c>
      <c r="B2" s="5"/>
      <c r="C2" s="5"/>
      <c r="D2" s="5"/>
      <c r="E2" s="4"/>
      <c r="F2" s="4"/>
      <c r="G2" s="4"/>
      <c r="H2" s="33"/>
    </row>
    <row r="3" spans="1:8" ht="15.75" x14ac:dyDescent="0.25">
      <c r="A3" s="7" t="str">
        <f>'RECAP #9511.00'!B3</f>
        <v>Program code 951100</v>
      </c>
      <c r="B3" s="5"/>
      <c r="C3" s="5"/>
      <c r="D3" s="5"/>
      <c r="E3" s="8" t="str">
        <f>'RECAP #9511.00'!E3</f>
        <v>Major Program 4E12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551</v>
      </c>
      <c r="F6" s="41"/>
      <c r="G6" s="44"/>
      <c r="H6" s="45"/>
    </row>
    <row r="7" spans="1:8" ht="15.75" x14ac:dyDescent="0.25">
      <c r="A7" s="13" t="str">
        <f>'RECAP #9511.00'!B6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s="275"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95BA0-C769-4915-9A92-147FD09839CC}">
  <sheetPr>
    <pageSetUpPr fitToPage="1"/>
  </sheetPr>
  <dimension ref="A1:I32"/>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23.1406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#9511.00'!B1</f>
        <v>DPS P13 Upper Parking Lot Replacement</v>
      </c>
      <c r="B1" s="3"/>
      <c r="C1" s="4"/>
      <c r="D1" s="4"/>
      <c r="E1" s="4"/>
      <c r="F1" s="33"/>
      <c r="G1" s="33"/>
      <c r="H1" s="34"/>
      <c r="I1" s="34"/>
    </row>
    <row r="2" spans="1:9" ht="15.75" x14ac:dyDescent="0.25">
      <c r="A2" s="6" t="str">
        <f>'RECAP #9511.00'!B2</f>
        <v>Project # 9511.00</v>
      </c>
      <c r="B2" s="5"/>
      <c r="C2" s="4"/>
      <c r="D2" s="4"/>
      <c r="E2" s="4"/>
      <c r="F2" s="33"/>
      <c r="G2" s="33"/>
      <c r="H2" s="34"/>
      <c r="I2" s="34"/>
    </row>
    <row r="3" spans="1:9" ht="15.75" x14ac:dyDescent="0.25">
      <c r="A3" s="7" t="str">
        <f>'RECAP #9511.00'!B3</f>
        <v>Program code 951100</v>
      </c>
      <c r="B3" s="5"/>
      <c r="C3" s="4"/>
      <c r="D3" s="8" t="str">
        <f>'RECAP #9511.00'!E3</f>
        <v>Major Program 4E12</v>
      </c>
      <c r="E3" s="4"/>
      <c r="F3" s="33"/>
      <c r="G3" s="33"/>
      <c r="H3" s="34"/>
      <c r="I3" s="34"/>
    </row>
    <row r="4" spans="1:9" ht="15.75" x14ac:dyDescent="0.25">
      <c r="A4" s="35" t="s">
        <v>547</v>
      </c>
      <c r="B4" s="36"/>
      <c r="C4" s="37"/>
      <c r="D4" s="38" t="s">
        <v>548</v>
      </c>
      <c r="E4" s="39"/>
      <c r="F4" s="33"/>
      <c r="G4" s="33"/>
      <c r="H4" s="34"/>
      <c r="I4" s="34"/>
    </row>
    <row r="5" spans="1:9" ht="15.75" x14ac:dyDescent="0.25">
      <c r="A5" s="40" t="s">
        <v>117</v>
      </c>
      <c r="B5" s="41"/>
      <c r="C5" s="42"/>
      <c r="D5" s="43" t="s">
        <v>549</v>
      </c>
      <c r="E5" s="44"/>
      <c r="F5" s="45"/>
      <c r="G5" s="46"/>
      <c r="H5" s="41"/>
      <c r="I5" s="34"/>
    </row>
    <row r="6" spans="1:9" ht="15.75" x14ac:dyDescent="0.25">
      <c r="A6" s="13" t="str">
        <f>'RECAP #9511.00'!B6</f>
        <v>Project Manager - Brandon 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550</v>
      </c>
      <c r="B9" s="287">
        <v>46057</v>
      </c>
      <c r="C9" s="288" t="s">
        <v>111</v>
      </c>
      <c r="D9" s="289">
        <v>35303</v>
      </c>
      <c r="E9" s="290">
        <f>D9</f>
        <v>35303</v>
      </c>
      <c r="F9" s="291"/>
      <c r="G9" s="291"/>
      <c r="H9" s="291">
        <f>E9</f>
        <v>35303</v>
      </c>
      <c r="I9" s="292"/>
    </row>
    <row r="10" spans="1:9" s="275" customFormat="1" ht="12.75" customHeight="1" x14ac:dyDescent="0.25">
      <c r="A10" s="286" t="s">
        <v>715</v>
      </c>
      <c r="B10" s="293">
        <v>46104</v>
      </c>
      <c r="C10" s="288" t="s">
        <v>716</v>
      </c>
      <c r="D10" s="290"/>
      <c r="E10" s="290">
        <f t="shared" ref="E10:E21" si="0">E9+D10</f>
        <v>35303</v>
      </c>
      <c r="F10" s="294">
        <v>9019.5</v>
      </c>
      <c r="G10" s="291">
        <f t="shared" ref="G10:G21" si="1">G9+F10</f>
        <v>9019.5</v>
      </c>
      <c r="H10" s="291">
        <f t="shared" ref="H10:H21" si="2">H9-F10+D10</f>
        <v>26283.5</v>
      </c>
      <c r="I10" s="292"/>
    </row>
    <row r="11" spans="1:9" s="275" customFormat="1" ht="12.75" customHeight="1" x14ac:dyDescent="0.25">
      <c r="A11" s="286"/>
      <c r="B11" s="287"/>
      <c r="C11" s="288"/>
      <c r="D11" s="290"/>
      <c r="E11" s="290">
        <f t="shared" si="0"/>
        <v>35303</v>
      </c>
      <c r="F11" s="295"/>
      <c r="G11" s="291">
        <f t="shared" si="1"/>
        <v>9019.5</v>
      </c>
      <c r="H11" s="291">
        <f t="shared" si="2"/>
        <v>26283.5</v>
      </c>
      <c r="I11" s="292"/>
    </row>
    <row r="12" spans="1:9" s="275" customFormat="1" ht="12.75" customHeight="1" x14ac:dyDescent="0.25">
      <c r="A12" s="286"/>
      <c r="B12" s="287"/>
      <c r="C12" s="288"/>
      <c r="D12" s="290"/>
      <c r="E12" s="290">
        <f t="shared" si="0"/>
        <v>35303</v>
      </c>
      <c r="F12" s="295"/>
      <c r="G12" s="291">
        <f t="shared" si="1"/>
        <v>9019.5</v>
      </c>
      <c r="H12" s="291">
        <f t="shared" si="2"/>
        <v>26283.5</v>
      </c>
      <c r="I12" s="292"/>
    </row>
    <row r="13" spans="1:9" s="275" customFormat="1" ht="12.75" customHeight="1" x14ac:dyDescent="0.25">
      <c r="A13" s="286"/>
      <c r="B13" s="287"/>
      <c r="C13" s="288"/>
      <c r="D13" s="290"/>
      <c r="E13" s="290">
        <f t="shared" si="0"/>
        <v>35303</v>
      </c>
      <c r="F13" s="295"/>
      <c r="G13" s="291">
        <f t="shared" si="1"/>
        <v>9019.5</v>
      </c>
      <c r="H13" s="291">
        <f t="shared" si="2"/>
        <v>26283.5</v>
      </c>
      <c r="I13" s="292"/>
    </row>
    <row r="14" spans="1:9" s="275" customFormat="1" ht="12.75" customHeight="1" x14ac:dyDescent="0.25">
      <c r="A14" s="286"/>
      <c r="B14" s="287"/>
      <c r="C14" s="288"/>
      <c r="D14" s="290"/>
      <c r="E14" s="290">
        <f t="shared" si="0"/>
        <v>35303</v>
      </c>
      <c r="F14" s="291"/>
      <c r="G14" s="291">
        <f t="shared" si="1"/>
        <v>9019.5</v>
      </c>
      <c r="H14" s="291">
        <f t="shared" si="2"/>
        <v>26283.5</v>
      </c>
      <c r="I14" s="292"/>
    </row>
    <row r="15" spans="1:9" s="275" customFormat="1" ht="12.75" customHeight="1" x14ac:dyDescent="0.25">
      <c r="A15" s="286"/>
      <c r="B15" s="287"/>
      <c r="C15" s="288"/>
      <c r="D15" s="290"/>
      <c r="E15" s="290">
        <f t="shared" si="0"/>
        <v>35303</v>
      </c>
      <c r="F15" s="295"/>
      <c r="G15" s="291">
        <f t="shared" si="1"/>
        <v>9019.5</v>
      </c>
      <c r="H15" s="291">
        <f t="shared" si="2"/>
        <v>26283.5</v>
      </c>
      <c r="I15" s="292"/>
    </row>
    <row r="16" spans="1:9" s="275" customFormat="1" ht="12.75" customHeight="1" x14ac:dyDescent="0.25">
      <c r="A16" s="286"/>
      <c r="B16" s="287"/>
      <c r="C16" s="288"/>
      <c r="D16" s="290"/>
      <c r="E16" s="290">
        <f t="shared" si="0"/>
        <v>35303</v>
      </c>
      <c r="F16" s="295"/>
      <c r="G16" s="291">
        <f t="shared" si="1"/>
        <v>9019.5</v>
      </c>
      <c r="H16" s="291">
        <f t="shared" si="2"/>
        <v>26283.5</v>
      </c>
      <c r="I16" s="292"/>
    </row>
    <row r="17" spans="1:9" s="275" customFormat="1" ht="12.75" customHeight="1" x14ac:dyDescent="0.25">
      <c r="A17" s="286"/>
      <c r="B17" s="287"/>
      <c r="C17" s="288"/>
      <c r="D17" s="290"/>
      <c r="E17" s="290">
        <f t="shared" si="0"/>
        <v>35303</v>
      </c>
      <c r="F17" s="295"/>
      <c r="G17" s="291">
        <f t="shared" si="1"/>
        <v>9019.5</v>
      </c>
      <c r="H17" s="291">
        <f t="shared" si="2"/>
        <v>26283.5</v>
      </c>
      <c r="I17" s="292"/>
    </row>
    <row r="18" spans="1:9" s="275" customFormat="1" ht="12.75" customHeight="1" x14ac:dyDescent="0.25">
      <c r="A18" s="286"/>
      <c r="B18" s="287"/>
      <c r="C18" s="288"/>
      <c r="D18" s="290"/>
      <c r="E18" s="290">
        <f t="shared" si="0"/>
        <v>35303</v>
      </c>
      <c r="F18" s="295"/>
      <c r="G18" s="291">
        <f t="shared" si="1"/>
        <v>9019.5</v>
      </c>
      <c r="H18" s="291">
        <f t="shared" si="2"/>
        <v>26283.5</v>
      </c>
      <c r="I18" s="292"/>
    </row>
    <row r="19" spans="1:9" s="275" customFormat="1" ht="12.75" customHeight="1" x14ac:dyDescent="0.25">
      <c r="A19" s="286"/>
      <c r="B19" s="287"/>
      <c r="C19" s="288"/>
      <c r="D19" s="290"/>
      <c r="E19" s="290">
        <f t="shared" si="0"/>
        <v>35303</v>
      </c>
      <c r="F19" s="291"/>
      <c r="G19" s="291">
        <f t="shared" si="1"/>
        <v>9019.5</v>
      </c>
      <c r="H19" s="291">
        <f t="shared" si="2"/>
        <v>26283.5</v>
      </c>
      <c r="I19" s="292"/>
    </row>
    <row r="20" spans="1:9" s="275" customFormat="1" ht="12.75" customHeight="1" x14ac:dyDescent="0.25">
      <c r="A20" s="286"/>
      <c r="B20" s="287"/>
      <c r="C20" s="288"/>
      <c r="D20" s="290"/>
      <c r="E20" s="290">
        <f t="shared" si="0"/>
        <v>35303</v>
      </c>
      <c r="F20" s="291"/>
      <c r="G20" s="291">
        <f t="shared" si="1"/>
        <v>9019.5</v>
      </c>
      <c r="H20" s="291">
        <f t="shared" si="2"/>
        <v>26283.5</v>
      </c>
      <c r="I20" s="292"/>
    </row>
    <row r="21" spans="1:9" s="275" customFormat="1" ht="12.75" customHeight="1" x14ac:dyDescent="0.25">
      <c r="A21" s="286"/>
      <c r="B21" s="287"/>
      <c r="C21" s="296"/>
      <c r="D21" s="290"/>
      <c r="E21" s="290">
        <f t="shared" si="0"/>
        <v>35303</v>
      </c>
      <c r="F21" s="291"/>
      <c r="G21" s="291">
        <f t="shared" si="1"/>
        <v>9019.5</v>
      </c>
      <c r="H21" s="291">
        <f t="shared" si="2"/>
        <v>26283.5</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35303</v>
      </c>
      <c r="E23" s="302"/>
      <c r="F23" s="302">
        <f>SUM(F9:F22)</f>
        <v>9019.5</v>
      </c>
      <c r="G23" s="302"/>
      <c r="H23" s="302">
        <f>D23-F23</f>
        <v>26283.5</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297" t="s">
        <v>307</v>
      </c>
      <c r="D26" s="291">
        <v>12026</v>
      </c>
      <c r="E26" s="291"/>
      <c r="F26" s="291">
        <f>9019.5</f>
        <v>9019.5</v>
      </c>
      <c r="G26" s="291"/>
      <c r="H26" s="291">
        <f>D26-F26</f>
        <v>3006.5</v>
      </c>
      <c r="I26" s="292"/>
    </row>
    <row r="27" spans="1:9" s="275" customFormat="1" ht="12.75" customHeight="1" x14ac:dyDescent="0.25">
      <c r="A27" s="286"/>
      <c r="B27" s="288"/>
      <c r="C27" s="297" t="s">
        <v>123</v>
      </c>
      <c r="D27" s="291">
        <v>9472</v>
      </c>
      <c r="E27" s="291"/>
      <c r="F27" s="291"/>
      <c r="G27" s="291"/>
      <c r="H27" s="291">
        <f t="shared" ref="H27:H29" si="3">D27-F27</f>
        <v>9472</v>
      </c>
      <c r="I27" s="292"/>
    </row>
    <row r="28" spans="1:9" s="275" customFormat="1" ht="12.75" customHeight="1" x14ac:dyDescent="0.25">
      <c r="A28" s="286"/>
      <c r="B28" s="288"/>
      <c r="C28" s="312" t="s">
        <v>308</v>
      </c>
      <c r="D28" s="313">
        <v>2227</v>
      </c>
      <c r="E28" s="313"/>
      <c r="F28" s="313"/>
      <c r="G28" s="313"/>
      <c r="H28" s="291">
        <f t="shared" si="3"/>
        <v>2227</v>
      </c>
      <c r="I28" s="292"/>
    </row>
    <row r="29" spans="1:9" s="275" customFormat="1" ht="12.75" customHeight="1" x14ac:dyDescent="0.25">
      <c r="A29" s="286"/>
      <c r="B29" s="288"/>
      <c r="C29" s="312" t="s">
        <v>125</v>
      </c>
      <c r="D29" s="313">
        <v>11578</v>
      </c>
      <c r="E29" s="313"/>
      <c r="F29" s="313"/>
      <c r="G29" s="313"/>
      <c r="H29" s="291">
        <f t="shared" si="3"/>
        <v>11578</v>
      </c>
      <c r="I29" s="292"/>
    </row>
    <row r="30" spans="1:9" s="275" customFormat="1" ht="12.75" customHeight="1" thickBot="1" x14ac:dyDescent="0.3">
      <c r="A30" s="286"/>
      <c r="B30" s="288"/>
      <c r="C30" s="314" t="s">
        <v>67</v>
      </c>
      <c r="D30" s="315">
        <f>SUM(D26:D29)</f>
        <v>35303</v>
      </c>
      <c r="E30" s="316"/>
      <c r="F30" s="315">
        <f>SUM(F26:F29)</f>
        <v>9019.5</v>
      </c>
      <c r="G30" s="316"/>
      <c r="H30" s="315">
        <f>SUM(H26:H29)</f>
        <v>26283.5</v>
      </c>
      <c r="I30" s="292"/>
    </row>
    <row r="31" spans="1:9" s="275" customFormat="1" ht="12.75" customHeight="1" thickTop="1" x14ac:dyDescent="0.25"/>
    <row r="32" spans="1:9" s="275" customFormat="1" ht="12.75" customHeight="1" x14ac:dyDescent="0.25"/>
  </sheetData>
  <conditionalFormatting sqref="I8:I23">
    <cfRule type="cellIs" dxfId="13"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1A4FD-D2EC-4748-BD9B-A8FF25848ADE}">
  <sheetPr>
    <pageSetUpPr fitToPage="1"/>
  </sheetPr>
  <dimension ref="A1:I35"/>
  <sheetViews>
    <sheetView zoomScaleNormal="100" workbookViewId="0">
      <selection activeCell="A13" sqref="A13"/>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#9511.00'!B1</f>
        <v>DPS P13 Upper Parking Lot Replacement</v>
      </c>
      <c r="B1" s="3"/>
      <c r="C1" s="4"/>
      <c r="D1" s="4"/>
      <c r="E1" s="4"/>
      <c r="F1" s="33"/>
      <c r="G1" s="33"/>
      <c r="H1" s="34"/>
      <c r="I1" s="34"/>
    </row>
    <row r="2" spans="1:9" ht="15.75" x14ac:dyDescent="0.25">
      <c r="A2" s="6" t="str">
        <f>'RECAP #9511.00'!B2</f>
        <v>Project # 9511.00</v>
      </c>
      <c r="B2" s="5"/>
      <c r="C2" s="4"/>
      <c r="D2" s="4"/>
      <c r="E2" s="4"/>
      <c r="F2" s="33"/>
      <c r="G2" s="33"/>
      <c r="H2" s="34"/>
      <c r="I2" s="34"/>
    </row>
    <row r="3" spans="1:9" ht="15.75" x14ac:dyDescent="0.25">
      <c r="A3" s="7" t="str">
        <f>'RECAP #9511.00'!B3</f>
        <v>Program code 951100</v>
      </c>
      <c r="B3" s="5"/>
      <c r="C3" s="4"/>
      <c r="D3" s="8" t="str">
        <f>'RECAP #9511.00'!E3</f>
        <v>Major Program 4E12</v>
      </c>
      <c r="E3" s="4"/>
      <c r="F3" s="33"/>
      <c r="G3" s="33"/>
      <c r="H3" s="34"/>
      <c r="I3" s="34"/>
    </row>
    <row r="4" spans="1:9" ht="15.75" x14ac:dyDescent="0.25">
      <c r="A4" s="35" t="s">
        <v>580</v>
      </c>
      <c r="B4" s="36"/>
      <c r="C4" s="37"/>
      <c r="D4" s="38" t="s">
        <v>582</v>
      </c>
      <c r="E4" s="39"/>
      <c r="F4" s="33"/>
      <c r="G4" s="33"/>
      <c r="H4" s="34"/>
      <c r="I4" s="34"/>
    </row>
    <row r="5" spans="1:9" ht="15.75" x14ac:dyDescent="0.25">
      <c r="A5" s="40" t="s">
        <v>117</v>
      </c>
      <c r="B5" s="41"/>
      <c r="C5" s="42"/>
      <c r="D5" s="43" t="s">
        <v>581</v>
      </c>
      <c r="E5" s="44"/>
      <c r="F5" s="45"/>
      <c r="G5" s="46"/>
      <c r="H5" s="41"/>
      <c r="I5" s="34"/>
    </row>
    <row r="6" spans="1:9" ht="15.75" x14ac:dyDescent="0.25">
      <c r="A6" s="13" t="str">
        <f>'RECAP #9511.00'!B6</f>
        <v>Project Manager - Brandon 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632</v>
      </c>
      <c r="B9" s="287">
        <v>46084</v>
      </c>
      <c r="C9" s="288" t="s">
        <v>633</v>
      </c>
      <c r="D9" s="289">
        <v>5825</v>
      </c>
      <c r="E9" s="290">
        <f>D9</f>
        <v>5825</v>
      </c>
      <c r="F9" s="291"/>
      <c r="G9" s="291"/>
      <c r="H9" s="291">
        <f>E9</f>
        <v>5825</v>
      </c>
      <c r="I9" s="292"/>
    </row>
    <row r="10" spans="1:9" s="275" customFormat="1" ht="12.75" customHeight="1" x14ac:dyDescent="0.25">
      <c r="A10" s="286"/>
      <c r="B10" s="293"/>
      <c r="C10" s="288"/>
      <c r="D10" s="290"/>
      <c r="E10" s="290">
        <f t="shared" ref="E10:E21" si="0">E9+D10</f>
        <v>5825</v>
      </c>
      <c r="F10" s="295"/>
      <c r="G10" s="291">
        <f t="shared" ref="G10:G21" si="1">G9+F10</f>
        <v>0</v>
      </c>
      <c r="H10" s="291">
        <f t="shared" ref="H10:H21" si="2">H9-F10+D10</f>
        <v>5825</v>
      </c>
      <c r="I10" s="292"/>
    </row>
    <row r="11" spans="1:9" s="275" customFormat="1" ht="12.75" customHeight="1" x14ac:dyDescent="0.25">
      <c r="A11" s="286"/>
      <c r="B11" s="287"/>
      <c r="C11" s="288"/>
      <c r="D11" s="290"/>
      <c r="E11" s="290">
        <f t="shared" si="0"/>
        <v>5825</v>
      </c>
      <c r="F11" s="295"/>
      <c r="G11" s="291">
        <f t="shared" si="1"/>
        <v>0</v>
      </c>
      <c r="H11" s="291">
        <f t="shared" si="2"/>
        <v>5825</v>
      </c>
      <c r="I11" s="292"/>
    </row>
    <row r="12" spans="1:9" s="275" customFormat="1" ht="12.75" customHeight="1" x14ac:dyDescent="0.25">
      <c r="A12" s="286"/>
      <c r="B12" s="287"/>
      <c r="C12" s="288"/>
      <c r="D12" s="290"/>
      <c r="E12" s="290">
        <f t="shared" si="0"/>
        <v>5825</v>
      </c>
      <c r="F12" s="295"/>
      <c r="G12" s="291">
        <f t="shared" si="1"/>
        <v>0</v>
      </c>
      <c r="H12" s="291">
        <f t="shared" si="2"/>
        <v>5825</v>
      </c>
      <c r="I12" s="292"/>
    </row>
    <row r="13" spans="1:9" s="275" customFormat="1" ht="12.75" customHeight="1" x14ac:dyDescent="0.25">
      <c r="A13" s="286"/>
      <c r="B13" s="287"/>
      <c r="C13" s="288"/>
      <c r="D13" s="290"/>
      <c r="E13" s="290">
        <f t="shared" si="0"/>
        <v>5825</v>
      </c>
      <c r="F13" s="295"/>
      <c r="G13" s="291">
        <f t="shared" si="1"/>
        <v>0</v>
      </c>
      <c r="H13" s="291">
        <f t="shared" si="2"/>
        <v>5825</v>
      </c>
      <c r="I13" s="292"/>
    </row>
    <row r="14" spans="1:9" s="275" customFormat="1" ht="12.75" customHeight="1" x14ac:dyDescent="0.25">
      <c r="A14" s="286"/>
      <c r="B14" s="287"/>
      <c r="C14" s="288"/>
      <c r="D14" s="290"/>
      <c r="E14" s="290">
        <f t="shared" si="0"/>
        <v>5825</v>
      </c>
      <c r="F14" s="291"/>
      <c r="G14" s="291">
        <f t="shared" si="1"/>
        <v>0</v>
      </c>
      <c r="H14" s="291">
        <f t="shared" si="2"/>
        <v>5825</v>
      </c>
      <c r="I14" s="292"/>
    </row>
    <row r="15" spans="1:9" s="275" customFormat="1" ht="12.75" customHeight="1" x14ac:dyDescent="0.25">
      <c r="A15" s="286"/>
      <c r="B15" s="287"/>
      <c r="C15" s="288"/>
      <c r="D15" s="290"/>
      <c r="E15" s="290">
        <f t="shared" si="0"/>
        <v>5825</v>
      </c>
      <c r="F15" s="295"/>
      <c r="G15" s="291">
        <f t="shared" si="1"/>
        <v>0</v>
      </c>
      <c r="H15" s="291">
        <f t="shared" si="2"/>
        <v>5825</v>
      </c>
      <c r="I15" s="292"/>
    </row>
    <row r="16" spans="1:9" s="275" customFormat="1" ht="12.75" customHeight="1" x14ac:dyDescent="0.25">
      <c r="A16" s="286"/>
      <c r="B16" s="287"/>
      <c r="C16" s="288"/>
      <c r="D16" s="290"/>
      <c r="E16" s="290">
        <f t="shared" si="0"/>
        <v>5825</v>
      </c>
      <c r="F16" s="295"/>
      <c r="G16" s="291">
        <f t="shared" si="1"/>
        <v>0</v>
      </c>
      <c r="H16" s="291">
        <f t="shared" si="2"/>
        <v>5825</v>
      </c>
      <c r="I16" s="292"/>
    </row>
    <row r="17" spans="1:9" s="275" customFormat="1" ht="12.75" customHeight="1" x14ac:dyDescent="0.25">
      <c r="A17" s="286"/>
      <c r="B17" s="287"/>
      <c r="C17" s="288"/>
      <c r="D17" s="290"/>
      <c r="E17" s="290">
        <f t="shared" si="0"/>
        <v>5825</v>
      </c>
      <c r="F17" s="295"/>
      <c r="G17" s="291">
        <f t="shared" si="1"/>
        <v>0</v>
      </c>
      <c r="H17" s="291">
        <f t="shared" si="2"/>
        <v>5825</v>
      </c>
      <c r="I17" s="292"/>
    </row>
    <row r="18" spans="1:9" s="275" customFormat="1" ht="12.75" customHeight="1" x14ac:dyDescent="0.25">
      <c r="A18" s="286"/>
      <c r="B18" s="287"/>
      <c r="C18" s="288"/>
      <c r="D18" s="290"/>
      <c r="E18" s="290">
        <f t="shared" si="0"/>
        <v>5825</v>
      </c>
      <c r="F18" s="295"/>
      <c r="G18" s="291">
        <f t="shared" si="1"/>
        <v>0</v>
      </c>
      <c r="H18" s="291">
        <f t="shared" si="2"/>
        <v>5825</v>
      </c>
      <c r="I18" s="292"/>
    </row>
    <row r="19" spans="1:9" s="275" customFormat="1" ht="12.75" customHeight="1" x14ac:dyDescent="0.25">
      <c r="A19" s="286"/>
      <c r="B19" s="287"/>
      <c r="C19" s="288"/>
      <c r="D19" s="290"/>
      <c r="E19" s="290">
        <f t="shared" si="0"/>
        <v>5825</v>
      </c>
      <c r="F19" s="291"/>
      <c r="G19" s="291">
        <f t="shared" si="1"/>
        <v>0</v>
      </c>
      <c r="H19" s="291">
        <f t="shared" si="2"/>
        <v>5825</v>
      </c>
      <c r="I19" s="292"/>
    </row>
    <row r="20" spans="1:9" s="275" customFormat="1" ht="12.75" customHeight="1" x14ac:dyDescent="0.25">
      <c r="A20" s="286"/>
      <c r="B20" s="287"/>
      <c r="C20" s="288"/>
      <c r="D20" s="290"/>
      <c r="E20" s="290">
        <f t="shared" si="0"/>
        <v>5825</v>
      </c>
      <c r="F20" s="291"/>
      <c r="G20" s="291">
        <f t="shared" si="1"/>
        <v>0</v>
      </c>
      <c r="H20" s="291">
        <f t="shared" si="2"/>
        <v>5825</v>
      </c>
      <c r="I20" s="292"/>
    </row>
    <row r="21" spans="1:9" s="275" customFormat="1" ht="12.75" customHeight="1" x14ac:dyDescent="0.25">
      <c r="A21" s="286"/>
      <c r="B21" s="287"/>
      <c r="C21" s="296"/>
      <c r="D21" s="290"/>
      <c r="E21" s="290">
        <f t="shared" si="0"/>
        <v>5825</v>
      </c>
      <c r="F21" s="291"/>
      <c r="G21" s="291">
        <f t="shared" si="1"/>
        <v>0</v>
      </c>
      <c r="H21" s="291">
        <f t="shared" si="2"/>
        <v>5825</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5825</v>
      </c>
      <c r="E23" s="302"/>
      <c r="F23" s="302">
        <f>SUM(F9:F22)</f>
        <v>0</v>
      </c>
      <c r="G23" s="302"/>
      <c r="H23" s="302">
        <f>D23-F23</f>
        <v>5825</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297" t="s">
        <v>634</v>
      </c>
      <c r="D26" s="291">
        <v>180</v>
      </c>
      <c r="E26" s="291"/>
      <c r="F26" s="291"/>
      <c r="G26" s="291"/>
      <c r="H26" s="291">
        <f>D26-F26</f>
        <v>180</v>
      </c>
      <c r="I26" s="292"/>
    </row>
    <row r="27" spans="1:9" s="275" customFormat="1" ht="12.75" customHeight="1" x14ac:dyDescent="0.25">
      <c r="A27" s="286"/>
      <c r="B27" s="288"/>
      <c r="C27" s="297" t="s">
        <v>635</v>
      </c>
      <c r="D27" s="291">
        <v>260</v>
      </c>
      <c r="E27" s="291"/>
      <c r="F27" s="291"/>
      <c r="G27" s="291"/>
      <c r="H27" s="291">
        <f t="shared" ref="H27:H32" si="3">D27-F27</f>
        <v>260</v>
      </c>
      <c r="I27" s="292"/>
    </row>
    <row r="28" spans="1:9" s="275" customFormat="1" ht="12.75" customHeight="1" x14ac:dyDescent="0.25">
      <c r="A28" s="286"/>
      <c r="B28" s="288"/>
      <c r="C28" s="297" t="s">
        <v>636</v>
      </c>
      <c r="D28" s="291">
        <v>140</v>
      </c>
      <c r="E28" s="291"/>
      <c r="F28" s="291"/>
      <c r="G28" s="291"/>
      <c r="H28" s="291">
        <f t="shared" si="3"/>
        <v>140</v>
      </c>
      <c r="I28" s="292"/>
    </row>
    <row r="29" spans="1:9" s="275" customFormat="1" ht="12.75" customHeight="1" x14ac:dyDescent="0.25">
      <c r="A29" s="286"/>
      <c r="B29" s="288"/>
      <c r="C29" s="297" t="s">
        <v>637</v>
      </c>
      <c r="D29" s="291">
        <v>3250</v>
      </c>
      <c r="E29" s="291"/>
      <c r="F29" s="291"/>
      <c r="G29" s="291"/>
      <c r="H29" s="291">
        <f t="shared" si="3"/>
        <v>3250</v>
      </c>
      <c r="I29" s="292"/>
    </row>
    <row r="30" spans="1:9" s="275" customFormat="1" ht="12.75" customHeight="1" x14ac:dyDescent="0.25">
      <c r="A30" s="286"/>
      <c r="B30" s="288"/>
      <c r="C30" s="297" t="s">
        <v>638</v>
      </c>
      <c r="D30" s="291">
        <v>1400</v>
      </c>
      <c r="E30" s="291"/>
      <c r="F30" s="291"/>
      <c r="G30" s="291"/>
      <c r="H30" s="291">
        <f t="shared" si="3"/>
        <v>1400</v>
      </c>
      <c r="I30" s="292"/>
    </row>
    <row r="31" spans="1:9" s="275" customFormat="1" ht="12.75" customHeight="1" x14ac:dyDescent="0.25">
      <c r="A31" s="286"/>
      <c r="B31" s="288"/>
      <c r="C31" s="297" t="s">
        <v>639</v>
      </c>
      <c r="D31" s="291">
        <v>75</v>
      </c>
      <c r="E31" s="291"/>
      <c r="F31" s="291"/>
      <c r="G31" s="291"/>
      <c r="H31" s="291">
        <f t="shared" si="3"/>
        <v>75</v>
      </c>
      <c r="I31" s="292"/>
    </row>
    <row r="32" spans="1:9" s="275" customFormat="1" ht="12.75" customHeight="1" x14ac:dyDescent="0.25">
      <c r="A32" s="286"/>
      <c r="B32" s="288"/>
      <c r="C32" s="312" t="s">
        <v>640</v>
      </c>
      <c r="D32" s="313">
        <v>520</v>
      </c>
      <c r="E32" s="313"/>
      <c r="F32" s="313"/>
      <c r="G32" s="313"/>
      <c r="H32" s="291">
        <f t="shared" si="3"/>
        <v>520</v>
      </c>
      <c r="I32" s="292"/>
    </row>
    <row r="33" spans="1:9" s="275" customFormat="1" ht="12.75" customHeight="1" thickBot="1" x14ac:dyDescent="0.3">
      <c r="A33" s="286"/>
      <c r="B33" s="288"/>
      <c r="C33" s="314" t="s">
        <v>67</v>
      </c>
      <c r="D33" s="315">
        <f>SUM(D26:D32)</f>
        <v>5825</v>
      </c>
      <c r="E33" s="316"/>
      <c r="F33" s="315">
        <f>SUM(F26:F32)</f>
        <v>0</v>
      </c>
      <c r="G33" s="316"/>
      <c r="H33" s="315">
        <f>SUM(H26:H32)</f>
        <v>5825</v>
      </c>
      <c r="I33" s="292"/>
    </row>
    <row r="34" spans="1:9" s="275" customFormat="1" ht="12.75" customHeight="1" thickTop="1" x14ac:dyDescent="0.25"/>
    <row r="35" spans="1:9" s="275" customFormat="1" ht="12.75" customHeight="1" x14ac:dyDescent="0.25"/>
  </sheetData>
  <conditionalFormatting sqref="I8:I23">
    <cfRule type="cellIs" dxfId="12" priority="1" operator="greaterThan">
      <formula>$H$23</formula>
    </cfRule>
  </conditionalFormatting>
  <pageMargins left="0.25" right="0.25" top="0.95" bottom="0.75" header="0.09" footer="0.3"/>
  <pageSetup scale="7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FC91-30C1-4B7D-91E0-5F83257540BC}">
  <sheetPr>
    <pageSetUpPr fitToPage="1"/>
  </sheetPr>
  <dimension ref="A1:G16"/>
  <sheetViews>
    <sheetView topLeftCell="A6" zoomScaleNormal="100" workbookViewId="0">
      <selection activeCell="F19" sqref="F1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167</v>
      </c>
      <c r="C1" s="3"/>
      <c r="D1" s="4"/>
      <c r="E1" s="4"/>
      <c r="F1" s="4"/>
      <c r="G1" s="4"/>
    </row>
    <row r="2" spans="1:7" ht="15.75" x14ac:dyDescent="0.25">
      <c r="A2" s="1"/>
      <c r="B2" s="6" t="s">
        <v>232</v>
      </c>
      <c r="C2" s="5"/>
      <c r="D2" s="4"/>
      <c r="E2" s="4"/>
      <c r="F2" s="4"/>
      <c r="G2" s="4"/>
    </row>
    <row r="3" spans="1:7" ht="15.75" x14ac:dyDescent="0.25">
      <c r="A3" s="1"/>
      <c r="B3" s="7" t="s">
        <v>233</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234</v>
      </c>
      <c r="C6" s="14"/>
      <c r="D6" s="15" t="s">
        <v>2</v>
      </c>
      <c r="E6" s="16"/>
      <c r="F6" s="16"/>
      <c r="G6" s="16"/>
    </row>
    <row r="7" spans="1:7" ht="32.25" customHeight="1" thickBot="1" x14ac:dyDescent="0.3">
      <c r="A7" s="1"/>
      <c r="B7" s="18" t="s">
        <v>2</v>
      </c>
      <c r="C7" s="19" t="s">
        <v>3</v>
      </c>
      <c r="D7" s="20" t="s">
        <v>4</v>
      </c>
      <c r="E7" s="21" t="s">
        <v>5</v>
      </c>
      <c r="F7" s="22" t="s">
        <v>6</v>
      </c>
      <c r="G7" s="22" t="s">
        <v>7</v>
      </c>
    </row>
    <row r="8" spans="1:7" ht="28.35" customHeight="1" x14ac:dyDescent="0.25">
      <c r="A8" s="1"/>
      <c r="B8" s="1" t="s">
        <v>8</v>
      </c>
      <c r="C8" s="23">
        <f>FINANCIAL!G39</f>
        <v>75000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03"/>
      <c r="B10" s="304" t="s">
        <v>430</v>
      </c>
      <c r="C10" s="305"/>
      <c r="D10" s="308">
        <f>'#9512.00 Larson Engineering'!D23</f>
        <v>5820</v>
      </c>
      <c r="E10" s="308">
        <f>'#9512.00 Larson Engineering'!F23</f>
        <v>2075</v>
      </c>
      <c r="F10" s="308">
        <f>'#9512.00 Larson Engineering'!H23</f>
        <v>3745</v>
      </c>
      <c r="G10" s="307"/>
    </row>
    <row r="11" spans="1:7" s="275" customFormat="1" ht="12.75" customHeight="1" x14ac:dyDescent="0.25">
      <c r="A11" s="303"/>
      <c r="B11" s="304" t="s">
        <v>10</v>
      </c>
      <c r="C11" s="305"/>
      <c r="D11" s="308">
        <f>'#9512.00 PM TIME'!E23</f>
        <v>9000</v>
      </c>
      <c r="E11" s="308">
        <f>'#9512.00 PM TIME'!G23</f>
        <v>4560.9399999999996</v>
      </c>
      <c r="F11" s="308">
        <f>'#9512.00 PM TIME'!I23</f>
        <v>4439.0600000000004</v>
      </c>
      <c r="G11" s="307"/>
    </row>
    <row r="12" spans="1:7" s="275" customFormat="1" ht="12.75" customHeight="1" x14ac:dyDescent="0.25">
      <c r="A12" s="303"/>
      <c r="B12" s="304" t="s">
        <v>11</v>
      </c>
      <c r="C12" s="306"/>
      <c r="D12" s="309">
        <f>'#9512.00 Misc'!G22</f>
        <v>0</v>
      </c>
      <c r="E12" s="309">
        <f>'#9512.00 Misc'!H22</f>
        <v>0</v>
      </c>
      <c r="F12" s="308">
        <f>D12-E12</f>
        <v>0</v>
      </c>
      <c r="G12" s="307"/>
    </row>
    <row r="13" spans="1:7" s="275" customFormat="1" ht="12.75" customHeight="1" x14ac:dyDescent="0.25">
      <c r="A13" s="303"/>
      <c r="B13" s="304" t="s">
        <v>359</v>
      </c>
      <c r="C13" s="306"/>
      <c r="D13" s="309">
        <f>'#9512.00 Boyd Jones'!D23</f>
        <v>4929.04</v>
      </c>
      <c r="E13" s="309">
        <f>'#9512.00 Boyd Jones'!F23</f>
        <v>0</v>
      </c>
      <c r="F13" s="308">
        <f>'#9512.00 Boyd Jones'!H23</f>
        <v>4929.04</v>
      </c>
      <c r="G13" s="307"/>
    </row>
    <row r="14" spans="1:7" s="275" customFormat="1" ht="12.75" customHeight="1" x14ac:dyDescent="0.25">
      <c r="A14" s="310"/>
      <c r="B14" s="304"/>
      <c r="C14" s="306"/>
      <c r="D14" s="309"/>
      <c r="E14" s="309"/>
      <c r="F14" s="308"/>
      <c r="G14" s="311"/>
    </row>
    <row r="15" spans="1:7" ht="24" customHeight="1" thickBot="1" x14ac:dyDescent="0.3">
      <c r="A15" s="30"/>
      <c r="B15" s="31" t="s">
        <v>12</v>
      </c>
      <c r="C15" s="32">
        <f>SUM(C8:C14)</f>
        <v>75000</v>
      </c>
      <c r="D15" s="32">
        <f>SUM(D8:D14)</f>
        <v>19749.04</v>
      </c>
      <c r="E15" s="32">
        <f>SUM(E8:E14)</f>
        <v>6635.94</v>
      </c>
      <c r="F15" s="32">
        <f>SUM(D15-E15)</f>
        <v>13113.100000000002</v>
      </c>
      <c r="G15" s="32">
        <f>C8-D15</f>
        <v>55250.96</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8624F-9DF2-49EF-A10F-E411C1310DAB}">
  <sheetPr>
    <pageSetUpPr fitToPage="1"/>
  </sheetPr>
  <dimension ref="A1:J32"/>
  <sheetViews>
    <sheetView topLeftCell="A11" zoomScaleNormal="100" workbookViewId="0">
      <selection activeCell="I10" sqref="I10"/>
    </sheetView>
  </sheetViews>
  <sheetFormatPr defaultColWidth="11.42578125" defaultRowHeight="15" customHeight="1" x14ac:dyDescent="0.25"/>
  <cols>
    <col min="1" max="1" width="24.5703125" customWidth="1"/>
    <col min="2" max="2" width="9.42578125" customWidth="1"/>
    <col min="3" max="3" width="21.8554687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'[1]RECAP #9512.00'!B1</f>
        <v>IDOE IPBS 6450 Corporate Drive Repair Auditorium Exterior Fire Exit</v>
      </c>
      <c r="B1" s="3"/>
      <c r="C1" s="4"/>
      <c r="D1" s="4"/>
      <c r="E1" s="4"/>
      <c r="F1" s="39"/>
      <c r="G1" s="39"/>
      <c r="H1" s="34"/>
      <c r="I1" s="34"/>
    </row>
    <row r="2" spans="1:9" ht="15.75" x14ac:dyDescent="0.25">
      <c r="A2" s="384" t="str">
        <f>'[1]RECAP #9512.00'!B2</f>
        <v>Project # 9512.00</v>
      </c>
      <c r="B2" s="5"/>
      <c r="C2" s="4"/>
      <c r="D2" s="4"/>
      <c r="E2" s="4"/>
      <c r="F2" s="39"/>
      <c r="G2" s="39"/>
      <c r="H2" s="34"/>
      <c r="I2" s="34"/>
    </row>
    <row r="3" spans="1:9" ht="15.75" x14ac:dyDescent="0.25">
      <c r="A3" s="7" t="str">
        <f>'[1]RECAP #9512.00'!B3</f>
        <v>Program code 951200</v>
      </c>
      <c r="B3" s="5"/>
      <c r="C3" s="4"/>
      <c r="D3" s="8" t="str">
        <f>'[1]RECAP #9512.00'!E3</f>
        <v>Major Program 4E19</v>
      </c>
      <c r="E3" s="4"/>
      <c r="F3" s="39"/>
      <c r="G3" s="39"/>
      <c r="H3" s="34"/>
      <c r="I3" s="34"/>
    </row>
    <row r="4" spans="1:9" ht="15.75" x14ac:dyDescent="0.25">
      <c r="A4" s="35" t="s">
        <v>430</v>
      </c>
      <c r="B4" s="36"/>
      <c r="C4" s="37"/>
      <c r="D4" s="385" t="s">
        <v>431</v>
      </c>
      <c r="E4" s="39"/>
      <c r="F4" s="39"/>
      <c r="G4" s="39"/>
      <c r="H4" s="34"/>
      <c r="I4" s="34"/>
    </row>
    <row r="5" spans="1:9" ht="15.75" x14ac:dyDescent="0.25">
      <c r="A5" s="40" t="s">
        <v>117</v>
      </c>
      <c r="B5" s="41"/>
      <c r="C5" s="42"/>
      <c r="D5" s="43" t="s">
        <v>432</v>
      </c>
      <c r="E5" s="335"/>
      <c r="F5" s="84"/>
      <c r="G5" s="84"/>
      <c r="H5" s="41"/>
      <c r="I5" s="34"/>
    </row>
    <row r="6" spans="1:9" ht="15.75" x14ac:dyDescent="0.25">
      <c r="A6" s="11" t="str">
        <f>'[1]RECAP #9512.00'!B6</f>
        <v>Project Manager -Oliver S. (BA)</v>
      </c>
      <c r="B6" s="11"/>
      <c r="C6" s="47"/>
      <c r="D6" s="386" t="s">
        <v>120</v>
      </c>
      <c r="E6" s="49"/>
      <c r="F6" s="52"/>
      <c r="G6" s="84"/>
      <c r="H6" s="41"/>
      <c r="I6" s="34"/>
    </row>
    <row r="7" spans="1:9" ht="15.75" x14ac:dyDescent="0.25">
      <c r="A7" s="34"/>
      <c r="B7" s="387"/>
      <c r="C7" s="387"/>
      <c r="D7" s="34"/>
      <c r="E7" s="52"/>
      <c r="F7" s="52"/>
      <c r="G7" s="84"/>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388" t="s">
        <v>745</v>
      </c>
      <c r="B9" s="221">
        <v>46045</v>
      </c>
      <c r="C9" s="389" t="s">
        <v>111</v>
      </c>
      <c r="D9" s="289">
        <v>5820</v>
      </c>
      <c r="E9" s="390">
        <f>D9</f>
        <v>5820</v>
      </c>
      <c r="F9" s="391"/>
      <c r="G9" s="391"/>
      <c r="H9" s="391">
        <f>E9</f>
        <v>5820</v>
      </c>
      <c r="I9" s="292"/>
    </row>
    <row r="10" spans="1:9" s="275" customFormat="1" ht="12.75" customHeight="1" x14ac:dyDescent="0.25">
      <c r="A10" s="388" t="s">
        <v>746</v>
      </c>
      <c r="B10" s="293">
        <v>46112</v>
      </c>
      <c r="C10" s="389" t="s">
        <v>747</v>
      </c>
      <c r="D10" s="390"/>
      <c r="E10" s="390">
        <f t="shared" ref="E10:E21" si="0">E9+D10</f>
        <v>5820</v>
      </c>
      <c r="F10" s="294">
        <v>2075</v>
      </c>
      <c r="G10" s="391">
        <f t="shared" ref="G10:G21" si="1">G9+F10</f>
        <v>2075</v>
      </c>
      <c r="H10" s="391">
        <f t="shared" ref="H10:H21" si="2">H9-F10+D10</f>
        <v>3745</v>
      </c>
      <c r="I10" s="292"/>
    </row>
    <row r="11" spans="1:9" s="275" customFormat="1" ht="12.75" customHeight="1" x14ac:dyDescent="0.25">
      <c r="A11" s="388"/>
      <c r="B11" s="221"/>
      <c r="C11" s="389"/>
      <c r="D11" s="390"/>
      <c r="E11" s="390">
        <f t="shared" si="0"/>
        <v>5820</v>
      </c>
      <c r="F11" s="295"/>
      <c r="G11" s="391">
        <f t="shared" si="1"/>
        <v>2075</v>
      </c>
      <c r="H11" s="391">
        <f t="shared" si="2"/>
        <v>3745</v>
      </c>
      <c r="I11" s="292"/>
    </row>
    <row r="12" spans="1:9" s="275" customFormat="1" ht="12.75" customHeight="1" x14ac:dyDescent="0.25">
      <c r="A12" s="388"/>
      <c r="B12" s="221"/>
      <c r="C12" s="389"/>
      <c r="D12" s="390"/>
      <c r="E12" s="390">
        <f t="shared" si="0"/>
        <v>5820</v>
      </c>
      <c r="F12" s="295"/>
      <c r="G12" s="391">
        <f t="shared" si="1"/>
        <v>2075</v>
      </c>
      <c r="H12" s="391">
        <f t="shared" si="2"/>
        <v>3745</v>
      </c>
      <c r="I12" s="292"/>
    </row>
    <row r="13" spans="1:9" s="275" customFormat="1" ht="12.75" customHeight="1" x14ac:dyDescent="0.25">
      <c r="A13" s="388"/>
      <c r="B13" s="221"/>
      <c r="C13" s="389"/>
      <c r="D13" s="390"/>
      <c r="E13" s="390">
        <f t="shared" si="0"/>
        <v>5820</v>
      </c>
      <c r="F13" s="295"/>
      <c r="G13" s="391">
        <f t="shared" si="1"/>
        <v>2075</v>
      </c>
      <c r="H13" s="391">
        <f t="shared" si="2"/>
        <v>3745</v>
      </c>
      <c r="I13" s="292"/>
    </row>
    <row r="14" spans="1:9" s="275" customFormat="1" ht="12.75" customHeight="1" x14ac:dyDescent="0.25">
      <c r="A14" s="388"/>
      <c r="B14" s="221"/>
      <c r="C14" s="389"/>
      <c r="D14" s="390"/>
      <c r="E14" s="390">
        <f t="shared" si="0"/>
        <v>5820</v>
      </c>
      <c r="F14" s="391"/>
      <c r="G14" s="391">
        <f t="shared" si="1"/>
        <v>2075</v>
      </c>
      <c r="H14" s="391">
        <f t="shared" si="2"/>
        <v>3745</v>
      </c>
      <c r="I14" s="292"/>
    </row>
    <row r="15" spans="1:9" s="275" customFormat="1" ht="12.75" customHeight="1" x14ac:dyDescent="0.25">
      <c r="A15" s="388"/>
      <c r="B15" s="221"/>
      <c r="C15" s="389"/>
      <c r="D15" s="390"/>
      <c r="E15" s="390">
        <f t="shared" si="0"/>
        <v>5820</v>
      </c>
      <c r="F15" s="295"/>
      <c r="G15" s="391">
        <f t="shared" si="1"/>
        <v>2075</v>
      </c>
      <c r="H15" s="391">
        <f t="shared" si="2"/>
        <v>3745</v>
      </c>
      <c r="I15" s="292"/>
    </row>
    <row r="16" spans="1:9" s="275" customFormat="1" ht="12.75" customHeight="1" x14ac:dyDescent="0.25">
      <c r="A16" s="388"/>
      <c r="B16" s="221"/>
      <c r="C16" s="389"/>
      <c r="D16" s="390"/>
      <c r="E16" s="390">
        <f t="shared" si="0"/>
        <v>5820</v>
      </c>
      <c r="F16" s="295"/>
      <c r="G16" s="391">
        <f t="shared" si="1"/>
        <v>2075</v>
      </c>
      <c r="H16" s="391">
        <f t="shared" si="2"/>
        <v>3745</v>
      </c>
      <c r="I16" s="292"/>
    </row>
    <row r="17" spans="1:10" s="275" customFormat="1" ht="12.75" customHeight="1" x14ac:dyDescent="0.25">
      <c r="A17" s="388"/>
      <c r="B17" s="221"/>
      <c r="C17" s="389"/>
      <c r="D17" s="390"/>
      <c r="E17" s="390">
        <f t="shared" si="0"/>
        <v>5820</v>
      </c>
      <c r="F17" s="295"/>
      <c r="G17" s="391">
        <f t="shared" si="1"/>
        <v>2075</v>
      </c>
      <c r="H17" s="391">
        <f t="shared" si="2"/>
        <v>3745</v>
      </c>
      <c r="I17" s="292"/>
    </row>
    <row r="18" spans="1:10" s="275" customFormat="1" ht="12.75" customHeight="1" x14ac:dyDescent="0.25">
      <c r="A18" s="388"/>
      <c r="B18" s="221"/>
      <c r="C18" s="389"/>
      <c r="D18" s="390"/>
      <c r="E18" s="390">
        <f t="shared" si="0"/>
        <v>5820</v>
      </c>
      <c r="F18" s="295"/>
      <c r="G18" s="391">
        <f t="shared" si="1"/>
        <v>2075</v>
      </c>
      <c r="H18" s="391">
        <f t="shared" si="2"/>
        <v>3745</v>
      </c>
      <c r="I18" s="292"/>
    </row>
    <row r="19" spans="1:10" s="275" customFormat="1" ht="12.75" customHeight="1" x14ac:dyDescent="0.25">
      <c r="A19" s="388"/>
      <c r="B19" s="221"/>
      <c r="C19" s="389"/>
      <c r="D19" s="390"/>
      <c r="E19" s="390">
        <f t="shared" si="0"/>
        <v>5820</v>
      </c>
      <c r="F19" s="391"/>
      <c r="G19" s="391">
        <f t="shared" si="1"/>
        <v>2075</v>
      </c>
      <c r="H19" s="391">
        <f t="shared" si="2"/>
        <v>3745</v>
      </c>
      <c r="I19" s="292"/>
    </row>
    <row r="20" spans="1:10" s="275" customFormat="1" ht="12.75" customHeight="1" x14ac:dyDescent="0.25">
      <c r="A20" s="388"/>
      <c r="B20" s="221"/>
      <c r="C20" s="389"/>
      <c r="D20" s="390"/>
      <c r="E20" s="390">
        <f t="shared" si="0"/>
        <v>5820</v>
      </c>
      <c r="F20" s="391"/>
      <c r="G20" s="391">
        <f t="shared" si="1"/>
        <v>2075</v>
      </c>
      <c r="H20" s="391">
        <f t="shared" si="2"/>
        <v>3745</v>
      </c>
      <c r="I20" s="292"/>
    </row>
    <row r="21" spans="1:10" s="275" customFormat="1" ht="12.75" customHeight="1" x14ac:dyDescent="0.25">
      <c r="A21" s="388"/>
      <c r="B21" s="221"/>
      <c r="C21" s="392"/>
      <c r="D21" s="390"/>
      <c r="E21" s="390">
        <f t="shared" si="0"/>
        <v>5820</v>
      </c>
      <c r="F21" s="391"/>
      <c r="G21" s="391">
        <f t="shared" si="1"/>
        <v>2075</v>
      </c>
      <c r="H21" s="391">
        <f t="shared" si="2"/>
        <v>3745</v>
      </c>
      <c r="I21" s="292"/>
    </row>
    <row r="22" spans="1:10" s="275" customFormat="1" ht="12.75" customHeight="1" x14ac:dyDescent="0.25">
      <c r="A22" s="388"/>
      <c r="B22" s="389"/>
      <c r="C22" s="393"/>
      <c r="D22" s="391"/>
      <c r="E22" s="391"/>
      <c r="F22" s="391"/>
      <c r="G22" s="391"/>
      <c r="H22" s="391"/>
      <c r="I22" s="292"/>
    </row>
    <row r="23" spans="1:10" s="275" customFormat="1" ht="12.75" customHeight="1" thickBot="1" x14ac:dyDescent="0.3">
      <c r="A23" s="388"/>
      <c r="B23" s="394"/>
      <c r="C23" s="301" t="s">
        <v>24</v>
      </c>
      <c r="D23" s="302">
        <f>SUM(D9:D22)</f>
        <v>5820</v>
      </c>
      <c r="E23" s="302"/>
      <c r="F23" s="302">
        <f>SUM(F9:F22)</f>
        <v>2075</v>
      </c>
      <c r="G23" s="302"/>
      <c r="H23" s="302">
        <f>D23-F23</f>
        <v>3745</v>
      </c>
      <c r="I23" s="292"/>
    </row>
    <row r="24" spans="1:10" s="275" customFormat="1" ht="12.75" customHeight="1" thickTop="1" x14ac:dyDescent="0.25">
      <c r="A24" s="388"/>
      <c r="B24" s="389"/>
      <c r="C24" s="393"/>
      <c r="D24" s="391"/>
      <c r="E24" s="391"/>
      <c r="F24" s="391"/>
      <c r="G24" s="391"/>
      <c r="H24" s="391"/>
      <c r="I24" s="292"/>
    </row>
    <row r="25" spans="1:10" s="275" customFormat="1" ht="12.75" customHeight="1" x14ac:dyDescent="0.25">
      <c r="A25" s="388"/>
      <c r="B25" s="389"/>
      <c r="C25" s="393"/>
      <c r="D25" s="391"/>
      <c r="E25" s="391"/>
      <c r="F25" s="391"/>
      <c r="G25" s="391"/>
      <c r="H25" s="391"/>
      <c r="I25" s="292"/>
    </row>
    <row r="26" spans="1:10" s="275" customFormat="1" ht="12.75" customHeight="1" x14ac:dyDescent="0.25">
      <c r="A26" s="388"/>
      <c r="B26" s="389"/>
      <c r="C26" s="393" t="s">
        <v>465</v>
      </c>
      <c r="D26" s="391">
        <v>900</v>
      </c>
      <c r="E26" s="391"/>
      <c r="F26" s="391"/>
      <c r="G26" s="391"/>
      <c r="H26" s="391">
        <f t="shared" ref="H26:H30" si="3">D26-F26</f>
        <v>900</v>
      </c>
      <c r="I26" s="292"/>
    </row>
    <row r="27" spans="1:10" s="275" customFormat="1" ht="12.75" customHeight="1" x14ac:dyDescent="0.25">
      <c r="A27" s="388"/>
      <c r="B27" s="389"/>
      <c r="C27" s="393" t="s">
        <v>467</v>
      </c>
      <c r="D27" s="391">
        <v>1175</v>
      </c>
      <c r="E27" s="391"/>
      <c r="F27" s="391"/>
      <c r="G27" s="391"/>
      <c r="H27" s="391">
        <f t="shared" si="3"/>
        <v>1175</v>
      </c>
      <c r="I27" s="292"/>
    </row>
    <row r="28" spans="1:10" s="275" customFormat="1" ht="12.75" customHeight="1" x14ac:dyDescent="0.25">
      <c r="A28" s="388"/>
      <c r="B28" s="389"/>
      <c r="C28" s="393" t="s">
        <v>408</v>
      </c>
      <c r="D28" s="391">
        <v>2055</v>
      </c>
      <c r="E28" s="391"/>
      <c r="F28" s="391"/>
      <c r="G28" s="391"/>
      <c r="H28" s="391">
        <f t="shared" si="3"/>
        <v>2055</v>
      </c>
      <c r="I28" s="292"/>
      <c r="J28" s="395"/>
    </row>
    <row r="29" spans="1:10" s="275" customFormat="1" ht="12.75" customHeight="1" x14ac:dyDescent="0.25">
      <c r="C29" s="312" t="s">
        <v>308</v>
      </c>
      <c r="D29" s="313">
        <v>515</v>
      </c>
      <c r="E29" s="313"/>
      <c r="F29" s="313"/>
      <c r="G29" s="313"/>
      <c r="H29" s="391">
        <f t="shared" si="3"/>
        <v>515</v>
      </c>
    </row>
    <row r="30" spans="1:10" ht="15" customHeight="1" x14ac:dyDescent="0.25">
      <c r="C30" s="312" t="s">
        <v>125</v>
      </c>
      <c r="D30" s="313">
        <v>1175</v>
      </c>
      <c r="E30" s="313"/>
      <c r="F30" s="313"/>
      <c r="G30" s="313"/>
      <c r="H30" s="391">
        <f t="shared" si="3"/>
        <v>1175</v>
      </c>
    </row>
    <row r="31" spans="1:10" ht="15" customHeight="1" thickBot="1" x14ac:dyDescent="0.3">
      <c r="C31" s="314" t="s">
        <v>67</v>
      </c>
      <c r="D31" s="315">
        <f>SUM(D25:D30)</f>
        <v>5820</v>
      </c>
      <c r="E31" s="316"/>
      <c r="F31" s="315">
        <f>SUM(F29:F30)</f>
        <v>0</v>
      </c>
      <c r="G31" s="316"/>
      <c r="H31" s="315">
        <f>SUM(H25:H30)</f>
        <v>5820</v>
      </c>
    </row>
    <row r="32" spans="1:10" ht="15" customHeight="1" thickTop="1" x14ac:dyDescent="0.25">
      <c r="C32" s="275"/>
      <c r="D32" s="275"/>
      <c r="E32" s="275"/>
      <c r="F32" s="275"/>
      <c r="G32" s="275"/>
      <c r="H32" s="275"/>
    </row>
  </sheetData>
  <conditionalFormatting sqref="I8:I23">
    <cfRule type="cellIs" dxfId="11"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72DA-C6AC-4A50-909B-DB0B3FA13921}">
  <sheetPr>
    <pageSetUpPr fitToPage="1"/>
  </sheetPr>
  <dimension ref="A1:J24"/>
  <sheetViews>
    <sheetView zoomScaleNormal="100" workbookViewId="0">
      <selection activeCell="G13" sqref="G13"/>
    </sheetView>
  </sheetViews>
  <sheetFormatPr defaultColWidth="11.42578125" defaultRowHeight="15" customHeight="1" x14ac:dyDescent="0.25"/>
  <cols>
    <col min="1" max="1" width="24.5703125" customWidth="1"/>
    <col min="2" max="3" width="9.42578125" customWidth="1"/>
    <col min="4" max="4" width="35.425781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#9512.00'!B1</f>
        <v>IDOE IPBS 6450 Corporate Drive Repair Auditorium Exterior Fire Exit</v>
      </c>
      <c r="B1" s="3"/>
      <c r="C1" s="3"/>
      <c r="D1" s="4"/>
      <c r="E1" s="4"/>
      <c r="F1" s="4"/>
      <c r="G1" s="33"/>
      <c r="H1" s="33"/>
      <c r="I1" s="34"/>
      <c r="J1" s="34"/>
    </row>
    <row r="2" spans="1:10" ht="15.75" x14ac:dyDescent="0.25">
      <c r="A2" s="6" t="str">
        <f>'RECAP #9512.00'!B2</f>
        <v>Project # 9512.00</v>
      </c>
      <c r="B2" s="5"/>
      <c r="C2" s="5"/>
      <c r="D2" s="4"/>
      <c r="E2" s="4"/>
      <c r="F2" s="4"/>
      <c r="G2" s="33"/>
      <c r="H2" s="33"/>
      <c r="I2" s="34"/>
      <c r="J2" s="34"/>
    </row>
    <row r="3" spans="1:10" ht="15.75" x14ac:dyDescent="0.25">
      <c r="A3" s="7" t="str">
        <f>'RECAP #9512.00'!B3</f>
        <v>Program code 951200</v>
      </c>
      <c r="B3" s="5"/>
      <c r="C3" s="5"/>
      <c r="D3" s="4"/>
      <c r="E3" s="8" t="str">
        <f>'RECAP #9512.00'!E3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256</v>
      </c>
      <c r="F6" s="49"/>
      <c r="G6" s="50"/>
      <c r="H6" s="46"/>
      <c r="I6" s="41"/>
      <c r="J6" s="34"/>
    </row>
    <row r="7" spans="1:10" ht="15.75" x14ac:dyDescent="0.25">
      <c r="A7" s="13" t="str">
        <f>'RECAP #9512.00'!B6</f>
        <v>Project Manager -Oliver S. (BA)</v>
      </c>
      <c r="B7" s="51"/>
      <c r="C7" s="51"/>
      <c r="D7" s="51"/>
      <c r="E7" s="50" t="s">
        <v>2</v>
      </c>
      <c r="F7" s="52"/>
      <c r="G7" s="53"/>
      <c r="H7" s="46"/>
      <c r="I7" s="41"/>
      <c r="J7" s="34" t="s">
        <v>2</v>
      </c>
    </row>
    <row r="8" spans="1:10" ht="32.25" thickBot="1" x14ac:dyDescent="0.3">
      <c r="A8" s="54" t="s">
        <v>16</v>
      </c>
      <c r="B8" s="55" t="s">
        <v>17</v>
      </c>
      <c r="C8" s="75" t="s">
        <v>27</v>
      </c>
      <c r="D8" s="56" t="s">
        <v>28</v>
      </c>
      <c r="E8" s="181" t="s">
        <v>19</v>
      </c>
      <c r="F8" s="57" t="s">
        <v>20</v>
      </c>
      <c r="G8" s="57" t="s">
        <v>21</v>
      </c>
      <c r="H8" s="57" t="s">
        <v>22</v>
      </c>
      <c r="I8" s="57" t="s">
        <v>23</v>
      </c>
      <c r="J8" s="34" t="s">
        <v>2</v>
      </c>
    </row>
    <row r="9" spans="1:10" s="275" customFormat="1" ht="12.75" customHeight="1" x14ac:dyDescent="0.25">
      <c r="A9" s="298"/>
      <c r="B9" s="287"/>
      <c r="C9" s="287"/>
      <c r="D9" s="297" t="s">
        <v>29</v>
      </c>
      <c r="E9" s="289">
        <f>4000+5000</f>
        <v>9000</v>
      </c>
      <c r="F9" s="290">
        <f>E9</f>
        <v>9000</v>
      </c>
      <c r="G9" s="291"/>
      <c r="H9" s="291"/>
      <c r="I9" s="291">
        <f>F9</f>
        <v>9000</v>
      </c>
      <c r="J9" s="292"/>
    </row>
    <row r="10" spans="1:10" s="275" customFormat="1" ht="12.75" customHeight="1" x14ac:dyDescent="0.25">
      <c r="A10" s="220" t="s">
        <v>322</v>
      </c>
      <c r="B10" s="221">
        <v>45968</v>
      </c>
      <c r="C10" s="329" t="s">
        <v>269</v>
      </c>
      <c r="D10" s="179" t="s">
        <v>323</v>
      </c>
      <c r="E10" s="290"/>
      <c r="F10" s="290">
        <f t="shared" ref="F10:F21" si="0">F9+E10</f>
        <v>9000</v>
      </c>
      <c r="G10" s="294">
        <v>91</v>
      </c>
      <c r="H10" s="291">
        <f t="shared" ref="H10:H21" si="1">H9+G10</f>
        <v>91</v>
      </c>
      <c r="I10" s="291">
        <f t="shared" ref="I10:I21" si="2">I9-G10+E10</f>
        <v>8909</v>
      </c>
      <c r="J10" s="292"/>
    </row>
    <row r="11" spans="1:10" s="275" customFormat="1" ht="12.75" customHeight="1" x14ac:dyDescent="0.25">
      <c r="A11" s="220" t="s">
        <v>322</v>
      </c>
      <c r="B11" s="221">
        <v>45968</v>
      </c>
      <c r="C11" s="329">
        <v>9500</v>
      </c>
      <c r="D11" s="222" t="s">
        <v>324</v>
      </c>
      <c r="E11" s="290"/>
      <c r="F11" s="290">
        <f t="shared" si="0"/>
        <v>9000</v>
      </c>
      <c r="G11" s="294">
        <v>1384.8</v>
      </c>
      <c r="H11" s="291">
        <f t="shared" si="1"/>
        <v>1475.8</v>
      </c>
      <c r="I11" s="291">
        <f t="shared" si="2"/>
        <v>7524.2</v>
      </c>
      <c r="J11" s="292"/>
    </row>
    <row r="12" spans="1:10" s="275" customFormat="1" ht="12.75" customHeight="1" x14ac:dyDescent="0.2">
      <c r="A12" s="213" t="s">
        <v>373</v>
      </c>
      <c r="B12" s="214">
        <v>45996</v>
      </c>
      <c r="C12" s="332" t="s">
        <v>269</v>
      </c>
      <c r="D12" s="175" t="s">
        <v>374</v>
      </c>
      <c r="E12" s="290"/>
      <c r="F12" s="290">
        <f t="shared" si="0"/>
        <v>9000</v>
      </c>
      <c r="G12" s="294">
        <v>147.18</v>
      </c>
      <c r="H12" s="291">
        <f t="shared" si="1"/>
        <v>1622.98</v>
      </c>
      <c r="I12" s="291">
        <f t="shared" si="2"/>
        <v>7377.0199999999995</v>
      </c>
      <c r="J12" s="292"/>
    </row>
    <row r="13" spans="1:10" s="275" customFormat="1" ht="12.75" customHeight="1" x14ac:dyDescent="0.2">
      <c r="A13" s="213" t="s">
        <v>373</v>
      </c>
      <c r="B13" s="214">
        <v>45996</v>
      </c>
      <c r="C13" s="333">
        <v>9500</v>
      </c>
      <c r="D13" s="78" t="s">
        <v>375</v>
      </c>
      <c r="E13" s="290"/>
      <c r="F13" s="290">
        <f t="shared" si="0"/>
        <v>9000</v>
      </c>
      <c r="G13" s="294">
        <v>669.9</v>
      </c>
      <c r="H13" s="291">
        <f t="shared" si="1"/>
        <v>2292.88</v>
      </c>
      <c r="I13" s="291">
        <f t="shared" si="2"/>
        <v>6707.12</v>
      </c>
      <c r="J13" s="292"/>
    </row>
    <row r="14" spans="1:10" s="275" customFormat="1" ht="12.75" customHeight="1" x14ac:dyDescent="0.2">
      <c r="A14" s="213" t="s">
        <v>433</v>
      </c>
      <c r="B14" s="214">
        <v>46030</v>
      </c>
      <c r="C14" s="332" t="s">
        <v>269</v>
      </c>
      <c r="D14" s="175" t="s">
        <v>434</v>
      </c>
      <c r="E14" s="290"/>
      <c r="F14" s="290">
        <f t="shared" si="0"/>
        <v>9000</v>
      </c>
      <c r="G14" s="294">
        <v>38.270000000000003</v>
      </c>
      <c r="H14" s="291">
        <f t="shared" si="1"/>
        <v>2331.15</v>
      </c>
      <c r="I14" s="291">
        <f t="shared" si="2"/>
        <v>6668.8499999999995</v>
      </c>
      <c r="J14" s="292"/>
    </row>
    <row r="15" spans="1:10" s="275" customFormat="1" ht="12.75" customHeight="1" x14ac:dyDescent="0.2">
      <c r="A15" s="213" t="s">
        <v>433</v>
      </c>
      <c r="B15" s="214">
        <v>46030</v>
      </c>
      <c r="C15" s="333">
        <v>9500</v>
      </c>
      <c r="D15" s="78" t="s">
        <v>435</v>
      </c>
      <c r="E15" s="290"/>
      <c r="F15" s="290">
        <f t="shared" si="0"/>
        <v>9000</v>
      </c>
      <c r="G15" s="294">
        <v>435.2</v>
      </c>
      <c r="H15" s="291">
        <f t="shared" si="1"/>
        <v>2766.35</v>
      </c>
      <c r="I15" s="291">
        <f t="shared" si="2"/>
        <v>6233.65</v>
      </c>
      <c r="J15" s="292"/>
    </row>
    <row r="16" spans="1:10" s="275" customFormat="1" ht="12.75" customHeight="1" x14ac:dyDescent="0.2">
      <c r="A16" s="213" t="s">
        <v>559</v>
      </c>
      <c r="B16" s="214">
        <v>46062</v>
      </c>
      <c r="C16" s="332" t="s">
        <v>269</v>
      </c>
      <c r="D16" s="175" t="s">
        <v>560</v>
      </c>
      <c r="E16" s="290"/>
      <c r="F16" s="290">
        <f t="shared" si="0"/>
        <v>9000</v>
      </c>
      <c r="G16" s="294">
        <v>61.64</v>
      </c>
      <c r="H16" s="291">
        <f t="shared" si="1"/>
        <v>2827.99</v>
      </c>
      <c r="I16" s="291">
        <f t="shared" si="2"/>
        <v>6172.0099999999993</v>
      </c>
      <c r="J16" s="292"/>
    </row>
    <row r="17" spans="1:10" s="275" customFormat="1" ht="12.75" customHeight="1" x14ac:dyDescent="0.2">
      <c r="A17" s="213" t="s">
        <v>559</v>
      </c>
      <c r="B17" s="214">
        <v>46062</v>
      </c>
      <c r="C17" s="333">
        <v>9500</v>
      </c>
      <c r="D17" s="78" t="s">
        <v>561</v>
      </c>
      <c r="E17" s="290"/>
      <c r="F17" s="290">
        <f t="shared" si="0"/>
        <v>9000</v>
      </c>
      <c r="G17" s="294">
        <v>764.4</v>
      </c>
      <c r="H17" s="291">
        <f t="shared" si="1"/>
        <v>3592.39</v>
      </c>
      <c r="I17" s="291">
        <f t="shared" si="2"/>
        <v>5407.61</v>
      </c>
      <c r="J17" s="292"/>
    </row>
    <row r="18" spans="1:10" s="275" customFormat="1" ht="12.75" customHeight="1" x14ac:dyDescent="0.25">
      <c r="A18" s="213" t="s">
        <v>663</v>
      </c>
      <c r="B18" s="214">
        <v>46090</v>
      </c>
      <c r="C18" s="332" t="s">
        <v>269</v>
      </c>
      <c r="D18" s="175" t="s">
        <v>664</v>
      </c>
      <c r="E18"/>
      <c r="F18" s="290">
        <f t="shared" si="0"/>
        <v>9000</v>
      </c>
      <c r="G18" s="294">
        <v>77.349999999999994</v>
      </c>
      <c r="H18" s="291">
        <f t="shared" si="1"/>
        <v>3669.74</v>
      </c>
      <c r="I18" s="291">
        <f t="shared" si="2"/>
        <v>5330.2599999999993</v>
      </c>
      <c r="J18" s="292"/>
    </row>
    <row r="19" spans="1:10" s="275" customFormat="1" ht="12.75" customHeight="1" x14ac:dyDescent="0.25">
      <c r="A19" s="213" t="s">
        <v>663</v>
      </c>
      <c r="B19" s="214">
        <v>46090</v>
      </c>
      <c r="C19" s="333">
        <v>9500</v>
      </c>
      <c r="D19" s="78" t="s">
        <v>665</v>
      </c>
      <c r="E19"/>
      <c r="F19" s="290">
        <f t="shared" si="0"/>
        <v>9000</v>
      </c>
      <c r="G19" s="294">
        <v>891.2</v>
      </c>
      <c r="H19" s="291">
        <f t="shared" si="1"/>
        <v>4560.9399999999996</v>
      </c>
      <c r="I19" s="291">
        <f t="shared" si="2"/>
        <v>4439.0599999999995</v>
      </c>
      <c r="J19" s="292"/>
    </row>
    <row r="20" spans="1:10" s="275" customFormat="1" ht="12.75" customHeight="1" x14ac:dyDescent="0.25">
      <c r="A20" s="298"/>
      <c r="B20" s="287"/>
      <c r="C20" s="329"/>
      <c r="D20" s="297"/>
      <c r="E20" s="290"/>
      <c r="F20" s="290">
        <f t="shared" si="0"/>
        <v>9000</v>
      </c>
      <c r="G20" s="291"/>
      <c r="H20" s="291">
        <f t="shared" si="1"/>
        <v>4560.9399999999996</v>
      </c>
      <c r="I20" s="291">
        <f t="shared" si="2"/>
        <v>4439.0599999999995</v>
      </c>
      <c r="J20" s="292"/>
    </row>
    <row r="21" spans="1:10" s="275" customFormat="1" ht="12.75" customHeight="1" x14ac:dyDescent="0.25">
      <c r="A21" s="298"/>
      <c r="B21" s="287"/>
      <c r="C21" s="329"/>
      <c r="D21" s="318"/>
      <c r="E21" s="290"/>
      <c r="F21" s="290">
        <f t="shared" si="0"/>
        <v>9000</v>
      </c>
      <c r="G21" s="291"/>
      <c r="H21" s="291">
        <f t="shared" si="1"/>
        <v>4560.9399999999996</v>
      </c>
      <c r="I21" s="291">
        <f t="shared" si="2"/>
        <v>4439.0599999999995</v>
      </c>
      <c r="J21" s="292"/>
    </row>
    <row r="22" spans="1:10" s="275" customFormat="1" ht="12.75" customHeight="1" x14ac:dyDescent="0.25">
      <c r="A22" s="286"/>
      <c r="B22" s="288"/>
      <c r="C22" s="329"/>
      <c r="D22" s="297"/>
      <c r="E22" s="291"/>
      <c r="F22" s="291"/>
      <c r="G22" s="291"/>
      <c r="H22" s="291"/>
      <c r="I22" s="291"/>
      <c r="J22" s="292"/>
    </row>
    <row r="23" spans="1:10" s="275" customFormat="1" ht="12.75" customHeight="1" thickBot="1" x14ac:dyDescent="0.3">
      <c r="A23" s="286"/>
      <c r="B23" s="300"/>
      <c r="C23" s="329"/>
      <c r="D23" s="301" t="s">
        <v>24</v>
      </c>
      <c r="E23" s="302">
        <f>SUM(E9:E22)</f>
        <v>9000</v>
      </c>
      <c r="F23" s="302"/>
      <c r="G23" s="302">
        <f>SUM(G9:G22)</f>
        <v>4560.9399999999996</v>
      </c>
      <c r="H23" s="302"/>
      <c r="I23" s="302">
        <f>E23-G23</f>
        <v>4439.0600000000004</v>
      </c>
      <c r="J23" s="292"/>
    </row>
    <row r="24" spans="1:10" s="275"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8A02-36EF-4E3F-A75E-2209B4219AD3}">
  <sheetPr>
    <pageSetUpPr fitToPage="1"/>
  </sheetPr>
  <dimension ref="A1:H23"/>
  <sheetViews>
    <sheetView zoomScaleNormal="100" workbookViewId="0">
      <selection activeCell="C12" sqref="C1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#9512.00'!B1</f>
        <v>IDOE IPBS 6450 Corporate Drive Repair Auditorium Exterior Fire Exit</v>
      </c>
      <c r="B1" s="3"/>
      <c r="C1" s="3"/>
      <c r="D1" s="3"/>
      <c r="E1" s="4"/>
      <c r="F1" s="4"/>
      <c r="G1" s="4"/>
      <c r="H1" s="33"/>
    </row>
    <row r="2" spans="1:8" ht="15.75" x14ac:dyDescent="0.25">
      <c r="A2" s="6" t="str">
        <f>'RECAP #9512.00'!B2</f>
        <v>Project # 9512.00</v>
      </c>
      <c r="B2" s="5"/>
      <c r="C2" s="5"/>
      <c r="D2" s="5"/>
      <c r="E2" s="4"/>
      <c r="F2" s="4"/>
      <c r="G2" s="4"/>
      <c r="H2" s="33"/>
    </row>
    <row r="3" spans="1:8" ht="15.75" x14ac:dyDescent="0.25">
      <c r="A3" s="7" t="str">
        <f>'RECAP #9512.00'!B3</f>
        <v>Program code 951200</v>
      </c>
      <c r="B3" s="5"/>
      <c r="C3" s="5"/>
      <c r="D3" s="5"/>
      <c r="E3" s="8" t="str">
        <f>'RECAP #9512.00'!E3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468</v>
      </c>
      <c r="F6" s="41"/>
      <c r="G6" s="44"/>
      <c r="H6" s="45"/>
    </row>
    <row r="7" spans="1:8" ht="15.75" x14ac:dyDescent="0.25">
      <c r="A7" s="13" t="str">
        <f>'RECAP #9512.00'!B6</f>
        <v>Project Manager -Oliver S. (BA)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6CEB6-6434-4B72-BF69-5D4A07248BD7}">
  <sheetPr>
    <pageSetUpPr fitToPage="1"/>
  </sheetPr>
  <dimension ref="A1:I29"/>
  <sheetViews>
    <sheetView zoomScaleNormal="100" workbookViewId="0">
      <selection activeCell="L9" sqref="L9"/>
    </sheetView>
  </sheetViews>
  <sheetFormatPr defaultColWidth="11.42578125" defaultRowHeight="15" customHeight="1" x14ac:dyDescent="0.25"/>
  <cols>
    <col min="1" max="1" width="24.5703125" customWidth="1"/>
    <col min="2" max="2" width="9.42578125" customWidth="1"/>
    <col min="3" max="3" width="21.8554687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#9512.00'!B1</f>
        <v>IDOE IPBS 6450 Corporate Drive Repair Auditorium Exterior Fire Exit</v>
      </c>
      <c r="B1" s="3"/>
      <c r="C1" s="4"/>
      <c r="D1" s="4"/>
      <c r="E1" s="4"/>
      <c r="F1" s="33"/>
      <c r="G1" s="33"/>
      <c r="H1" s="34"/>
      <c r="I1" s="34"/>
    </row>
    <row r="2" spans="1:9" ht="15.75" x14ac:dyDescent="0.25">
      <c r="A2" s="6" t="str">
        <f>'RECAP #9512.00'!B2</f>
        <v>Project # 9512.00</v>
      </c>
      <c r="B2" s="5"/>
      <c r="C2" s="4"/>
      <c r="D2" s="4"/>
      <c r="E2" s="4"/>
      <c r="F2" s="33"/>
      <c r="G2" s="33"/>
      <c r="H2" s="34"/>
      <c r="I2" s="34"/>
    </row>
    <row r="3" spans="1:9" ht="15.75" x14ac:dyDescent="0.25">
      <c r="A3" s="7" t="str">
        <f>'RECAP #9512.00'!B3</f>
        <v>Program code 951200</v>
      </c>
      <c r="B3" s="5"/>
      <c r="C3" s="4"/>
      <c r="D3" s="8" t="str">
        <f>'RECAP #9512.00'!E3</f>
        <v>Major Program 4E19</v>
      </c>
      <c r="E3" s="4"/>
      <c r="F3" s="33"/>
      <c r="G3" s="33"/>
      <c r="H3" s="34"/>
      <c r="I3" s="34"/>
    </row>
    <row r="4" spans="1:9" ht="15.75" x14ac:dyDescent="0.25">
      <c r="A4" s="35" t="s">
        <v>359</v>
      </c>
      <c r="B4" s="36"/>
      <c r="C4" s="37"/>
      <c r="D4" s="38" t="s">
        <v>360</v>
      </c>
      <c r="E4" s="39"/>
      <c r="F4" s="33"/>
      <c r="G4" s="33"/>
      <c r="H4" s="34"/>
      <c r="I4" s="34"/>
    </row>
    <row r="5" spans="1:9" ht="15.75" x14ac:dyDescent="0.25">
      <c r="A5" s="40" t="s">
        <v>106</v>
      </c>
      <c r="B5" s="41"/>
      <c r="C5" s="42"/>
      <c r="D5" s="43" t="s">
        <v>361</v>
      </c>
      <c r="E5" s="44"/>
      <c r="F5" s="45"/>
      <c r="G5" s="46"/>
      <c r="H5" s="41"/>
      <c r="I5" s="34"/>
    </row>
    <row r="6" spans="1:9" ht="15.75" x14ac:dyDescent="0.25">
      <c r="A6" s="13" t="str">
        <f>'RECAP #9512.00'!B6</f>
        <v>Project Manager -Oliver S. (BA)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743</v>
      </c>
      <c r="B9" s="287">
        <v>46112</v>
      </c>
      <c r="C9" s="288" t="s">
        <v>111</v>
      </c>
      <c r="D9" s="289">
        <v>4929.04</v>
      </c>
      <c r="E9" s="290">
        <f>D9</f>
        <v>4929.04</v>
      </c>
      <c r="F9" s="291"/>
      <c r="G9" s="291"/>
      <c r="H9" s="291">
        <f>E9</f>
        <v>4929.04</v>
      </c>
      <c r="I9" s="292"/>
    </row>
    <row r="10" spans="1:9" s="275" customFormat="1" ht="12.75" customHeight="1" x14ac:dyDescent="0.25">
      <c r="A10" s="286"/>
      <c r="B10" s="293"/>
      <c r="C10" s="288"/>
      <c r="D10" s="290"/>
      <c r="E10" s="290">
        <f t="shared" ref="E10:E21" si="0">E9+D10</f>
        <v>4929.04</v>
      </c>
      <c r="F10" s="294"/>
      <c r="G10" s="291">
        <f t="shared" ref="G10:G21" si="1">G9+F10</f>
        <v>0</v>
      </c>
      <c r="H10" s="291">
        <f t="shared" ref="H10:H21" si="2">H9-F10+D10</f>
        <v>4929.04</v>
      </c>
      <c r="I10" s="292"/>
    </row>
    <row r="11" spans="1:9" s="275" customFormat="1" ht="12.75" customHeight="1" x14ac:dyDescent="0.25">
      <c r="A11" s="286"/>
      <c r="B11" s="287"/>
      <c r="C11" s="288"/>
      <c r="D11" s="290"/>
      <c r="E11" s="290">
        <f t="shared" si="0"/>
        <v>4929.04</v>
      </c>
      <c r="F11" s="295"/>
      <c r="G11" s="291">
        <f t="shared" si="1"/>
        <v>0</v>
      </c>
      <c r="H11" s="291">
        <f t="shared" si="2"/>
        <v>4929.04</v>
      </c>
      <c r="I11" s="292"/>
    </row>
    <row r="12" spans="1:9" s="275" customFormat="1" ht="12.75" customHeight="1" x14ac:dyDescent="0.25">
      <c r="A12" s="286"/>
      <c r="B12" s="287"/>
      <c r="C12" s="288"/>
      <c r="D12" s="290"/>
      <c r="E12" s="290">
        <f t="shared" si="0"/>
        <v>4929.04</v>
      </c>
      <c r="F12" s="295"/>
      <c r="G12" s="291">
        <f t="shared" si="1"/>
        <v>0</v>
      </c>
      <c r="H12" s="291">
        <f t="shared" si="2"/>
        <v>4929.04</v>
      </c>
      <c r="I12" s="292"/>
    </row>
    <row r="13" spans="1:9" s="275" customFormat="1" ht="12.75" customHeight="1" x14ac:dyDescent="0.25">
      <c r="A13" s="286"/>
      <c r="B13" s="287"/>
      <c r="C13" s="288"/>
      <c r="D13" s="290"/>
      <c r="E13" s="290">
        <f t="shared" si="0"/>
        <v>4929.04</v>
      </c>
      <c r="F13" s="295"/>
      <c r="G13" s="291">
        <f t="shared" si="1"/>
        <v>0</v>
      </c>
      <c r="H13" s="291">
        <f t="shared" si="2"/>
        <v>4929.04</v>
      </c>
      <c r="I13" s="292"/>
    </row>
    <row r="14" spans="1:9" s="275" customFormat="1" ht="12.75" customHeight="1" x14ac:dyDescent="0.25">
      <c r="A14" s="286"/>
      <c r="B14" s="287"/>
      <c r="C14" s="288"/>
      <c r="D14" s="290"/>
      <c r="E14" s="290">
        <f t="shared" si="0"/>
        <v>4929.04</v>
      </c>
      <c r="F14" s="291"/>
      <c r="G14" s="291">
        <f t="shared" si="1"/>
        <v>0</v>
      </c>
      <c r="H14" s="291">
        <f t="shared" si="2"/>
        <v>4929.04</v>
      </c>
      <c r="I14" s="292"/>
    </row>
    <row r="15" spans="1:9" s="275" customFormat="1" ht="12.75" customHeight="1" x14ac:dyDescent="0.25">
      <c r="A15" s="286"/>
      <c r="B15" s="287"/>
      <c r="C15" s="288"/>
      <c r="D15" s="290"/>
      <c r="E15" s="290">
        <f t="shared" si="0"/>
        <v>4929.04</v>
      </c>
      <c r="F15" s="295"/>
      <c r="G15" s="291">
        <f t="shared" si="1"/>
        <v>0</v>
      </c>
      <c r="H15" s="291">
        <f t="shared" si="2"/>
        <v>4929.04</v>
      </c>
      <c r="I15" s="292"/>
    </row>
    <row r="16" spans="1:9" s="275" customFormat="1" ht="12.75" customHeight="1" x14ac:dyDescent="0.25">
      <c r="A16" s="286"/>
      <c r="B16" s="287"/>
      <c r="C16" s="288"/>
      <c r="D16" s="290"/>
      <c r="E16" s="290">
        <f t="shared" si="0"/>
        <v>4929.04</v>
      </c>
      <c r="F16" s="295"/>
      <c r="G16" s="291">
        <f t="shared" si="1"/>
        <v>0</v>
      </c>
      <c r="H16" s="291">
        <f t="shared" si="2"/>
        <v>4929.04</v>
      </c>
      <c r="I16" s="292"/>
    </row>
    <row r="17" spans="1:9" s="275" customFormat="1" ht="12.75" customHeight="1" x14ac:dyDescent="0.25">
      <c r="A17" s="286"/>
      <c r="B17" s="287"/>
      <c r="C17" s="288"/>
      <c r="D17" s="290"/>
      <c r="E17" s="290">
        <f t="shared" si="0"/>
        <v>4929.04</v>
      </c>
      <c r="F17" s="295"/>
      <c r="G17" s="291">
        <f t="shared" si="1"/>
        <v>0</v>
      </c>
      <c r="H17" s="291">
        <f t="shared" si="2"/>
        <v>4929.04</v>
      </c>
      <c r="I17" s="292"/>
    </row>
    <row r="18" spans="1:9" s="275" customFormat="1" ht="12.75" customHeight="1" x14ac:dyDescent="0.25">
      <c r="A18" s="286"/>
      <c r="B18" s="287"/>
      <c r="C18" s="288"/>
      <c r="D18" s="290"/>
      <c r="E18" s="290">
        <f t="shared" si="0"/>
        <v>4929.04</v>
      </c>
      <c r="F18" s="295"/>
      <c r="G18" s="291">
        <f t="shared" si="1"/>
        <v>0</v>
      </c>
      <c r="H18" s="291">
        <f t="shared" si="2"/>
        <v>4929.04</v>
      </c>
      <c r="I18" s="292"/>
    </row>
    <row r="19" spans="1:9" s="275" customFormat="1" ht="12.75" customHeight="1" x14ac:dyDescent="0.25">
      <c r="A19" s="286"/>
      <c r="B19" s="287"/>
      <c r="C19" s="288"/>
      <c r="D19" s="290"/>
      <c r="E19" s="290">
        <f t="shared" si="0"/>
        <v>4929.04</v>
      </c>
      <c r="F19" s="291"/>
      <c r="G19" s="291">
        <f t="shared" si="1"/>
        <v>0</v>
      </c>
      <c r="H19" s="291">
        <f t="shared" si="2"/>
        <v>4929.04</v>
      </c>
      <c r="I19" s="292"/>
    </row>
    <row r="20" spans="1:9" s="275" customFormat="1" ht="12.75" customHeight="1" x14ac:dyDescent="0.25">
      <c r="A20" s="286"/>
      <c r="B20" s="287"/>
      <c r="C20" s="288"/>
      <c r="D20" s="290"/>
      <c r="E20" s="290">
        <f t="shared" si="0"/>
        <v>4929.04</v>
      </c>
      <c r="F20" s="291"/>
      <c r="G20" s="291">
        <f t="shared" si="1"/>
        <v>0</v>
      </c>
      <c r="H20" s="291">
        <f t="shared" si="2"/>
        <v>4929.04</v>
      </c>
      <c r="I20" s="292"/>
    </row>
    <row r="21" spans="1:9" s="275" customFormat="1" ht="12.75" customHeight="1" x14ac:dyDescent="0.25">
      <c r="A21" s="286"/>
      <c r="B21" s="287"/>
      <c r="C21" s="296"/>
      <c r="D21" s="290"/>
      <c r="E21" s="290">
        <f t="shared" si="0"/>
        <v>4929.04</v>
      </c>
      <c r="F21" s="291"/>
      <c r="G21" s="291">
        <f t="shared" si="1"/>
        <v>0</v>
      </c>
      <c r="H21" s="291">
        <f t="shared" si="2"/>
        <v>4929.04</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4929.04</v>
      </c>
      <c r="E23" s="302"/>
      <c r="F23" s="302">
        <f>SUM(F9:F22)</f>
        <v>0</v>
      </c>
      <c r="G23" s="302"/>
      <c r="H23" s="302">
        <f>D23-F23</f>
        <v>4929.04</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297" t="s">
        <v>112</v>
      </c>
      <c r="D26" s="291">
        <v>4854.04</v>
      </c>
      <c r="E26" s="291"/>
      <c r="F26" s="291"/>
      <c r="G26" s="291"/>
      <c r="H26" s="291">
        <f t="shared" ref="H26:H27" si="3">D26-F26</f>
        <v>4854.04</v>
      </c>
      <c r="I26" s="292"/>
    </row>
    <row r="27" spans="1:9" s="275" customFormat="1" ht="12.75" customHeight="1" x14ac:dyDescent="0.25">
      <c r="A27" s="286"/>
      <c r="B27" s="288"/>
      <c r="C27" s="297" t="s">
        <v>744</v>
      </c>
      <c r="D27" s="291">
        <v>75</v>
      </c>
      <c r="E27" s="291"/>
      <c r="F27" s="291"/>
      <c r="G27" s="291"/>
      <c r="H27" s="291">
        <f t="shared" si="3"/>
        <v>75</v>
      </c>
      <c r="I27" s="292"/>
    </row>
    <row r="28" spans="1:9" ht="15" customHeight="1" thickBot="1" x14ac:dyDescent="0.3">
      <c r="C28" s="314" t="s">
        <v>67</v>
      </c>
      <c r="D28" s="315">
        <f>SUM(D25:D27)</f>
        <v>4929.04</v>
      </c>
      <c r="E28" s="316"/>
      <c r="F28" s="315">
        <f>SUM(F26:F27)</f>
        <v>0</v>
      </c>
      <c r="G28" s="316"/>
      <c r="H28" s="315">
        <f>SUM(H25:H27)</f>
        <v>4929.04</v>
      </c>
    </row>
    <row r="29" spans="1:9" ht="15" customHeight="1" thickTop="1" x14ac:dyDescent="0.25">
      <c r="C29" s="275"/>
      <c r="D29" s="275"/>
      <c r="E29" s="275"/>
      <c r="F29" s="275"/>
      <c r="G29" s="275"/>
      <c r="H29" s="275"/>
    </row>
  </sheetData>
  <conditionalFormatting sqref="I8:I23">
    <cfRule type="cellIs" dxfId="10"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33C2-15B2-429E-BCD4-EB9CC076C8B7}">
  <sheetPr>
    <pageSetUpPr fitToPage="1"/>
  </sheetPr>
  <dimension ref="A1:G16"/>
  <sheetViews>
    <sheetView zoomScaleNormal="100" workbookViewId="0">
      <selection activeCell="F14" sqref="F1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168</v>
      </c>
      <c r="C1" s="3"/>
      <c r="D1" s="4"/>
      <c r="E1" s="4"/>
      <c r="F1" s="4"/>
      <c r="G1" s="4"/>
    </row>
    <row r="2" spans="1:7" ht="15.75" x14ac:dyDescent="0.25">
      <c r="A2" s="1"/>
      <c r="B2" s="6" t="s">
        <v>235</v>
      </c>
      <c r="C2" s="5"/>
      <c r="D2" s="4"/>
      <c r="E2" s="4"/>
      <c r="F2" s="4"/>
      <c r="G2" s="4"/>
    </row>
    <row r="3" spans="1:7" ht="15.75" x14ac:dyDescent="0.25">
      <c r="A3" s="1"/>
      <c r="B3" s="7" t="s">
        <v>236</v>
      </c>
      <c r="C3" s="5"/>
      <c r="D3" s="4"/>
      <c r="E3" s="8" t="s">
        <v>237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33" customHeight="1" thickBot="1" x14ac:dyDescent="0.3">
      <c r="A7" s="1"/>
      <c r="B7" s="18" t="s">
        <v>2</v>
      </c>
      <c r="C7" s="19" t="s">
        <v>3</v>
      </c>
      <c r="D7" s="20" t="s">
        <v>4</v>
      </c>
      <c r="E7" s="21" t="s">
        <v>5</v>
      </c>
      <c r="F7" s="22" t="s">
        <v>6</v>
      </c>
      <c r="G7" s="22" t="s">
        <v>7</v>
      </c>
    </row>
    <row r="8" spans="1:7" ht="28.35" customHeight="1" x14ac:dyDescent="0.25">
      <c r="A8" s="1"/>
      <c r="B8" s="1" t="s">
        <v>8</v>
      </c>
      <c r="C8" s="23">
        <f>FINANCIAL!G40</f>
        <v>640000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03"/>
      <c r="B10" s="304" t="s">
        <v>105</v>
      </c>
      <c r="C10" s="305"/>
      <c r="D10" s="308">
        <f>'#9513.00 DCI Group'!D23</f>
        <v>22074.79</v>
      </c>
      <c r="E10" s="308">
        <f>'#9513.00 DCI Group'!F23</f>
        <v>7463.61</v>
      </c>
      <c r="F10" s="308">
        <f>'#9513.00 DCI Group'!H23</f>
        <v>14611.18</v>
      </c>
      <c r="G10" s="307"/>
    </row>
    <row r="11" spans="1:7" s="275" customFormat="1" ht="12.75" customHeight="1" x14ac:dyDescent="0.25">
      <c r="A11" s="303"/>
      <c r="B11" s="304" t="s">
        <v>10</v>
      </c>
      <c r="C11" s="305"/>
      <c r="D11" s="308">
        <f>'#9513.00 PM TIME'!E23</f>
        <v>20000</v>
      </c>
      <c r="E11" s="308">
        <f>'#9513.00 PM TIME'!G23</f>
        <v>4958.5</v>
      </c>
      <c r="F11" s="308">
        <f>'#9513.00 PM TIME'!I23</f>
        <v>15041.5</v>
      </c>
      <c r="G11" s="307"/>
    </row>
    <row r="12" spans="1:7" s="275" customFormat="1" ht="12.75" customHeight="1" x14ac:dyDescent="0.25">
      <c r="A12" s="303"/>
      <c r="B12" s="304" t="s">
        <v>11</v>
      </c>
      <c r="C12" s="306"/>
      <c r="D12" s="309">
        <f>'#9513.00 Misc'!G22</f>
        <v>0</v>
      </c>
      <c r="E12" s="309">
        <f>'#9513.00 Misc'!H22</f>
        <v>0</v>
      </c>
      <c r="F12" s="308">
        <f>D12-E12</f>
        <v>0</v>
      </c>
      <c r="G12" s="307"/>
    </row>
    <row r="13" spans="1:7" s="275" customFormat="1" ht="12.75" customHeight="1" x14ac:dyDescent="0.25">
      <c r="A13" s="303"/>
      <c r="B13" s="304" t="s">
        <v>410</v>
      </c>
      <c r="C13" s="306"/>
      <c r="D13" s="309">
        <f>'#9513.00 Kezlo Group'!D23</f>
        <v>54900</v>
      </c>
      <c r="E13" s="309">
        <f>'#9513.00 Kezlo Group'!F23</f>
        <v>24800</v>
      </c>
      <c r="F13" s="308">
        <f>'#9513.00 Kezlo Group'!H23</f>
        <v>30100</v>
      </c>
      <c r="G13" s="307"/>
    </row>
    <row r="14" spans="1:7" s="275" customFormat="1" ht="12.75" customHeight="1" x14ac:dyDescent="0.25">
      <c r="A14" s="310"/>
      <c r="B14" s="304"/>
      <c r="C14" s="306"/>
      <c r="D14" s="309"/>
      <c r="E14" s="309"/>
      <c r="F14" s="308"/>
      <c r="G14" s="311"/>
    </row>
    <row r="15" spans="1:7" ht="24" customHeight="1" thickBot="1" x14ac:dyDescent="0.3">
      <c r="A15" s="30"/>
      <c r="B15" s="31" t="s">
        <v>12</v>
      </c>
      <c r="C15" s="32">
        <f>SUM(C8:C14)</f>
        <v>640000</v>
      </c>
      <c r="D15" s="32">
        <f>SUM(D8:D14)</f>
        <v>96974.790000000008</v>
      </c>
      <c r="E15" s="32">
        <f>SUM(E8:E14)</f>
        <v>37222.11</v>
      </c>
      <c r="F15" s="32">
        <f>SUM(D15-E15)</f>
        <v>59752.680000000008</v>
      </c>
      <c r="G15" s="32">
        <f>C8-D15</f>
        <v>543025.21</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84B19-13B7-44CC-BE57-B4A6513A7FC5}">
  <sheetPr>
    <pageSetUpPr fitToPage="1"/>
  </sheetPr>
  <dimension ref="A1:H89"/>
  <sheetViews>
    <sheetView zoomScaleNormal="100" workbookViewId="0">
      <selection activeCell="E27" sqref="E2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0.85546875" customWidth="1"/>
    <col min="6" max="6" width="10.28515625"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#9455.00'!B1</f>
        <v>IDOE ISD Giangreco Hall Water Infiltration Mitigation</v>
      </c>
      <c r="B1" s="3"/>
      <c r="C1" s="3"/>
      <c r="D1" s="3"/>
      <c r="E1" s="4"/>
      <c r="F1" s="4"/>
      <c r="G1" s="4"/>
      <c r="H1" s="33"/>
    </row>
    <row r="2" spans="1:8" ht="15.75" x14ac:dyDescent="0.25">
      <c r="A2" s="6" t="str">
        <f>'RECAP #9455.00'!B2</f>
        <v>Project # 9455.00</v>
      </c>
      <c r="B2" s="5"/>
      <c r="C2" s="5"/>
      <c r="D2" s="5"/>
      <c r="E2" s="4"/>
      <c r="F2" s="4"/>
      <c r="G2" s="4"/>
      <c r="H2" s="33"/>
    </row>
    <row r="3" spans="1:8" ht="15.75" x14ac:dyDescent="0.25">
      <c r="A3" s="7" t="str">
        <f>'RECAP #9455.00'!B3</f>
        <v>Program code 945500</v>
      </c>
      <c r="B3" s="5"/>
      <c r="C3" s="5"/>
      <c r="D3" s="5"/>
      <c r="E3" s="8" t="str">
        <f>'RECAP #9455.00'!E3</f>
        <v>Major Program 4F04</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400</v>
      </c>
      <c r="F6" s="41"/>
      <c r="G6" s="44"/>
      <c r="H6" s="45"/>
    </row>
    <row r="7" spans="1:8" ht="15.75" x14ac:dyDescent="0.25">
      <c r="A7" s="13" t="str">
        <f>'RECAP #9455.00'!B6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
      <c r="A9" s="296" t="s">
        <v>649</v>
      </c>
      <c r="B9" s="287">
        <v>46087</v>
      </c>
      <c r="C9" s="323" t="s">
        <v>370</v>
      </c>
      <c r="D9" s="323" t="s">
        <v>371</v>
      </c>
      <c r="E9" s="213" t="s">
        <v>647</v>
      </c>
      <c r="F9" s="321" t="s">
        <v>648</v>
      </c>
      <c r="G9" s="294">
        <v>6639</v>
      </c>
      <c r="H9" s="322">
        <f>G9</f>
        <v>6639</v>
      </c>
    </row>
    <row r="10" spans="1:8" s="275" customFormat="1" ht="12.75" customHeight="1" x14ac:dyDescent="0.25">
      <c r="A10" s="323"/>
      <c r="B10" s="287"/>
      <c r="C10" s="297"/>
      <c r="D10" s="297"/>
      <c r="E10" s="318"/>
      <c r="F10" s="309"/>
      <c r="G10" s="322"/>
      <c r="H10" s="322">
        <f>H9+G10</f>
        <v>6639</v>
      </c>
    </row>
    <row r="11" spans="1:8" s="275" customFormat="1" ht="12.75" customHeight="1" x14ac:dyDescent="0.25">
      <c r="A11" s="323"/>
      <c r="B11" s="287"/>
      <c r="C11" s="287"/>
      <c r="D11" s="287"/>
      <c r="E11" s="318"/>
      <c r="F11" s="309"/>
      <c r="G11" s="322"/>
      <c r="H11" s="322">
        <f t="shared" ref="H11:H20" si="0">H10+G11</f>
        <v>6639</v>
      </c>
    </row>
    <row r="12" spans="1:8" s="275" customFormat="1" ht="12.75" customHeight="1" x14ac:dyDescent="0.25">
      <c r="A12" s="323" t="s">
        <v>2</v>
      </c>
      <c r="B12" s="287" t="s">
        <v>2</v>
      </c>
      <c r="C12" s="287"/>
      <c r="D12" s="287"/>
      <c r="E12" s="318" t="s">
        <v>2</v>
      </c>
      <c r="F12" s="309"/>
      <c r="G12" s="322"/>
      <c r="H12" s="322">
        <f t="shared" si="0"/>
        <v>6639</v>
      </c>
    </row>
    <row r="13" spans="1:8" s="275" customFormat="1" ht="12.75" customHeight="1" x14ac:dyDescent="0.25">
      <c r="A13" s="323" t="s">
        <v>2</v>
      </c>
      <c r="B13" s="287" t="s">
        <v>2</v>
      </c>
      <c r="C13" s="287"/>
      <c r="D13" s="287"/>
      <c r="E13" s="318" t="s">
        <v>2</v>
      </c>
      <c r="F13" s="309"/>
      <c r="G13" s="322"/>
      <c r="H13" s="322">
        <f t="shared" si="0"/>
        <v>6639</v>
      </c>
    </row>
    <row r="14" spans="1:8" s="275" customFormat="1" ht="12.75" customHeight="1" x14ac:dyDescent="0.25">
      <c r="A14" s="323"/>
      <c r="B14" s="287"/>
      <c r="C14" s="287"/>
      <c r="D14" s="287"/>
      <c r="E14" s="318"/>
      <c r="F14" s="309"/>
      <c r="G14" s="322"/>
      <c r="H14" s="322">
        <f t="shared" si="0"/>
        <v>6639</v>
      </c>
    </row>
    <row r="15" spans="1:8" s="275" customFormat="1" ht="12.75" customHeight="1" x14ac:dyDescent="0.25">
      <c r="A15" s="323"/>
      <c r="B15" s="287"/>
      <c r="C15" s="287"/>
      <c r="D15" s="287"/>
      <c r="E15" s="324"/>
      <c r="F15" s="309"/>
      <c r="G15" s="322"/>
      <c r="H15" s="322">
        <f t="shared" si="0"/>
        <v>6639</v>
      </c>
    </row>
    <row r="16" spans="1:8" s="275" customFormat="1" ht="12.75" customHeight="1" x14ac:dyDescent="0.25">
      <c r="A16" s="323"/>
      <c r="B16" s="287"/>
      <c r="C16" s="287"/>
      <c r="D16" s="287"/>
      <c r="E16" s="318"/>
      <c r="F16" s="309"/>
      <c r="G16" s="322"/>
      <c r="H16" s="322">
        <f t="shared" si="0"/>
        <v>6639</v>
      </c>
    </row>
    <row r="17" spans="1:8" s="275" customFormat="1" ht="12.75" customHeight="1" x14ac:dyDescent="0.25">
      <c r="A17" s="319"/>
      <c r="B17" s="287"/>
      <c r="C17" s="287"/>
      <c r="D17" s="287"/>
      <c r="E17" s="318"/>
      <c r="F17" s="309"/>
      <c r="G17" s="322"/>
      <c r="H17" s="322">
        <f t="shared" si="0"/>
        <v>6639</v>
      </c>
    </row>
    <row r="18" spans="1:8" s="275" customFormat="1" ht="12.75" customHeight="1" x14ac:dyDescent="0.25">
      <c r="A18" s="319"/>
      <c r="B18" s="287"/>
      <c r="C18" s="287"/>
      <c r="D18" s="287"/>
      <c r="E18" s="318"/>
      <c r="F18" s="309"/>
      <c r="G18" s="322"/>
      <c r="H18" s="322">
        <f t="shared" si="0"/>
        <v>6639</v>
      </c>
    </row>
    <row r="19" spans="1:8" s="275" customFormat="1" ht="12.75" customHeight="1" x14ac:dyDescent="0.25">
      <c r="A19" s="319"/>
      <c r="B19" s="287"/>
      <c r="C19" s="287"/>
      <c r="D19" s="287"/>
      <c r="E19" s="318"/>
      <c r="F19" s="309"/>
      <c r="G19" s="322"/>
      <c r="H19" s="322">
        <f t="shared" si="0"/>
        <v>6639</v>
      </c>
    </row>
    <row r="20" spans="1:8" s="275" customFormat="1" ht="12.75" customHeight="1" x14ac:dyDescent="0.25">
      <c r="A20" s="319"/>
      <c r="B20" s="287"/>
      <c r="C20" s="287"/>
      <c r="D20" s="287"/>
      <c r="E20" s="318"/>
      <c r="F20" s="309"/>
      <c r="G20" s="322"/>
      <c r="H20" s="322">
        <f t="shared" si="0"/>
        <v>6639</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6639</v>
      </c>
      <c r="H22" s="328"/>
    </row>
    <row r="23" spans="1:8" s="275" customFormat="1" ht="12.75" customHeight="1" thickTop="1" x14ac:dyDescent="0.25"/>
    <row r="24" spans="1:8" s="275" customFormat="1" ht="12.75" customHeight="1" x14ac:dyDescent="0.25"/>
    <row r="25" spans="1:8" s="275" customFormat="1" ht="12.75" customHeight="1" x14ac:dyDescent="0.25"/>
    <row r="26" spans="1:8" s="275" customFormat="1" ht="12.75" customHeight="1" x14ac:dyDescent="0.25"/>
    <row r="27" spans="1:8" s="275" customFormat="1" ht="12.75" customHeight="1" x14ac:dyDescent="0.25"/>
    <row r="28" spans="1:8" s="275" customFormat="1" ht="12.75" customHeight="1" x14ac:dyDescent="0.25"/>
    <row r="29" spans="1:8" s="275" customFormat="1" ht="12.75" customHeight="1" x14ac:dyDescent="0.25"/>
    <row r="30" spans="1:8" s="275" customFormat="1" ht="12.75" customHeight="1" x14ac:dyDescent="0.25"/>
    <row r="31" spans="1:8" s="275" customFormat="1" ht="12.75" customHeight="1" x14ac:dyDescent="0.25"/>
    <row r="32" spans="1:8" s="275" customFormat="1" ht="12.75" customHeight="1" x14ac:dyDescent="0.25"/>
    <row r="33" s="275" customFormat="1" ht="12.75" customHeight="1" x14ac:dyDescent="0.25"/>
    <row r="34" s="275" customFormat="1" ht="12.75" customHeight="1" x14ac:dyDescent="0.25"/>
    <row r="35" s="275" customFormat="1" ht="12.75" customHeight="1" x14ac:dyDescent="0.25"/>
    <row r="36" s="275" customFormat="1" ht="12.75" customHeight="1" x14ac:dyDescent="0.25"/>
    <row r="37" s="275" customFormat="1" ht="12.75" customHeight="1" x14ac:dyDescent="0.25"/>
    <row r="38" s="275" customFormat="1" ht="12.75" customHeight="1" x14ac:dyDescent="0.25"/>
    <row r="39" s="275" customFormat="1" ht="12.75" customHeight="1" x14ac:dyDescent="0.25"/>
    <row r="40" s="275" customFormat="1" ht="12.75" customHeight="1" x14ac:dyDescent="0.25"/>
    <row r="41" s="275" customFormat="1" ht="12.75" customHeight="1" x14ac:dyDescent="0.25"/>
    <row r="42" s="275" customFormat="1" ht="12.75" customHeight="1" x14ac:dyDescent="0.25"/>
    <row r="43" s="275" customFormat="1" ht="12.75" customHeight="1" x14ac:dyDescent="0.25"/>
    <row r="44" s="275" customFormat="1" ht="12.75" customHeight="1" x14ac:dyDescent="0.25"/>
    <row r="45" s="275" customFormat="1" ht="12.75" customHeight="1" x14ac:dyDescent="0.25"/>
    <row r="46" s="275" customFormat="1" ht="12.75" customHeight="1" x14ac:dyDescent="0.25"/>
    <row r="47" s="275" customFormat="1" ht="12.75" customHeight="1" x14ac:dyDescent="0.25"/>
    <row r="48" s="275" customFormat="1" ht="12.75" customHeight="1" x14ac:dyDescent="0.25"/>
    <row r="49" s="275" customFormat="1" ht="12.75" customHeight="1" x14ac:dyDescent="0.25"/>
    <row r="50" s="275" customFormat="1" ht="12.75" customHeight="1" x14ac:dyDescent="0.25"/>
    <row r="51" s="275" customFormat="1" ht="12.75" customHeight="1" x14ac:dyDescent="0.25"/>
    <row r="52" s="275" customFormat="1" ht="12.75" customHeight="1" x14ac:dyDescent="0.25"/>
    <row r="53" s="275" customFormat="1" ht="12.75" customHeight="1" x14ac:dyDescent="0.25"/>
    <row r="54" s="275" customFormat="1" ht="12.75" customHeight="1" x14ac:dyDescent="0.25"/>
    <row r="55" s="275" customFormat="1" ht="12.75" customHeight="1" x14ac:dyDescent="0.25"/>
    <row r="56" s="275" customFormat="1" ht="12.75" customHeight="1" x14ac:dyDescent="0.25"/>
    <row r="57" s="275" customFormat="1" ht="12.75" customHeight="1" x14ac:dyDescent="0.25"/>
    <row r="58" s="275" customFormat="1" ht="12.75" customHeight="1" x14ac:dyDescent="0.25"/>
    <row r="59" s="275" customFormat="1" ht="12.75" customHeight="1" x14ac:dyDescent="0.25"/>
    <row r="60" s="275" customFormat="1" ht="12.75" customHeight="1" x14ac:dyDescent="0.25"/>
    <row r="61" s="275" customFormat="1" ht="12.75" customHeight="1" x14ac:dyDescent="0.25"/>
    <row r="62" s="275" customFormat="1" ht="12.75" customHeight="1" x14ac:dyDescent="0.25"/>
    <row r="63" s="275" customFormat="1" ht="12.75" customHeight="1" x14ac:dyDescent="0.25"/>
    <row r="64" s="275" customFormat="1" ht="12.75" customHeight="1" x14ac:dyDescent="0.25"/>
    <row r="65" s="275" customFormat="1" ht="12.75" customHeight="1" x14ac:dyDescent="0.25"/>
    <row r="66" s="275" customFormat="1" ht="12.75" customHeight="1" x14ac:dyDescent="0.25"/>
    <row r="67" s="275" customFormat="1" ht="12.75" customHeight="1" x14ac:dyDescent="0.25"/>
    <row r="68" s="275" customFormat="1" ht="12.75" customHeight="1" x14ac:dyDescent="0.25"/>
    <row r="69" s="275" customFormat="1" ht="12.75" customHeight="1" x14ac:dyDescent="0.25"/>
    <row r="70" s="275" customFormat="1" ht="12.75" customHeight="1" x14ac:dyDescent="0.25"/>
    <row r="71" s="275" customFormat="1" ht="12.75" customHeight="1" x14ac:dyDescent="0.25"/>
    <row r="72" s="275" customFormat="1" ht="12.75" customHeight="1" x14ac:dyDescent="0.25"/>
    <row r="73" s="275" customFormat="1" ht="12.75" customHeight="1" x14ac:dyDescent="0.25"/>
    <row r="74" s="275" customFormat="1" ht="12.75" customHeight="1" x14ac:dyDescent="0.25"/>
    <row r="75" s="275" customFormat="1" ht="12.75" customHeight="1" x14ac:dyDescent="0.25"/>
    <row r="76" s="275" customFormat="1" ht="12.75" customHeight="1" x14ac:dyDescent="0.25"/>
    <row r="77" s="275" customFormat="1" ht="12.75" customHeight="1" x14ac:dyDescent="0.25"/>
    <row r="78" s="275" customFormat="1" ht="12.75" customHeight="1" x14ac:dyDescent="0.25"/>
    <row r="79" s="275" customFormat="1" ht="12.75" customHeight="1" x14ac:dyDescent="0.25"/>
    <row r="80" s="275" customFormat="1" ht="12.75" customHeight="1" x14ac:dyDescent="0.25"/>
    <row r="81" s="275" customFormat="1" ht="12.75" customHeight="1" x14ac:dyDescent="0.25"/>
    <row r="82" s="275" customFormat="1" ht="12.75" customHeight="1" x14ac:dyDescent="0.25"/>
    <row r="83" s="275" customFormat="1" ht="12.75" customHeight="1" x14ac:dyDescent="0.25"/>
    <row r="84" s="275" customFormat="1" ht="12.75" customHeight="1" x14ac:dyDescent="0.25"/>
    <row r="85" s="275" customFormat="1" ht="12.75" customHeight="1" x14ac:dyDescent="0.25"/>
    <row r="86" s="275" customFormat="1" ht="12.75" customHeight="1" x14ac:dyDescent="0.25"/>
    <row r="87" s="275" customFormat="1" ht="12.75" customHeight="1" x14ac:dyDescent="0.25"/>
    <row r="88" s="275" customFormat="1" ht="12.75" customHeight="1" x14ac:dyDescent="0.25"/>
    <row r="89" s="275" customFormat="1" ht="12.75" customHeight="1" x14ac:dyDescent="0.25"/>
  </sheetData>
  <pageMargins left="0.25" right="0.25" top="0.95" bottom="0.75" header="0.09" footer="0.3"/>
  <pageSetup scale="8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3C802-A54B-4762-BEFD-E4F35B178943}">
  <sheetPr>
    <pageSetUpPr fitToPage="1"/>
  </sheetPr>
  <dimension ref="A1:I212"/>
  <sheetViews>
    <sheetView zoomScaleNormal="100" workbookViewId="0">
      <selection activeCell="S31" sqref="S31"/>
    </sheetView>
  </sheetViews>
  <sheetFormatPr defaultColWidth="11.42578125" defaultRowHeight="15" customHeight="1" x14ac:dyDescent="0.25"/>
  <cols>
    <col min="1" max="1" width="24.5703125" customWidth="1"/>
    <col min="2" max="2" width="9.42578125" customWidth="1"/>
    <col min="3" max="3" width="16.710937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#9513.00'!B1</f>
        <v>HHS CHMHI Tuckpointing Phase 2.2</v>
      </c>
      <c r="B1" s="3"/>
      <c r="C1" s="4"/>
      <c r="D1" s="4"/>
      <c r="E1" s="4"/>
      <c r="F1" s="33"/>
      <c r="G1" s="33"/>
      <c r="H1" s="34"/>
      <c r="I1" s="34"/>
    </row>
    <row r="2" spans="1:9" ht="15.75" x14ac:dyDescent="0.25">
      <c r="A2" s="6" t="str">
        <f>'RECAP #9513.00'!B2</f>
        <v>Project # 9513.00</v>
      </c>
      <c r="B2" s="5"/>
      <c r="C2" s="4"/>
      <c r="D2" s="4"/>
      <c r="E2" s="4"/>
      <c r="F2" s="33"/>
      <c r="G2" s="33"/>
      <c r="H2" s="34"/>
      <c r="I2" s="34"/>
    </row>
    <row r="3" spans="1:9" ht="15.75" x14ac:dyDescent="0.25">
      <c r="A3" s="7" t="str">
        <f>'RECAP #9513.00'!B3</f>
        <v>Program code 951300</v>
      </c>
      <c r="B3" s="5"/>
      <c r="C3" s="4"/>
      <c r="D3" s="8" t="str">
        <f>'RECAP #9513.00'!E3</f>
        <v>Major Program 4E10</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108</v>
      </c>
      <c r="E5" s="44"/>
      <c r="F5" s="45"/>
      <c r="G5" s="46"/>
      <c r="H5" s="41"/>
      <c r="I5" s="34"/>
    </row>
    <row r="6" spans="1:9" ht="15.75" x14ac:dyDescent="0.25">
      <c r="A6" s="13" t="str">
        <f>'RECAP #9513.00'!B6</f>
        <v>Project Manager - Jennie 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366</v>
      </c>
      <c r="B9" s="287">
        <v>46001</v>
      </c>
      <c r="C9" s="288" t="s">
        <v>111</v>
      </c>
      <c r="D9" s="289">
        <v>22074.79</v>
      </c>
      <c r="E9" s="290">
        <f>D9</f>
        <v>22074.79</v>
      </c>
      <c r="F9" s="294"/>
      <c r="G9" s="291"/>
      <c r="H9" s="291">
        <f>E9</f>
        <v>22074.79</v>
      </c>
      <c r="I9" s="292"/>
    </row>
    <row r="10" spans="1:9" s="275" customFormat="1" ht="12.75" customHeight="1" x14ac:dyDescent="0.25">
      <c r="A10" s="286" t="s">
        <v>450</v>
      </c>
      <c r="B10" s="293">
        <v>46043</v>
      </c>
      <c r="C10" s="288" t="s">
        <v>451</v>
      </c>
      <c r="D10" s="290"/>
      <c r="E10" s="290">
        <f t="shared" ref="E10:E21" si="0">E9+D10</f>
        <v>22074.79</v>
      </c>
      <c r="F10" s="294">
        <v>4109.38</v>
      </c>
      <c r="G10" s="291">
        <f t="shared" ref="G10:G21" si="1">G9+F10</f>
        <v>4109.38</v>
      </c>
      <c r="H10" s="291">
        <f t="shared" ref="H10:H21" si="2">H9-F10+D10</f>
        <v>17965.41</v>
      </c>
      <c r="I10" s="292"/>
    </row>
    <row r="11" spans="1:9" s="275" customFormat="1" ht="12.75" customHeight="1" x14ac:dyDescent="0.25">
      <c r="A11" s="286" t="s">
        <v>574</v>
      </c>
      <c r="B11" s="287">
        <v>46069</v>
      </c>
      <c r="C11" s="288" t="s">
        <v>575</v>
      </c>
      <c r="D11" s="290"/>
      <c r="E11" s="290">
        <f t="shared" si="0"/>
        <v>22074.79</v>
      </c>
      <c r="F11" s="294">
        <v>894.15</v>
      </c>
      <c r="G11" s="291">
        <f t="shared" si="1"/>
        <v>5003.53</v>
      </c>
      <c r="H11" s="291">
        <f t="shared" si="2"/>
        <v>17071.259999999998</v>
      </c>
      <c r="I11" s="292"/>
    </row>
    <row r="12" spans="1:9" s="275" customFormat="1" ht="12.75" customHeight="1" x14ac:dyDescent="0.25">
      <c r="A12" s="286" t="s">
        <v>722</v>
      </c>
      <c r="B12" s="287">
        <v>46105</v>
      </c>
      <c r="C12" s="288" t="s">
        <v>723</v>
      </c>
      <c r="D12" s="290"/>
      <c r="E12" s="290">
        <f t="shared" si="0"/>
        <v>22074.79</v>
      </c>
      <c r="F12" s="294">
        <v>2460.08</v>
      </c>
      <c r="G12" s="291">
        <f t="shared" si="1"/>
        <v>7463.61</v>
      </c>
      <c r="H12" s="291">
        <f t="shared" si="2"/>
        <v>14611.179999999998</v>
      </c>
      <c r="I12" s="292"/>
    </row>
    <row r="13" spans="1:9" s="275" customFormat="1" ht="12.75" customHeight="1" x14ac:dyDescent="0.25">
      <c r="A13" s="286"/>
      <c r="B13" s="287"/>
      <c r="C13" s="288"/>
      <c r="D13" s="290"/>
      <c r="E13" s="290">
        <f t="shared" si="0"/>
        <v>22074.79</v>
      </c>
      <c r="F13" s="295"/>
      <c r="G13" s="291">
        <f t="shared" si="1"/>
        <v>7463.61</v>
      </c>
      <c r="H13" s="291">
        <f t="shared" si="2"/>
        <v>14611.179999999998</v>
      </c>
      <c r="I13" s="292"/>
    </row>
    <row r="14" spans="1:9" s="275" customFormat="1" ht="12.75" customHeight="1" x14ac:dyDescent="0.25">
      <c r="A14" s="286"/>
      <c r="B14" s="287"/>
      <c r="C14" s="288"/>
      <c r="D14" s="290"/>
      <c r="E14" s="290">
        <f t="shared" si="0"/>
        <v>22074.79</v>
      </c>
      <c r="F14" s="291"/>
      <c r="G14" s="291">
        <f t="shared" si="1"/>
        <v>7463.61</v>
      </c>
      <c r="H14" s="291">
        <f t="shared" si="2"/>
        <v>14611.179999999998</v>
      </c>
      <c r="I14" s="292"/>
    </row>
    <row r="15" spans="1:9" s="275" customFormat="1" ht="12.75" customHeight="1" x14ac:dyDescent="0.25">
      <c r="A15" s="286"/>
      <c r="B15" s="287"/>
      <c r="C15" s="288"/>
      <c r="D15" s="290"/>
      <c r="E15" s="290">
        <f t="shared" si="0"/>
        <v>22074.79</v>
      </c>
      <c r="F15" s="295"/>
      <c r="G15" s="291">
        <f t="shared" si="1"/>
        <v>7463.61</v>
      </c>
      <c r="H15" s="291">
        <f t="shared" si="2"/>
        <v>14611.179999999998</v>
      </c>
      <c r="I15" s="292"/>
    </row>
    <row r="16" spans="1:9" s="275" customFormat="1" ht="12.75" customHeight="1" x14ac:dyDescent="0.25">
      <c r="A16" s="286"/>
      <c r="B16" s="287"/>
      <c r="C16" s="288"/>
      <c r="D16" s="290"/>
      <c r="E16" s="290">
        <f t="shared" si="0"/>
        <v>22074.79</v>
      </c>
      <c r="F16" s="295"/>
      <c r="G16" s="291">
        <f t="shared" si="1"/>
        <v>7463.61</v>
      </c>
      <c r="H16" s="291">
        <f t="shared" si="2"/>
        <v>14611.179999999998</v>
      </c>
      <c r="I16" s="292"/>
    </row>
    <row r="17" spans="1:9" s="275" customFormat="1" ht="12.75" customHeight="1" x14ac:dyDescent="0.25">
      <c r="A17" s="286"/>
      <c r="B17" s="287"/>
      <c r="C17" s="288"/>
      <c r="D17" s="290"/>
      <c r="E17" s="290">
        <f t="shared" si="0"/>
        <v>22074.79</v>
      </c>
      <c r="F17" s="295"/>
      <c r="G17" s="291">
        <f t="shared" si="1"/>
        <v>7463.61</v>
      </c>
      <c r="H17" s="291">
        <f t="shared" si="2"/>
        <v>14611.179999999998</v>
      </c>
      <c r="I17" s="292"/>
    </row>
    <row r="18" spans="1:9" s="275" customFormat="1" ht="12.75" customHeight="1" x14ac:dyDescent="0.25">
      <c r="A18" s="286"/>
      <c r="B18" s="287"/>
      <c r="C18" s="288"/>
      <c r="D18" s="290"/>
      <c r="E18" s="290">
        <f t="shared" si="0"/>
        <v>22074.79</v>
      </c>
      <c r="F18" s="295"/>
      <c r="G18" s="291">
        <f t="shared" si="1"/>
        <v>7463.61</v>
      </c>
      <c r="H18" s="291">
        <f t="shared" si="2"/>
        <v>14611.179999999998</v>
      </c>
      <c r="I18" s="292"/>
    </row>
    <row r="19" spans="1:9" s="275" customFormat="1" ht="12.75" customHeight="1" x14ac:dyDescent="0.25">
      <c r="A19" s="286"/>
      <c r="B19" s="287"/>
      <c r="C19" s="288"/>
      <c r="D19" s="290"/>
      <c r="E19" s="290">
        <f t="shared" si="0"/>
        <v>22074.79</v>
      </c>
      <c r="F19" s="291"/>
      <c r="G19" s="291">
        <f t="shared" si="1"/>
        <v>7463.61</v>
      </c>
      <c r="H19" s="291">
        <f t="shared" si="2"/>
        <v>14611.179999999998</v>
      </c>
      <c r="I19" s="292"/>
    </row>
    <row r="20" spans="1:9" s="275" customFormat="1" ht="12.75" customHeight="1" x14ac:dyDescent="0.25">
      <c r="A20" s="286"/>
      <c r="B20" s="287"/>
      <c r="C20" s="288"/>
      <c r="D20" s="290"/>
      <c r="E20" s="290">
        <f t="shared" si="0"/>
        <v>22074.79</v>
      </c>
      <c r="F20" s="291"/>
      <c r="G20" s="291">
        <f t="shared" si="1"/>
        <v>7463.61</v>
      </c>
      <c r="H20" s="291">
        <f t="shared" si="2"/>
        <v>14611.179999999998</v>
      </c>
      <c r="I20" s="292"/>
    </row>
    <row r="21" spans="1:9" s="275" customFormat="1" ht="12.75" customHeight="1" x14ac:dyDescent="0.25">
      <c r="A21" s="286"/>
      <c r="B21" s="287"/>
      <c r="C21" s="296"/>
      <c r="D21" s="290"/>
      <c r="E21" s="290">
        <f t="shared" si="0"/>
        <v>22074.79</v>
      </c>
      <c r="F21" s="291"/>
      <c r="G21" s="291">
        <f t="shared" si="1"/>
        <v>7463.61</v>
      </c>
      <c r="H21" s="291">
        <f t="shared" si="2"/>
        <v>14611.179999999998</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22074.79</v>
      </c>
      <c r="E23" s="302"/>
      <c r="F23" s="302">
        <f>SUM(F9:F22)</f>
        <v>7463.61</v>
      </c>
      <c r="G23" s="302"/>
      <c r="H23" s="302">
        <f>D23-F23</f>
        <v>14611.18</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20574.79</v>
      </c>
      <c r="E26" s="313"/>
      <c r="F26" s="313">
        <f>3925.88+894.15+2460.08</f>
        <v>7280.11</v>
      </c>
      <c r="G26" s="313"/>
      <c r="H26" s="313">
        <f>D26-F26</f>
        <v>13294.68</v>
      </c>
      <c r="I26" s="292"/>
    </row>
    <row r="27" spans="1:9" s="275" customFormat="1" ht="12.75" customHeight="1" x14ac:dyDescent="0.25">
      <c r="A27" s="286"/>
      <c r="B27" s="288"/>
      <c r="C27" s="312" t="s">
        <v>113</v>
      </c>
      <c r="D27" s="313">
        <v>1500</v>
      </c>
      <c r="E27" s="313"/>
      <c r="F27" s="313">
        <f>183.5</f>
        <v>183.5</v>
      </c>
      <c r="G27" s="313"/>
      <c r="H27" s="313">
        <f>D27-F27</f>
        <v>1316.5</v>
      </c>
      <c r="I27" s="292"/>
    </row>
    <row r="28" spans="1:9" s="275" customFormat="1" ht="12.75" customHeight="1" thickBot="1" x14ac:dyDescent="0.3">
      <c r="A28" s="286"/>
      <c r="B28" s="288"/>
      <c r="C28" s="314" t="s">
        <v>67</v>
      </c>
      <c r="D28" s="315">
        <f>SUM(D26:D27)</f>
        <v>22074.79</v>
      </c>
      <c r="E28" s="316"/>
      <c r="F28" s="315">
        <f>SUM(F26:F27)</f>
        <v>7463.61</v>
      </c>
      <c r="G28" s="316"/>
      <c r="H28" s="315">
        <f>SUM(H26:H27)</f>
        <v>14611.18</v>
      </c>
      <c r="I28" s="292"/>
    </row>
    <row r="29" spans="1:9" s="275" customFormat="1" ht="12.75" customHeight="1" thickTop="1" x14ac:dyDescent="0.25"/>
    <row r="30" spans="1:9" s="275" customFormat="1" ht="12.75" customHeight="1" x14ac:dyDescent="0.25"/>
    <row r="31" spans="1:9" s="275" customFormat="1" ht="12.75" customHeight="1" x14ac:dyDescent="0.25"/>
    <row r="32" spans="1:9" s="275" customFormat="1" ht="12.75" customHeight="1" x14ac:dyDescent="0.25"/>
    <row r="33" s="275" customFormat="1" ht="12.75" customHeight="1" x14ac:dyDescent="0.25"/>
    <row r="34" s="275" customFormat="1" ht="12.75" customHeight="1" x14ac:dyDescent="0.25"/>
    <row r="35" s="275" customFormat="1" ht="12.75" customHeight="1" x14ac:dyDescent="0.25"/>
    <row r="36" s="275" customFormat="1" ht="12.75" customHeight="1" x14ac:dyDescent="0.25"/>
    <row r="37" s="275" customFormat="1" ht="12.75" customHeight="1" x14ac:dyDescent="0.25"/>
    <row r="38" s="275" customFormat="1" ht="12.75" customHeight="1" x14ac:dyDescent="0.25"/>
    <row r="39" s="275" customFormat="1" ht="12.75" customHeight="1" x14ac:dyDescent="0.25"/>
    <row r="40" s="275" customFormat="1" ht="12.75" customHeight="1" x14ac:dyDescent="0.25"/>
    <row r="41" s="275" customFormat="1" ht="12.75" customHeight="1" x14ac:dyDescent="0.25"/>
    <row r="42" s="275" customFormat="1" ht="12.75" customHeight="1" x14ac:dyDescent="0.25"/>
    <row r="43" s="275" customFormat="1" ht="12.75" customHeight="1" x14ac:dyDescent="0.25"/>
    <row r="44" s="275" customFormat="1" ht="12.75" customHeight="1" x14ac:dyDescent="0.25"/>
    <row r="45" s="275" customFormat="1" ht="12.75" customHeight="1" x14ac:dyDescent="0.25"/>
    <row r="46" s="275" customFormat="1" ht="12.75" customHeight="1" x14ac:dyDescent="0.25"/>
    <row r="47" s="275" customFormat="1" ht="12.75" customHeight="1" x14ac:dyDescent="0.25"/>
    <row r="48" s="275" customFormat="1" ht="12.75" customHeight="1" x14ac:dyDescent="0.25"/>
    <row r="49" s="275" customFormat="1" ht="12.75" customHeight="1" x14ac:dyDescent="0.25"/>
    <row r="50" s="275" customFormat="1" ht="12.75" customHeight="1" x14ac:dyDescent="0.25"/>
    <row r="51" s="275" customFormat="1" ht="12.75" customHeight="1" x14ac:dyDescent="0.25"/>
    <row r="52" s="275" customFormat="1" ht="12.75" customHeight="1" x14ac:dyDescent="0.25"/>
    <row r="53" s="275" customFormat="1" ht="12.75" customHeight="1" x14ac:dyDescent="0.25"/>
    <row r="54" s="275" customFormat="1" ht="12.75" customHeight="1" x14ac:dyDescent="0.25"/>
    <row r="55" s="275" customFormat="1" ht="12.75" customHeight="1" x14ac:dyDescent="0.25"/>
    <row r="56" s="275" customFormat="1" ht="12.75" customHeight="1" x14ac:dyDescent="0.25"/>
    <row r="57" s="275" customFormat="1" ht="12.75" customHeight="1" x14ac:dyDescent="0.25"/>
    <row r="58" s="275" customFormat="1" ht="12.75" customHeight="1" x14ac:dyDescent="0.25"/>
    <row r="59" s="275" customFormat="1" ht="12.75" customHeight="1" x14ac:dyDescent="0.25"/>
    <row r="60" s="275" customFormat="1" ht="12.75" customHeight="1" x14ac:dyDescent="0.25"/>
    <row r="61" s="275" customFormat="1" ht="12.75" customHeight="1" x14ac:dyDescent="0.25"/>
    <row r="62" s="275" customFormat="1" ht="12.75" customHeight="1" x14ac:dyDescent="0.25"/>
    <row r="63" s="275" customFormat="1" ht="12.75" customHeight="1" x14ac:dyDescent="0.25"/>
    <row r="64" s="275" customFormat="1" ht="12.75" customHeight="1" x14ac:dyDescent="0.25"/>
    <row r="65" s="275" customFormat="1" ht="12.75" customHeight="1" x14ac:dyDescent="0.25"/>
    <row r="66" s="275" customFormat="1" ht="12.75" customHeight="1" x14ac:dyDescent="0.25"/>
    <row r="67" s="275" customFormat="1" ht="12.75" customHeight="1" x14ac:dyDescent="0.25"/>
    <row r="68" s="275" customFormat="1" ht="12.75" customHeight="1" x14ac:dyDescent="0.25"/>
    <row r="69" s="275" customFormat="1" ht="12.75" customHeight="1" x14ac:dyDescent="0.25"/>
    <row r="70" s="275" customFormat="1" ht="12.75" customHeight="1" x14ac:dyDescent="0.25"/>
    <row r="71" s="275" customFormat="1" ht="12.75" customHeight="1" x14ac:dyDescent="0.25"/>
    <row r="72" s="275" customFormat="1" ht="12.75" customHeight="1" x14ac:dyDescent="0.25"/>
    <row r="73" s="275" customFormat="1" ht="12.75" customHeight="1" x14ac:dyDescent="0.25"/>
    <row r="74" s="275" customFormat="1" ht="12.75" customHeight="1" x14ac:dyDescent="0.25"/>
    <row r="75" s="275" customFormat="1" ht="12.75" customHeight="1" x14ac:dyDescent="0.25"/>
    <row r="76" s="275" customFormat="1" ht="12.75" customHeight="1" x14ac:dyDescent="0.25"/>
    <row r="77" s="275" customFormat="1" ht="12.75" customHeight="1" x14ac:dyDescent="0.25"/>
    <row r="78" s="275" customFormat="1" ht="12.75" customHeight="1" x14ac:dyDescent="0.25"/>
    <row r="79" s="275" customFormat="1" ht="12.75" customHeight="1" x14ac:dyDescent="0.25"/>
    <row r="80" s="275" customFormat="1" ht="12.75" customHeight="1" x14ac:dyDescent="0.25"/>
    <row r="81" s="275" customFormat="1" ht="12.75" customHeight="1" x14ac:dyDescent="0.25"/>
    <row r="82" s="275" customFormat="1" ht="12.75" customHeight="1" x14ac:dyDescent="0.25"/>
    <row r="83" s="275" customFormat="1" ht="12.75" customHeight="1" x14ac:dyDescent="0.25"/>
    <row r="84" s="275" customFormat="1" ht="12.75" customHeight="1" x14ac:dyDescent="0.25"/>
    <row r="85" s="275" customFormat="1" ht="12.75" customHeight="1" x14ac:dyDescent="0.25"/>
    <row r="86" s="275" customFormat="1" ht="12.75" customHeight="1" x14ac:dyDescent="0.25"/>
    <row r="87" s="275" customFormat="1" ht="12.75" customHeight="1" x14ac:dyDescent="0.25"/>
    <row r="88" s="275" customFormat="1" ht="12.75" customHeight="1" x14ac:dyDescent="0.25"/>
    <row r="89" s="275" customFormat="1" ht="12.75" customHeight="1" x14ac:dyDescent="0.25"/>
    <row r="90" s="275" customFormat="1" ht="12.75" customHeight="1" x14ac:dyDescent="0.25"/>
    <row r="91" s="275" customFormat="1" ht="12.75" customHeight="1" x14ac:dyDescent="0.25"/>
    <row r="92" s="275" customFormat="1" ht="12.75" customHeight="1" x14ac:dyDescent="0.25"/>
    <row r="93" s="275" customFormat="1" ht="12.75" customHeight="1" x14ac:dyDescent="0.25"/>
    <row r="94" s="275" customFormat="1" ht="12.75" customHeight="1" x14ac:dyDescent="0.25"/>
    <row r="95" s="275" customFormat="1" ht="12.75" customHeight="1" x14ac:dyDescent="0.25"/>
    <row r="96" s="275" customFormat="1" ht="12.75" customHeight="1" x14ac:dyDescent="0.25"/>
    <row r="97" s="275" customFormat="1" ht="12.75" customHeight="1" x14ac:dyDescent="0.25"/>
    <row r="98" s="275" customFormat="1" ht="12.75" customHeight="1" x14ac:dyDescent="0.25"/>
    <row r="99" s="275" customFormat="1" ht="12.75" customHeight="1" x14ac:dyDescent="0.25"/>
    <row r="100" s="275" customFormat="1" ht="12.75" customHeight="1" x14ac:dyDescent="0.25"/>
    <row r="101" s="275" customFormat="1" ht="12.75" customHeight="1" x14ac:dyDescent="0.25"/>
    <row r="102" s="275" customFormat="1" ht="12.75" customHeight="1" x14ac:dyDescent="0.25"/>
    <row r="103" s="275" customFormat="1" ht="12.75" customHeight="1" x14ac:dyDescent="0.25"/>
    <row r="104" s="275" customFormat="1" ht="12.75" customHeight="1" x14ac:dyDescent="0.25"/>
    <row r="105" s="275" customFormat="1" ht="12.75" customHeight="1" x14ac:dyDescent="0.25"/>
    <row r="106" s="275" customFormat="1" ht="12.75" customHeight="1" x14ac:dyDescent="0.25"/>
    <row r="107" s="275" customFormat="1" ht="12.75" customHeight="1" x14ac:dyDescent="0.25"/>
    <row r="108" s="275" customFormat="1" ht="12.75" customHeight="1" x14ac:dyDescent="0.25"/>
    <row r="109" s="275" customFormat="1" ht="12.75" customHeight="1" x14ac:dyDescent="0.25"/>
    <row r="110" s="275" customFormat="1" ht="12.75" customHeight="1" x14ac:dyDescent="0.25"/>
    <row r="111" s="275" customFormat="1" ht="12.75" customHeight="1" x14ac:dyDescent="0.25"/>
    <row r="112" s="275" customFormat="1" ht="12.75" customHeight="1" x14ac:dyDescent="0.25"/>
    <row r="113" s="275" customFormat="1" ht="12.75" customHeight="1" x14ac:dyDescent="0.25"/>
    <row r="114" s="275" customFormat="1" ht="12.75" customHeight="1" x14ac:dyDescent="0.25"/>
    <row r="115" s="275" customFormat="1" ht="12.75" customHeight="1" x14ac:dyDescent="0.25"/>
    <row r="116" s="275" customFormat="1" ht="12.75" customHeight="1" x14ac:dyDescent="0.25"/>
    <row r="117" s="275" customFormat="1" ht="12.75" customHeight="1" x14ac:dyDescent="0.25"/>
    <row r="118" s="275" customFormat="1" ht="12.75" customHeight="1" x14ac:dyDescent="0.25"/>
    <row r="119" s="275" customFormat="1" ht="12.75" customHeight="1" x14ac:dyDescent="0.25"/>
    <row r="120" s="275" customFormat="1" ht="12.75" customHeight="1" x14ac:dyDescent="0.25"/>
    <row r="121" s="275" customFormat="1" ht="12.75" customHeight="1" x14ac:dyDescent="0.25"/>
    <row r="122" s="275" customFormat="1" ht="12.75" customHeight="1" x14ac:dyDescent="0.25"/>
    <row r="123" s="275" customFormat="1" ht="12.75" customHeight="1" x14ac:dyDescent="0.25"/>
    <row r="124" s="275" customFormat="1" ht="12.75" customHeight="1" x14ac:dyDescent="0.25"/>
    <row r="125" s="275" customFormat="1" ht="12.75" customHeight="1" x14ac:dyDescent="0.25"/>
    <row r="126" s="275" customFormat="1" ht="12.75" customHeight="1" x14ac:dyDescent="0.25"/>
    <row r="127" s="275" customFormat="1" ht="12.75" customHeight="1" x14ac:dyDescent="0.25"/>
    <row r="128" s="275" customFormat="1" ht="12.75" customHeight="1" x14ac:dyDescent="0.25"/>
    <row r="129" s="275" customFormat="1" ht="12.75" customHeight="1" x14ac:dyDescent="0.25"/>
    <row r="130" s="275" customFormat="1" ht="12.75" customHeight="1" x14ac:dyDescent="0.25"/>
    <row r="131" s="275" customFormat="1" ht="12.75" customHeight="1" x14ac:dyDescent="0.25"/>
    <row r="132" s="275" customFormat="1" ht="12.75" customHeight="1" x14ac:dyDescent="0.25"/>
    <row r="133" s="275" customFormat="1" ht="12.75" customHeight="1" x14ac:dyDescent="0.25"/>
    <row r="134" s="275" customFormat="1" ht="12.75" customHeight="1" x14ac:dyDescent="0.25"/>
    <row r="135" s="275" customFormat="1" ht="12.75" customHeight="1" x14ac:dyDescent="0.25"/>
    <row r="136" s="275" customFormat="1" ht="12.75" customHeight="1" x14ac:dyDescent="0.25"/>
    <row r="137" s="275" customFormat="1" ht="12.75" customHeight="1" x14ac:dyDescent="0.25"/>
    <row r="138" s="275" customFormat="1" ht="12.75" customHeight="1" x14ac:dyDescent="0.25"/>
    <row r="139" s="275" customFormat="1" ht="12.75" customHeight="1" x14ac:dyDescent="0.25"/>
    <row r="140" s="275" customFormat="1" ht="12.75" customHeight="1" x14ac:dyDescent="0.25"/>
    <row r="141" s="275" customFormat="1" ht="12.75" customHeight="1" x14ac:dyDescent="0.25"/>
    <row r="142" s="275" customFormat="1" ht="12.75" customHeight="1" x14ac:dyDescent="0.25"/>
    <row r="143" s="275" customFormat="1" ht="12.75" customHeight="1" x14ac:dyDescent="0.25"/>
    <row r="144" s="275" customFormat="1" ht="12.75" customHeight="1" x14ac:dyDescent="0.25"/>
    <row r="145" s="275" customFormat="1" ht="12.75" customHeight="1" x14ac:dyDescent="0.25"/>
    <row r="146" s="275" customFormat="1" ht="12.75" customHeight="1" x14ac:dyDescent="0.25"/>
    <row r="147" s="275" customFormat="1" ht="12.75" customHeight="1" x14ac:dyDescent="0.25"/>
    <row r="148" s="275" customFormat="1" ht="12.75" customHeight="1" x14ac:dyDescent="0.25"/>
    <row r="149" s="275" customFormat="1" ht="12.75" customHeight="1" x14ac:dyDescent="0.25"/>
    <row r="150" s="275" customFormat="1" ht="12.75" customHeight="1" x14ac:dyDescent="0.25"/>
    <row r="151" s="275" customFormat="1" ht="12.75" customHeight="1" x14ac:dyDescent="0.25"/>
    <row r="152" s="275" customFormat="1" ht="12.75" customHeight="1" x14ac:dyDescent="0.25"/>
    <row r="153" s="275" customFormat="1" ht="12.75" customHeight="1" x14ac:dyDescent="0.25"/>
    <row r="154" s="275" customFormat="1" ht="12.75" customHeight="1" x14ac:dyDescent="0.25"/>
    <row r="155" s="275" customFormat="1" ht="12.75" customHeight="1" x14ac:dyDescent="0.25"/>
    <row r="156" s="275" customFormat="1" ht="12.75" customHeight="1" x14ac:dyDescent="0.25"/>
    <row r="157" s="275" customFormat="1" ht="12.75" customHeight="1" x14ac:dyDescent="0.25"/>
    <row r="158" s="275" customFormat="1" ht="12.75" customHeight="1" x14ac:dyDescent="0.25"/>
    <row r="159" s="275" customFormat="1" ht="12.75" customHeight="1" x14ac:dyDescent="0.25"/>
    <row r="160" s="275" customFormat="1" ht="12.75" customHeight="1" x14ac:dyDescent="0.25"/>
    <row r="161" s="275" customFormat="1" ht="12.75" customHeight="1" x14ac:dyDescent="0.25"/>
    <row r="162" s="275" customFormat="1" ht="12.75" customHeight="1" x14ac:dyDescent="0.25"/>
    <row r="163" s="275" customFormat="1" ht="12.75" customHeight="1" x14ac:dyDescent="0.25"/>
    <row r="164" s="275" customFormat="1" ht="12.75" customHeight="1" x14ac:dyDescent="0.25"/>
    <row r="165" s="275" customFormat="1" ht="12.75" customHeight="1" x14ac:dyDescent="0.25"/>
    <row r="166" s="275" customFormat="1" ht="12.75" customHeight="1" x14ac:dyDescent="0.25"/>
    <row r="167" s="275" customFormat="1" ht="12.75" customHeight="1" x14ac:dyDescent="0.25"/>
    <row r="168" s="275" customFormat="1" ht="12.75" customHeight="1" x14ac:dyDescent="0.25"/>
    <row r="169" s="275" customFormat="1" ht="12.75" customHeight="1" x14ac:dyDescent="0.25"/>
    <row r="170" s="275" customFormat="1" ht="12.75" customHeight="1" x14ac:dyDescent="0.25"/>
    <row r="171" s="275" customFormat="1" ht="12.75" customHeight="1" x14ac:dyDescent="0.25"/>
    <row r="172" s="275" customFormat="1" ht="12.75" customHeight="1" x14ac:dyDescent="0.25"/>
    <row r="173" s="275" customFormat="1" ht="12.75" customHeight="1" x14ac:dyDescent="0.25"/>
    <row r="174" s="275" customFormat="1" ht="12.75" customHeight="1" x14ac:dyDescent="0.25"/>
    <row r="175" s="275" customFormat="1" ht="12.75" customHeight="1" x14ac:dyDescent="0.25"/>
    <row r="176" s="275" customFormat="1" ht="12.75" customHeight="1" x14ac:dyDescent="0.25"/>
    <row r="177" s="275" customFormat="1" ht="12.75" customHeight="1" x14ac:dyDescent="0.25"/>
    <row r="178" s="275" customFormat="1" ht="12.75" customHeight="1" x14ac:dyDescent="0.25"/>
    <row r="179" s="275" customFormat="1" ht="12.75" customHeight="1" x14ac:dyDescent="0.25"/>
    <row r="180" s="275" customFormat="1" ht="12.75" customHeight="1" x14ac:dyDescent="0.25"/>
    <row r="181" s="275" customFormat="1" ht="12.75" customHeight="1" x14ac:dyDescent="0.25"/>
    <row r="182" s="275" customFormat="1" ht="12.75" customHeight="1" x14ac:dyDescent="0.25"/>
    <row r="183" s="275" customFormat="1" ht="12.75" customHeight="1" x14ac:dyDescent="0.25"/>
    <row r="184" s="275" customFormat="1" ht="12.75" customHeight="1" x14ac:dyDescent="0.25"/>
    <row r="185" s="275" customFormat="1" ht="12.75" customHeight="1" x14ac:dyDescent="0.25"/>
    <row r="186" s="275" customFormat="1" ht="12.75" customHeight="1" x14ac:dyDescent="0.25"/>
    <row r="187" s="275" customFormat="1" ht="12.75" customHeight="1" x14ac:dyDescent="0.25"/>
    <row r="188" s="275" customFormat="1" ht="12.75" customHeight="1" x14ac:dyDescent="0.25"/>
    <row r="189" s="275" customFormat="1" ht="12.75" customHeight="1" x14ac:dyDescent="0.25"/>
    <row r="190" s="275" customFormat="1" ht="12.75" customHeight="1" x14ac:dyDescent="0.25"/>
    <row r="191" s="275" customFormat="1" ht="12.75" customHeight="1" x14ac:dyDescent="0.25"/>
    <row r="192" s="275" customFormat="1" ht="12.75" customHeight="1" x14ac:dyDescent="0.25"/>
    <row r="193" s="275" customFormat="1" ht="12.75" customHeight="1" x14ac:dyDescent="0.25"/>
    <row r="194" s="275" customFormat="1" ht="12.75" customHeight="1" x14ac:dyDescent="0.25"/>
    <row r="195" s="275" customFormat="1" ht="12.75" customHeight="1" x14ac:dyDescent="0.25"/>
    <row r="196" s="275" customFormat="1" ht="12.75" customHeight="1" x14ac:dyDescent="0.25"/>
    <row r="197" s="275" customFormat="1" ht="12.75" customHeight="1" x14ac:dyDescent="0.25"/>
    <row r="198" s="275" customFormat="1" ht="12.75" customHeight="1" x14ac:dyDescent="0.25"/>
    <row r="199" s="275" customFormat="1" ht="12.75" customHeight="1" x14ac:dyDescent="0.25"/>
    <row r="200" s="275" customFormat="1" ht="12.75" customHeight="1" x14ac:dyDescent="0.25"/>
    <row r="201" s="275" customFormat="1" ht="12.75" customHeight="1" x14ac:dyDescent="0.25"/>
    <row r="202" s="275" customFormat="1" ht="12.75" customHeight="1" x14ac:dyDescent="0.25"/>
    <row r="203" s="275" customFormat="1" ht="12.75" customHeight="1" x14ac:dyDescent="0.25"/>
    <row r="204" s="275" customFormat="1" ht="12.75" customHeight="1" x14ac:dyDescent="0.25"/>
    <row r="205" s="275" customFormat="1" ht="12.75" customHeight="1" x14ac:dyDescent="0.25"/>
    <row r="206" s="275" customFormat="1" ht="12.75" customHeight="1" x14ac:dyDescent="0.25"/>
    <row r="207" s="275" customFormat="1" ht="12.75" customHeight="1" x14ac:dyDescent="0.25"/>
    <row r="208" s="275" customFormat="1" ht="12.75" customHeight="1" x14ac:dyDescent="0.25"/>
    <row r="209" s="275" customFormat="1" ht="12.75" customHeight="1" x14ac:dyDescent="0.25"/>
    <row r="210" s="275" customFormat="1" ht="12.75" customHeight="1" x14ac:dyDescent="0.25"/>
    <row r="211" s="275" customFormat="1" ht="12.75" customHeight="1" x14ac:dyDescent="0.25"/>
    <row r="212" s="275" customFormat="1" ht="12.75" customHeight="1" x14ac:dyDescent="0.25"/>
  </sheetData>
  <conditionalFormatting sqref="I8:I23">
    <cfRule type="cellIs" dxfId="9" priority="1" operator="greaterThan">
      <formula>$H$23</formula>
    </cfRule>
  </conditionalFormatting>
  <pageMargins left="0.25" right="0.25" top="0.95" bottom="0.75" header="0.09" footer="0.3"/>
  <pageSetup scale="8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2B9C-F737-4715-A6A7-468560ED0D25}">
  <sheetPr>
    <pageSetUpPr fitToPage="1"/>
  </sheetPr>
  <dimension ref="A1:J24"/>
  <sheetViews>
    <sheetView zoomScaleNormal="100" workbookViewId="0">
      <selection activeCell="N21" sqref="N21"/>
    </sheetView>
  </sheetViews>
  <sheetFormatPr defaultColWidth="11.42578125" defaultRowHeight="15" customHeight="1" x14ac:dyDescent="0.25"/>
  <cols>
    <col min="1" max="1" width="24.5703125" customWidth="1"/>
    <col min="2" max="3" width="9.42578125" customWidth="1"/>
    <col min="4" max="4" width="36.28515625" customWidth="1"/>
    <col min="5" max="5" width="12.5703125" customWidth="1"/>
    <col min="6" max="6" width="13.5703125" customWidth="1"/>
    <col min="7" max="7" width="12.42578125" customWidth="1"/>
    <col min="8" max="8" width="10.5703125" customWidth="1"/>
    <col min="9" max="9" width="11.855468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#9513.00'!B1</f>
        <v>HHS CHMHI Tuckpointing Phase 2.2</v>
      </c>
      <c r="B1" s="3"/>
      <c r="C1" s="3"/>
      <c r="D1" s="4"/>
      <c r="E1" s="4"/>
      <c r="F1" s="4"/>
      <c r="G1" s="33"/>
      <c r="H1" s="33"/>
      <c r="I1" s="34"/>
      <c r="J1" s="34"/>
    </row>
    <row r="2" spans="1:10" ht="15.75" x14ac:dyDescent="0.25">
      <c r="A2" s="6" t="str">
        <f>'RECAP #9513.00'!B2</f>
        <v>Project # 9513.00</v>
      </c>
      <c r="B2" s="5"/>
      <c r="C2" s="5"/>
      <c r="D2" s="4"/>
      <c r="E2" s="4"/>
      <c r="F2" s="4"/>
      <c r="G2" s="33"/>
      <c r="H2" s="33"/>
      <c r="I2" s="34"/>
      <c r="J2" s="34"/>
    </row>
    <row r="3" spans="1:10" ht="15.75" x14ac:dyDescent="0.25">
      <c r="A3" s="7" t="str">
        <f>'RECAP #9513.00'!B3</f>
        <v>Program code 951300</v>
      </c>
      <c r="B3" s="5"/>
      <c r="C3" s="5"/>
      <c r="D3" s="4"/>
      <c r="E3" s="8" t="str">
        <f>'RECAP #9513.00'!E3</f>
        <v>Major Program 4E10</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257</v>
      </c>
      <c r="F6" s="49"/>
      <c r="G6" s="50"/>
      <c r="H6" s="46"/>
      <c r="I6" s="41"/>
      <c r="J6" s="34"/>
    </row>
    <row r="7" spans="1:10" ht="15.75" x14ac:dyDescent="0.25">
      <c r="A7" s="13" t="str">
        <f>'RECAP #9513.00'!B6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20000</v>
      </c>
      <c r="F9" s="290">
        <f>E9</f>
        <v>20000</v>
      </c>
      <c r="G9" s="291"/>
      <c r="H9" s="291"/>
      <c r="I9" s="291">
        <f>F9</f>
        <v>20000</v>
      </c>
      <c r="J9" s="292"/>
    </row>
    <row r="10" spans="1:10" s="275" customFormat="1" ht="12.75" customHeight="1" x14ac:dyDescent="0.25">
      <c r="A10" s="220" t="s">
        <v>322</v>
      </c>
      <c r="B10" s="221">
        <v>45968</v>
      </c>
      <c r="C10" s="329" t="s">
        <v>269</v>
      </c>
      <c r="D10" s="179" t="s">
        <v>323</v>
      </c>
      <c r="E10" s="290"/>
      <c r="F10" s="290">
        <f t="shared" ref="F10:F21" si="0">F9+E10</f>
        <v>20000</v>
      </c>
      <c r="G10" s="294">
        <v>39.99</v>
      </c>
      <c r="H10" s="291">
        <f t="shared" ref="H10:H21" si="1">H9+G10</f>
        <v>39.99</v>
      </c>
      <c r="I10" s="291">
        <f t="shared" ref="I10:I21" si="2">I9-G10+E10</f>
        <v>19960.009999999998</v>
      </c>
      <c r="J10" s="292"/>
    </row>
    <row r="11" spans="1:10" s="275" customFormat="1" ht="12.75" customHeight="1" x14ac:dyDescent="0.25">
      <c r="A11" s="220" t="s">
        <v>322</v>
      </c>
      <c r="B11" s="221">
        <v>45968</v>
      </c>
      <c r="C11" s="329">
        <v>9500</v>
      </c>
      <c r="D11" s="222" t="s">
        <v>324</v>
      </c>
      <c r="E11" s="290"/>
      <c r="F11" s="290">
        <f t="shared" si="0"/>
        <v>20000</v>
      </c>
      <c r="G11" s="294">
        <v>398.7</v>
      </c>
      <c r="H11" s="291">
        <f t="shared" si="1"/>
        <v>438.69</v>
      </c>
      <c r="I11" s="291">
        <f t="shared" si="2"/>
        <v>19561.309999999998</v>
      </c>
      <c r="J11" s="292"/>
    </row>
    <row r="12" spans="1:10" s="275" customFormat="1" ht="12.75" customHeight="1" x14ac:dyDescent="0.2">
      <c r="A12" s="213" t="s">
        <v>373</v>
      </c>
      <c r="B12" s="214">
        <v>45996</v>
      </c>
      <c r="C12" s="332" t="s">
        <v>269</v>
      </c>
      <c r="D12" s="175" t="s">
        <v>374</v>
      </c>
      <c r="E12" s="290"/>
      <c r="F12" s="290">
        <f t="shared" si="0"/>
        <v>20000</v>
      </c>
      <c r="G12" s="294">
        <v>160.16999999999999</v>
      </c>
      <c r="H12" s="291">
        <f t="shared" si="1"/>
        <v>598.86</v>
      </c>
      <c r="I12" s="291">
        <f t="shared" si="2"/>
        <v>19401.14</v>
      </c>
      <c r="J12" s="292"/>
    </row>
    <row r="13" spans="1:10" s="275" customFormat="1" ht="12.75" customHeight="1" x14ac:dyDescent="0.2">
      <c r="A13" s="213" t="s">
        <v>373</v>
      </c>
      <c r="B13" s="214">
        <v>45996</v>
      </c>
      <c r="C13" s="333">
        <v>9500</v>
      </c>
      <c r="D13" s="78" t="s">
        <v>375</v>
      </c>
      <c r="E13" s="290"/>
      <c r="F13" s="290">
        <f t="shared" si="0"/>
        <v>20000</v>
      </c>
      <c r="G13" s="294">
        <v>1019.8</v>
      </c>
      <c r="H13" s="291">
        <f t="shared" si="1"/>
        <v>1618.6599999999999</v>
      </c>
      <c r="I13" s="291">
        <f t="shared" si="2"/>
        <v>18381.34</v>
      </c>
      <c r="J13" s="292"/>
    </row>
    <row r="14" spans="1:10" s="275" customFormat="1" ht="12.75" customHeight="1" x14ac:dyDescent="0.2">
      <c r="A14" s="213" t="s">
        <v>433</v>
      </c>
      <c r="B14" s="214">
        <v>46030</v>
      </c>
      <c r="C14" s="332" t="s">
        <v>269</v>
      </c>
      <c r="D14" s="175" t="s">
        <v>434</v>
      </c>
      <c r="E14" s="290"/>
      <c r="F14" s="290">
        <f t="shared" si="0"/>
        <v>20000</v>
      </c>
      <c r="G14" s="294">
        <v>73.989999999999995</v>
      </c>
      <c r="H14" s="291">
        <f t="shared" si="1"/>
        <v>1692.6499999999999</v>
      </c>
      <c r="I14" s="291">
        <f t="shared" si="2"/>
        <v>18307.349999999999</v>
      </c>
      <c r="J14" s="292"/>
    </row>
    <row r="15" spans="1:10" s="275" customFormat="1" ht="12.75" customHeight="1" x14ac:dyDescent="0.2">
      <c r="A15" s="213" t="s">
        <v>433</v>
      </c>
      <c r="B15" s="214">
        <v>46030</v>
      </c>
      <c r="C15" s="333">
        <v>9500</v>
      </c>
      <c r="D15" s="78" t="s">
        <v>435</v>
      </c>
      <c r="E15" s="290"/>
      <c r="F15" s="290">
        <f t="shared" si="0"/>
        <v>20000</v>
      </c>
      <c r="G15" s="294">
        <v>836.5</v>
      </c>
      <c r="H15" s="291">
        <f t="shared" si="1"/>
        <v>2529.1499999999996</v>
      </c>
      <c r="I15" s="291">
        <f t="shared" si="2"/>
        <v>17470.849999999999</v>
      </c>
      <c r="J15" s="292"/>
    </row>
    <row r="16" spans="1:10" s="275" customFormat="1" ht="12.75" customHeight="1" x14ac:dyDescent="0.2">
      <c r="A16" s="213" t="s">
        <v>559</v>
      </c>
      <c r="B16" s="214">
        <v>46062</v>
      </c>
      <c r="C16" s="332" t="s">
        <v>269</v>
      </c>
      <c r="D16" s="175" t="s">
        <v>560</v>
      </c>
      <c r="E16" s="290"/>
      <c r="F16" s="290">
        <f t="shared" si="0"/>
        <v>20000</v>
      </c>
      <c r="G16" s="294">
        <v>92.08</v>
      </c>
      <c r="H16" s="291">
        <f t="shared" si="1"/>
        <v>2621.2299999999996</v>
      </c>
      <c r="I16" s="291">
        <f t="shared" si="2"/>
        <v>17378.769999999997</v>
      </c>
      <c r="J16" s="292"/>
    </row>
    <row r="17" spans="1:10" s="275" customFormat="1" ht="12.75" customHeight="1" x14ac:dyDescent="0.2">
      <c r="A17" s="213" t="s">
        <v>559</v>
      </c>
      <c r="B17" s="214">
        <v>46062</v>
      </c>
      <c r="C17" s="333">
        <v>9500</v>
      </c>
      <c r="D17" s="78" t="s">
        <v>561</v>
      </c>
      <c r="E17" s="290"/>
      <c r="F17" s="290">
        <f t="shared" si="0"/>
        <v>20000</v>
      </c>
      <c r="G17" s="294">
        <v>1138.9000000000001</v>
      </c>
      <c r="H17" s="291">
        <f t="shared" si="1"/>
        <v>3760.1299999999997</v>
      </c>
      <c r="I17" s="291">
        <f t="shared" si="2"/>
        <v>16239.869999999997</v>
      </c>
      <c r="J17" s="292"/>
    </row>
    <row r="18" spans="1:10" s="275" customFormat="1" ht="12.75" customHeight="1" x14ac:dyDescent="0.2">
      <c r="A18" s="213" t="s">
        <v>663</v>
      </c>
      <c r="B18" s="214">
        <v>46090</v>
      </c>
      <c r="C18" s="332" t="s">
        <v>269</v>
      </c>
      <c r="D18" s="175" t="s">
        <v>664</v>
      </c>
      <c r="E18" s="290"/>
      <c r="F18" s="290">
        <f t="shared" si="0"/>
        <v>20000</v>
      </c>
      <c r="G18" s="294">
        <v>95.57</v>
      </c>
      <c r="H18" s="291">
        <f t="shared" si="1"/>
        <v>3855.7</v>
      </c>
      <c r="I18" s="291">
        <f t="shared" si="2"/>
        <v>16144.299999999997</v>
      </c>
      <c r="J18" s="292"/>
    </row>
    <row r="19" spans="1:10" s="275" customFormat="1" ht="12.75" customHeight="1" x14ac:dyDescent="0.2">
      <c r="A19" s="213" t="s">
        <v>663</v>
      </c>
      <c r="B19" s="214">
        <v>46090</v>
      </c>
      <c r="C19" s="333">
        <v>9500</v>
      </c>
      <c r="D19" s="78" t="s">
        <v>665</v>
      </c>
      <c r="E19" s="290"/>
      <c r="F19" s="290">
        <f t="shared" si="0"/>
        <v>20000</v>
      </c>
      <c r="G19" s="294">
        <v>1102.8</v>
      </c>
      <c r="H19" s="291">
        <f t="shared" si="1"/>
        <v>4958.5</v>
      </c>
      <c r="I19" s="291">
        <f t="shared" si="2"/>
        <v>15041.499999999998</v>
      </c>
      <c r="J19" s="292"/>
    </row>
    <row r="20" spans="1:10" s="275" customFormat="1" ht="12.75" customHeight="1" x14ac:dyDescent="0.25">
      <c r="A20" s="298"/>
      <c r="B20" s="287"/>
      <c r="C20" s="329"/>
      <c r="D20" s="297"/>
      <c r="E20" s="290"/>
      <c r="F20" s="290">
        <f t="shared" si="0"/>
        <v>20000</v>
      </c>
      <c r="G20" s="291"/>
      <c r="H20" s="291">
        <f t="shared" si="1"/>
        <v>4958.5</v>
      </c>
      <c r="I20" s="291">
        <f t="shared" si="2"/>
        <v>15041.499999999998</v>
      </c>
      <c r="J20" s="292"/>
    </row>
    <row r="21" spans="1:10" s="275" customFormat="1" ht="12.75" customHeight="1" x14ac:dyDescent="0.25">
      <c r="A21" s="298"/>
      <c r="B21" s="287"/>
      <c r="C21" s="329"/>
      <c r="D21" s="318"/>
      <c r="E21" s="290"/>
      <c r="F21" s="290">
        <f t="shared" si="0"/>
        <v>20000</v>
      </c>
      <c r="G21" s="291"/>
      <c r="H21" s="291">
        <f t="shared" si="1"/>
        <v>4958.5</v>
      </c>
      <c r="I21" s="291">
        <f t="shared" si="2"/>
        <v>15041.499999999998</v>
      </c>
      <c r="J21" s="292"/>
    </row>
    <row r="22" spans="1:10" s="275" customFormat="1" ht="12.75" customHeight="1" x14ac:dyDescent="0.25">
      <c r="A22" s="286"/>
      <c r="B22" s="288"/>
      <c r="C22" s="329"/>
      <c r="D22" s="297"/>
      <c r="E22" s="291"/>
      <c r="F22" s="291"/>
      <c r="G22" s="291"/>
      <c r="H22" s="291"/>
      <c r="I22" s="291"/>
      <c r="J22" s="292"/>
    </row>
    <row r="23" spans="1:10" s="275" customFormat="1" ht="12.75" customHeight="1" thickBot="1" x14ac:dyDescent="0.3">
      <c r="A23" s="286"/>
      <c r="B23" s="300"/>
      <c r="C23" s="329"/>
      <c r="D23" s="301" t="s">
        <v>24</v>
      </c>
      <c r="E23" s="302">
        <f>SUM(E9:E22)</f>
        <v>20000</v>
      </c>
      <c r="F23" s="302"/>
      <c r="G23" s="302">
        <f>SUM(G9:G22)</f>
        <v>4958.5</v>
      </c>
      <c r="H23" s="302"/>
      <c r="I23" s="302">
        <f>E23-G23</f>
        <v>15041.5</v>
      </c>
      <c r="J23" s="292"/>
    </row>
    <row r="24" spans="1:10" s="275"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56F9-A986-4A50-BE34-D38C3D943785}">
  <sheetPr>
    <tabColor indexed="30"/>
    <pageSetUpPr fitToPage="1"/>
  </sheetPr>
  <dimension ref="A1:H23"/>
  <sheetViews>
    <sheetView zoomScaleNormal="100" workbookViewId="0">
      <selection activeCell="G27" sqref="G2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#9513.00'!B1</f>
        <v>HHS CHMHI Tuckpointing Phase 2.2</v>
      </c>
      <c r="B1" s="3"/>
      <c r="C1" s="3"/>
      <c r="D1" s="3"/>
      <c r="E1" s="4"/>
      <c r="F1" s="4"/>
      <c r="G1" s="4"/>
      <c r="H1" s="33"/>
    </row>
    <row r="2" spans="1:8" ht="15.75" x14ac:dyDescent="0.25">
      <c r="A2" s="6" t="str">
        <f>'RECAP #9513.00'!B2</f>
        <v>Project # 9513.00</v>
      </c>
      <c r="B2" s="5"/>
      <c r="C2" s="5"/>
      <c r="D2" s="5"/>
      <c r="E2" s="4"/>
      <c r="F2" s="4"/>
      <c r="G2" s="4"/>
      <c r="H2" s="33"/>
    </row>
    <row r="3" spans="1:8" ht="15.75" x14ac:dyDescent="0.25">
      <c r="A3" s="7" t="str">
        <f>'RECAP #9513.00'!B3</f>
        <v>Program code 951300</v>
      </c>
      <c r="B3" s="5"/>
      <c r="C3" s="5"/>
      <c r="D3" s="5"/>
      <c r="E3" s="8" t="str">
        <f>'RECAP #9513.00'!E3</f>
        <v>Major Program 4E10</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367</v>
      </c>
      <c r="F6" s="41"/>
      <c r="G6" s="44"/>
      <c r="H6" s="45"/>
    </row>
    <row r="7" spans="1:8" ht="15.75" x14ac:dyDescent="0.25">
      <c r="A7" s="13" t="str">
        <f>'RECAP #9513.00'!B6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0B1EA-BE24-4BD5-ADAF-83955828E434}">
  <sheetPr>
    <pageSetUpPr fitToPage="1"/>
  </sheetPr>
  <dimension ref="A1:I143"/>
  <sheetViews>
    <sheetView zoomScaleNormal="100" workbookViewId="0">
      <selection activeCell="L19" sqref="L19"/>
    </sheetView>
  </sheetViews>
  <sheetFormatPr defaultColWidth="11.42578125" defaultRowHeight="15" customHeight="1" x14ac:dyDescent="0.25"/>
  <cols>
    <col min="1" max="1" width="24.5703125" customWidth="1"/>
    <col min="2" max="2" width="9.42578125" customWidth="1"/>
    <col min="3" max="3" width="17.57031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#9513.00'!B1</f>
        <v>HHS CHMHI Tuckpointing Phase 2.2</v>
      </c>
      <c r="B1" s="3"/>
      <c r="C1" s="4"/>
      <c r="D1" s="4"/>
      <c r="E1" s="4"/>
      <c r="F1" s="33"/>
      <c r="G1" s="33"/>
      <c r="H1" s="34"/>
      <c r="I1" s="34"/>
    </row>
    <row r="2" spans="1:9" ht="15.75" x14ac:dyDescent="0.25">
      <c r="A2" s="6" t="str">
        <f>'RECAP #9513.00'!B2</f>
        <v>Project # 9513.00</v>
      </c>
      <c r="B2" s="5"/>
      <c r="C2" s="4"/>
      <c r="D2" s="4"/>
      <c r="E2" s="4"/>
      <c r="F2" s="33"/>
      <c r="G2" s="33"/>
      <c r="H2" s="34"/>
      <c r="I2" s="34"/>
    </row>
    <row r="3" spans="1:9" ht="15.75" x14ac:dyDescent="0.25">
      <c r="A3" s="7" t="str">
        <f>'RECAP #9513.00'!B3</f>
        <v>Program code 951300</v>
      </c>
      <c r="B3" s="5"/>
      <c r="C3" s="4"/>
      <c r="D3" s="8" t="str">
        <f>'RECAP #9513.00'!E3</f>
        <v>Major Program 4E10</v>
      </c>
      <c r="E3" s="4"/>
      <c r="F3" s="33"/>
      <c r="G3" s="33"/>
      <c r="H3" s="34"/>
      <c r="I3" s="34"/>
    </row>
    <row r="4" spans="1:9" ht="15.75" x14ac:dyDescent="0.25">
      <c r="A4" s="35" t="s">
        <v>410</v>
      </c>
      <c r="B4" s="36"/>
      <c r="C4" s="37"/>
      <c r="D4" s="38" t="s">
        <v>411</v>
      </c>
      <c r="E4" s="39"/>
      <c r="F4" s="33"/>
      <c r="G4" s="33"/>
      <c r="H4" s="34"/>
      <c r="I4" s="34"/>
    </row>
    <row r="5" spans="1:9" ht="15.75" x14ac:dyDescent="0.25">
      <c r="A5" s="40" t="s">
        <v>117</v>
      </c>
      <c r="B5" s="41"/>
      <c r="C5" s="42"/>
      <c r="D5" s="43" t="s">
        <v>412</v>
      </c>
      <c r="E5" s="44"/>
      <c r="F5" s="45"/>
      <c r="G5" s="46"/>
      <c r="H5" s="41"/>
      <c r="I5" s="34"/>
    </row>
    <row r="6" spans="1:9" ht="15.75" x14ac:dyDescent="0.25">
      <c r="A6" s="13" t="str">
        <f>'RECAP #9513.00'!B6</f>
        <v>Project Manager - Jennie E.</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
      <c r="A9" s="286" t="s">
        <v>413</v>
      </c>
      <c r="B9" s="287">
        <v>46029</v>
      </c>
      <c r="C9" s="288" t="s">
        <v>111</v>
      </c>
      <c r="D9" s="171">
        <v>54900</v>
      </c>
      <c r="E9" s="290">
        <f>D9</f>
        <v>54900</v>
      </c>
      <c r="F9" s="291"/>
      <c r="G9" s="291"/>
      <c r="H9" s="291">
        <f>E9</f>
        <v>54900</v>
      </c>
      <c r="I9" s="292"/>
    </row>
    <row r="10" spans="1:9" s="275" customFormat="1" ht="12.75" customHeight="1" x14ac:dyDescent="0.25">
      <c r="A10" s="286" t="s">
        <v>606</v>
      </c>
      <c r="B10" s="293">
        <v>46077</v>
      </c>
      <c r="C10" s="288" t="s">
        <v>607</v>
      </c>
      <c r="D10" s="290"/>
      <c r="E10" s="290">
        <f t="shared" ref="E10:E21" si="0">E9+D10</f>
        <v>54900</v>
      </c>
      <c r="F10" s="294">
        <v>24800</v>
      </c>
      <c r="G10" s="291">
        <f t="shared" ref="G10:G21" si="1">G9+F10</f>
        <v>24800</v>
      </c>
      <c r="H10" s="291">
        <f t="shared" ref="H10:H21" si="2">H9-F10+D10</f>
        <v>30100</v>
      </c>
      <c r="I10" s="292"/>
    </row>
    <row r="11" spans="1:9" s="275" customFormat="1" ht="12.75" customHeight="1" x14ac:dyDescent="0.25">
      <c r="A11" s="286"/>
      <c r="B11" s="287"/>
      <c r="C11" s="288"/>
      <c r="D11" s="290"/>
      <c r="E11" s="290">
        <f t="shared" si="0"/>
        <v>54900</v>
      </c>
      <c r="F11" s="295"/>
      <c r="G11" s="291">
        <f t="shared" si="1"/>
        <v>24800</v>
      </c>
      <c r="H11" s="291">
        <f t="shared" si="2"/>
        <v>30100</v>
      </c>
      <c r="I11" s="292"/>
    </row>
    <row r="12" spans="1:9" s="275" customFormat="1" ht="12.75" customHeight="1" x14ac:dyDescent="0.25">
      <c r="A12" s="286"/>
      <c r="B12" s="287"/>
      <c r="C12" s="288"/>
      <c r="D12" s="290"/>
      <c r="E12" s="290">
        <f t="shared" si="0"/>
        <v>54900</v>
      </c>
      <c r="F12" s="295"/>
      <c r="G12" s="291">
        <f t="shared" si="1"/>
        <v>24800</v>
      </c>
      <c r="H12" s="291">
        <f t="shared" si="2"/>
        <v>30100</v>
      </c>
      <c r="I12" s="292"/>
    </row>
    <row r="13" spans="1:9" s="275" customFormat="1" ht="12.75" customHeight="1" x14ac:dyDescent="0.25">
      <c r="A13" s="286"/>
      <c r="B13" s="287"/>
      <c r="C13" s="288"/>
      <c r="D13" s="290"/>
      <c r="E13" s="290">
        <f t="shared" si="0"/>
        <v>54900</v>
      </c>
      <c r="F13" s="295"/>
      <c r="G13" s="291">
        <f t="shared" si="1"/>
        <v>24800</v>
      </c>
      <c r="H13" s="291">
        <f t="shared" si="2"/>
        <v>30100</v>
      </c>
      <c r="I13" s="292"/>
    </row>
    <row r="14" spans="1:9" s="275" customFormat="1" ht="12.75" customHeight="1" x14ac:dyDescent="0.25">
      <c r="A14" s="286"/>
      <c r="B14" s="287"/>
      <c r="C14" s="288"/>
      <c r="D14" s="290"/>
      <c r="E14" s="290">
        <f t="shared" si="0"/>
        <v>54900</v>
      </c>
      <c r="F14" s="291"/>
      <c r="G14" s="291">
        <f t="shared" si="1"/>
        <v>24800</v>
      </c>
      <c r="H14" s="291">
        <f t="shared" si="2"/>
        <v>30100</v>
      </c>
      <c r="I14" s="292"/>
    </row>
    <row r="15" spans="1:9" s="275" customFormat="1" ht="12.75" customHeight="1" x14ac:dyDescent="0.25">
      <c r="A15" s="286"/>
      <c r="B15" s="287"/>
      <c r="C15" s="288"/>
      <c r="D15" s="290"/>
      <c r="E15" s="290">
        <f t="shared" si="0"/>
        <v>54900</v>
      </c>
      <c r="F15" s="295"/>
      <c r="G15" s="291">
        <f t="shared" si="1"/>
        <v>24800</v>
      </c>
      <c r="H15" s="291">
        <f t="shared" si="2"/>
        <v>30100</v>
      </c>
      <c r="I15" s="292"/>
    </row>
    <row r="16" spans="1:9" s="275" customFormat="1" ht="12.75" customHeight="1" x14ac:dyDescent="0.25">
      <c r="A16" s="286"/>
      <c r="B16" s="287"/>
      <c r="C16" s="288"/>
      <c r="D16" s="290"/>
      <c r="E16" s="290">
        <f t="shared" si="0"/>
        <v>54900</v>
      </c>
      <c r="F16" s="295"/>
      <c r="G16" s="291">
        <f t="shared" si="1"/>
        <v>24800</v>
      </c>
      <c r="H16" s="291">
        <f t="shared" si="2"/>
        <v>30100</v>
      </c>
      <c r="I16" s="292"/>
    </row>
    <row r="17" spans="1:9" s="275" customFormat="1" ht="12.75" customHeight="1" x14ac:dyDescent="0.25">
      <c r="A17" s="286"/>
      <c r="B17" s="287"/>
      <c r="C17" s="288"/>
      <c r="D17" s="290"/>
      <c r="E17" s="290">
        <f t="shared" si="0"/>
        <v>54900</v>
      </c>
      <c r="F17" s="295"/>
      <c r="G17" s="291">
        <f t="shared" si="1"/>
        <v>24800</v>
      </c>
      <c r="H17" s="291">
        <f t="shared" si="2"/>
        <v>30100</v>
      </c>
      <c r="I17" s="292"/>
    </row>
    <row r="18" spans="1:9" s="275" customFormat="1" ht="12.75" customHeight="1" x14ac:dyDescent="0.25">
      <c r="A18" s="286"/>
      <c r="B18" s="287"/>
      <c r="C18" s="288"/>
      <c r="D18" s="290"/>
      <c r="E18" s="290">
        <f t="shared" si="0"/>
        <v>54900</v>
      </c>
      <c r="F18" s="295"/>
      <c r="G18" s="291">
        <f t="shared" si="1"/>
        <v>24800</v>
      </c>
      <c r="H18" s="291">
        <f t="shared" si="2"/>
        <v>30100</v>
      </c>
      <c r="I18" s="292"/>
    </row>
    <row r="19" spans="1:9" s="275" customFormat="1" ht="12.75" customHeight="1" x14ac:dyDescent="0.25">
      <c r="A19" s="286"/>
      <c r="B19" s="287"/>
      <c r="C19" s="288"/>
      <c r="D19" s="290"/>
      <c r="E19" s="290">
        <f t="shared" si="0"/>
        <v>54900</v>
      </c>
      <c r="F19" s="291"/>
      <c r="G19" s="291">
        <f t="shared" si="1"/>
        <v>24800</v>
      </c>
      <c r="H19" s="291">
        <f t="shared" si="2"/>
        <v>30100</v>
      </c>
      <c r="I19" s="292"/>
    </row>
    <row r="20" spans="1:9" s="275" customFormat="1" ht="12.75" customHeight="1" x14ac:dyDescent="0.25">
      <c r="A20" s="286"/>
      <c r="B20" s="287"/>
      <c r="C20" s="288"/>
      <c r="D20" s="290"/>
      <c r="E20" s="290">
        <f t="shared" si="0"/>
        <v>54900</v>
      </c>
      <c r="F20" s="291"/>
      <c r="G20" s="291">
        <f t="shared" si="1"/>
        <v>24800</v>
      </c>
      <c r="H20" s="291">
        <f t="shared" si="2"/>
        <v>30100</v>
      </c>
      <c r="I20" s="292"/>
    </row>
    <row r="21" spans="1:9" s="275" customFormat="1" ht="12.75" customHeight="1" x14ac:dyDescent="0.25">
      <c r="A21" s="286"/>
      <c r="B21" s="287"/>
      <c r="C21" s="296"/>
      <c r="D21" s="290"/>
      <c r="E21" s="290">
        <f t="shared" si="0"/>
        <v>54900</v>
      </c>
      <c r="F21" s="291"/>
      <c r="G21" s="291">
        <f t="shared" si="1"/>
        <v>24800</v>
      </c>
      <c r="H21" s="291">
        <f t="shared" si="2"/>
        <v>30100</v>
      </c>
      <c r="I21" s="292"/>
    </row>
    <row r="22" spans="1:9" s="275" customFormat="1" ht="12.75" customHeight="1" x14ac:dyDescent="0.25">
      <c r="A22" s="286"/>
      <c r="B22" s="288"/>
      <c r="C22" s="297"/>
      <c r="D22" s="291"/>
      <c r="E22" s="291"/>
      <c r="F22" s="291"/>
      <c r="G22" s="291"/>
      <c r="H22" s="291"/>
      <c r="I22" s="292"/>
    </row>
    <row r="23" spans="1:9" ht="12.75" customHeight="1" thickBot="1" x14ac:dyDescent="0.3">
      <c r="A23" s="58"/>
      <c r="B23" s="69"/>
      <c r="C23" s="301" t="s">
        <v>24</v>
      </c>
      <c r="D23" s="302">
        <f>SUM(D9:D22)</f>
        <v>54900</v>
      </c>
      <c r="E23" s="302"/>
      <c r="F23" s="302">
        <f>SUM(F9:F22)</f>
        <v>24800</v>
      </c>
      <c r="G23" s="302"/>
      <c r="H23" s="302">
        <f>D23-F23</f>
        <v>30100</v>
      </c>
      <c r="I23" s="64"/>
    </row>
    <row r="24" spans="1:9" ht="12.75" customHeight="1" thickTop="1" x14ac:dyDescent="0.25">
      <c r="A24" s="72"/>
      <c r="B24" s="60"/>
      <c r="C24" s="297"/>
      <c r="D24" s="291"/>
      <c r="E24" s="291"/>
      <c r="F24" s="291"/>
      <c r="G24" s="291"/>
      <c r="H24" s="291"/>
      <c r="I24" s="64"/>
    </row>
    <row r="25" spans="1:9" ht="12.75" customHeight="1" x14ac:dyDescent="0.25">
      <c r="A25" s="72"/>
      <c r="B25" s="60"/>
      <c r="C25" s="68"/>
      <c r="D25" s="63"/>
      <c r="E25" s="63"/>
      <c r="F25" s="63"/>
      <c r="G25" s="63"/>
      <c r="H25" s="63"/>
      <c r="I25" s="64"/>
    </row>
    <row r="26" spans="1:9" ht="12.75" customHeight="1" x14ac:dyDescent="0.25">
      <c r="A26" s="72"/>
      <c r="B26" s="60"/>
      <c r="C26" s="312" t="s">
        <v>414</v>
      </c>
      <c r="D26" s="313">
        <v>24800</v>
      </c>
      <c r="E26" s="291"/>
      <c r="F26" s="291">
        <f>24800</f>
        <v>24800</v>
      </c>
      <c r="G26" s="291"/>
      <c r="H26" s="291">
        <f>D26-F26</f>
        <v>0</v>
      </c>
      <c r="I26" s="64"/>
    </row>
    <row r="27" spans="1:9" ht="12.75" customHeight="1" x14ac:dyDescent="0.25">
      <c r="A27" s="72"/>
      <c r="B27" s="60"/>
      <c r="C27" s="297" t="s">
        <v>415</v>
      </c>
      <c r="D27" s="291">
        <v>15200</v>
      </c>
      <c r="E27" s="291"/>
      <c r="F27" s="291"/>
      <c r="G27" s="291"/>
      <c r="H27" s="291">
        <f t="shared" ref="H27:H29" si="3">D27-F27</f>
        <v>15200</v>
      </c>
      <c r="I27" s="64"/>
    </row>
    <row r="28" spans="1:9" ht="12.75" customHeight="1" x14ac:dyDescent="0.25">
      <c r="A28" s="72"/>
      <c r="B28" s="60"/>
      <c r="C28" s="312" t="s">
        <v>416</v>
      </c>
      <c r="D28" s="313">
        <v>1900</v>
      </c>
      <c r="E28" s="313"/>
      <c r="F28" s="313"/>
      <c r="G28" s="313"/>
      <c r="H28" s="291">
        <f t="shared" si="3"/>
        <v>1900</v>
      </c>
      <c r="I28" s="64"/>
    </row>
    <row r="29" spans="1:9" ht="12.75" customHeight="1" x14ac:dyDescent="0.25">
      <c r="A29" s="72"/>
      <c r="B29" s="60"/>
      <c r="C29" s="312" t="s">
        <v>125</v>
      </c>
      <c r="D29" s="313">
        <v>13000</v>
      </c>
      <c r="E29" s="313"/>
      <c r="F29" s="313"/>
      <c r="G29" s="313"/>
      <c r="H29" s="291">
        <f t="shared" si="3"/>
        <v>13000</v>
      </c>
      <c r="I29" s="64"/>
    </row>
    <row r="30" spans="1:9" ht="12.75" customHeight="1" thickBot="1" x14ac:dyDescent="0.3">
      <c r="A30" s="72"/>
      <c r="B30" s="60"/>
      <c r="C30" s="314" t="s">
        <v>67</v>
      </c>
      <c r="D30" s="315">
        <f>SUM(D26:D29)</f>
        <v>54900</v>
      </c>
      <c r="E30" s="316"/>
      <c r="F30" s="315">
        <f>SUM(F26:F29)</f>
        <v>24800</v>
      </c>
      <c r="G30" s="316"/>
      <c r="H30" s="315">
        <f>SUM(H26:H29)</f>
        <v>30100</v>
      </c>
      <c r="I30" s="64"/>
    </row>
    <row r="31" spans="1:9" ht="12.75" customHeight="1" thickTop="1" x14ac:dyDescent="0.25">
      <c r="C31" s="275"/>
      <c r="D31" s="275"/>
      <c r="E31" s="275"/>
      <c r="F31" s="275"/>
      <c r="G31" s="275"/>
      <c r="H31" s="275"/>
    </row>
    <row r="32" spans="1: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sheetData>
  <conditionalFormatting sqref="I8:I23">
    <cfRule type="cellIs" dxfId="8"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9DB8-BF3B-4385-A046-ECF07768EFE2}">
  <sheetPr>
    <pageSetUpPr fitToPage="1"/>
  </sheetPr>
  <dimension ref="A1:G15"/>
  <sheetViews>
    <sheetView zoomScaleNormal="100" workbookViewId="0">
      <selection activeCell="B1" sqref="B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265</v>
      </c>
      <c r="C1" s="3"/>
      <c r="D1" s="4"/>
      <c r="E1" s="4"/>
      <c r="F1" s="4"/>
      <c r="G1" s="4"/>
    </row>
    <row r="2" spans="1:7" ht="15.75" x14ac:dyDescent="0.25">
      <c r="A2" s="1"/>
      <c r="B2" s="6" t="s">
        <v>266</v>
      </c>
      <c r="C2" s="5"/>
      <c r="D2" s="4"/>
      <c r="E2" s="4"/>
      <c r="F2" s="4"/>
      <c r="G2" s="4"/>
    </row>
    <row r="3" spans="1:7" ht="15.75" x14ac:dyDescent="0.25">
      <c r="A3" s="1"/>
      <c r="B3" s="7" t="s">
        <v>267</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192</v>
      </c>
      <c r="C6" s="14"/>
      <c r="D6" s="15" t="s">
        <v>2</v>
      </c>
      <c r="E6" s="16"/>
      <c r="F6" s="16"/>
      <c r="G6" s="16"/>
    </row>
    <row r="7" spans="1:7" ht="35.25" customHeight="1" thickBot="1" x14ac:dyDescent="0.3">
      <c r="A7" s="1"/>
      <c r="B7" s="18" t="s">
        <v>2</v>
      </c>
      <c r="C7" s="19" t="s">
        <v>3</v>
      </c>
      <c r="D7" s="20" t="s">
        <v>4</v>
      </c>
      <c r="E7" s="21" t="s">
        <v>5</v>
      </c>
      <c r="F7" s="22" t="s">
        <v>6</v>
      </c>
      <c r="G7" s="22" t="s">
        <v>7</v>
      </c>
    </row>
    <row r="8" spans="1:7" ht="28.35" customHeight="1" x14ac:dyDescent="0.25">
      <c r="A8" s="1"/>
      <c r="B8" s="1" t="s">
        <v>8</v>
      </c>
      <c r="C8" s="23">
        <f>FINANCIAL!G41</f>
        <v>10000</v>
      </c>
      <c r="D8" s="24"/>
      <c r="E8" s="24"/>
      <c r="F8" s="24"/>
      <c r="G8" s="25"/>
    </row>
    <row r="9" spans="1:7" s="275" customFormat="1" ht="12.75" customHeight="1" x14ac:dyDescent="0.25">
      <c r="A9" s="303"/>
      <c r="B9" s="304"/>
      <c r="C9" s="331"/>
      <c r="D9" s="306"/>
      <c r="E9" s="306"/>
      <c r="F9" s="306"/>
      <c r="G9" s="307"/>
    </row>
    <row r="10" spans="1:7" s="275" customFormat="1" ht="12.75" customHeight="1" x14ac:dyDescent="0.25">
      <c r="A10" s="303"/>
      <c r="B10" s="304" t="s">
        <v>282</v>
      </c>
      <c r="C10" s="305"/>
      <c r="D10" s="308">
        <f>'#9514.00 Horizon Architecture'!D23</f>
        <v>6765</v>
      </c>
      <c r="E10" s="308">
        <f>'#9514.00 Horizon Architecture'!F23</f>
        <v>6426.75</v>
      </c>
      <c r="F10" s="308">
        <f>'#9514.00 Horizon Architecture'!H23</f>
        <v>338.25</v>
      </c>
      <c r="G10" s="307"/>
    </row>
    <row r="11" spans="1:7" s="275" customFormat="1" ht="12.75" customHeight="1" x14ac:dyDescent="0.25">
      <c r="A11" s="303"/>
      <c r="B11" s="304" t="s">
        <v>10</v>
      </c>
      <c r="C11" s="305"/>
      <c r="D11" s="308">
        <f>'#9514.00 PM TIME '!E23</f>
        <v>2000</v>
      </c>
      <c r="E11" s="308">
        <f>'#9514.00 PM TIME '!G23</f>
        <v>1808.0800000000002</v>
      </c>
      <c r="F11" s="308">
        <f>'#9514.00 PM TIME '!I23</f>
        <v>191.91999999999985</v>
      </c>
      <c r="G11" s="307"/>
    </row>
    <row r="12" spans="1:7" s="275" customFormat="1" ht="12.75" customHeight="1" x14ac:dyDescent="0.25">
      <c r="A12" s="303"/>
      <c r="B12" s="304" t="s">
        <v>11</v>
      </c>
      <c r="C12" s="306"/>
      <c r="D12" s="309">
        <f>'#9514.00 Misc '!G22</f>
        <v>0</v>
      </c>
      <c r="E12" s="309">
        <f>'#9514.00 Misc '!H22</f>
        <v>0</v>
      </c>
      <c r="F12" s="308">
        <f>D12-E12</f>
        <v>0</v>
      </c>
      <c r="G12" s="307"/>
    </row>
    <row r="13" spans="1:7" s="275" customFormat="1" ht="12.75" customHeight="1" x14ac:dyDescent="0.25">
      <c r="A13" s="310"/>
      <c r="B13" s="304"/>
      <c r="C13" s="306"/>
      <c r="D13" s="309"/>
      <c r="E13" s="309"/>
      <c r="F13" s="308"/>
      <c r="G13" s="311"/>
    </row>
    <row r="14" spans="1:7" ht="24" customHeight="1" thickBot="1" x14ac:dyDescent="0.3">
      <c r="A14" s="30"/>
      <c r="B14" s="31" t="s">
        <v>12</v>
      </c>
      <c r="C14" s="32">
        <f>SUM(C8:C13)</f>
        <v>10000</v>
      </c>
      <c r="D14" s="32">
        <f>SUM(D8:D13)</f>
        <v>8765</v>
      </c>
      <c r="E14" s="32">
        <f>SUM(E8:E13)</f>
        <v>8234.83</v>
      </c>
      <c r="F14" s="32">
        <f>SUM(D14-E14)</f>
        <v>530.17000000000007</v>
      </c>
      <c r="G14" s="32">
        <f>C8-D14</f>
        <v>1235</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C5609-EEA4-486A-A543-E9F602322F7F}">
  <sheetPr>
    <pageSetUpPr fitToPage="1"/>
  </sheetPr>
  <dimension ref="A1:I25"/>
  <sheetViews>
    <sheetView zoomScaleNormal="100" workbookViewId="0">
      <selection activeCell="F30" sqref="F3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#9514.00'!B1</f>
        <v>DAS Union Sunday School Structural Investigation</v>
      </c>
      <c r="B1" s="3"/>
      <c r="C1" s="4"/>
      <c r="D1" s="4"/>
      <c r="E1" s="4"/>
      <c r="F1" s="33"/>
      <c r="G1" s="33"/>
      <c r="H1" s="34"/>
      <c r="I1" s="34"/>
    </row>
    <row r="2" spans="1:9" ht="15.75" x14ac:dyDescent="0.25">
      <c r="A2" s="6" t="str">
        <f>'RECAP #9514.00'!B2</f>
        <v>Project # 9514.00</v>
      </c>
      <c r="B2" s="5"/>
      <c r="C2" s="4"/>
      <c r="D2" s="4"/>
      <c r="E2" s="4"/>
      <c r="F2" s="33"/>
      <c r="G2" s="33"/>
      <c r="H2" s="34"/>
      <c r="I2" s="34"/>
    </row>
    <row r="3" spans="1:9" ht="15.75" x14ac:dyDescent="0.25">
      <c r="A3" s="7" t="str">
        <f>'RECAP #9514.00'!B3</f>
        <v>Program code 951400</v>
      </c>
      <c r="B3" s="5"/>
      <c r="C3" s="4"/>
      <c r="D3" s="8" t="str">
        <f>'RECAP #9514.00'!E3</f>
        <v>Major Program 4E19</v>
      </c>
      <c r="E3" s="4"/>
      <c r="F3" s="33"/>
      <c r="G3" s="33"/>
      <c r="H3" s="34"/>
      <c r="I3" s="34"/>
    </row>
    <row r="4" spans="1:9" ht="15.75" x14ac:dyDescent="0.25">
      <c r="A4" s="35" t="s">
        <v>282</v>
      </c>
      <c r="B4" s="36"/>
      <c r="C4" s="37"/>
      <c r="D4" s="38" t="s">
        <v>283</v>
      </c>
      <c r="E4" s="39"/>
      <c r="F4" s="33"/>
      <c r="G4" s="33"/>
      <c r="H4" s="34"/>
      <c r="I4" s="34"/>
    </row>
    <row r="5" spans="1:9" ht="15.75" x14ac:dyDescent="0.25">
      <c r="A5" s="40" t="s">
        <v>117</v>
      </c>
      <c r="B5" s="41"/>
      <c r="C5" s="42"/>
      <c r="D5" s="43" t="s">
        <v>284</v>
      </c>
      <c r="E5" s="44"/>
      <c r="F5" s="45"/>
      <c r="G5" s="46"/>
      <c r="H5" s="41"/>
      <c r="I5" s="34"/>
    </row>
    <row r="6" spans="1:9" ht="15.75" x14ac:dyDescent="0.25">
      <c r="A6" s="13" t="str">
        <f>'RECAP #9514.00'!B6</f>
        <v>Project Manager - Oliver S.</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317</v>
      </c>
      <c r="B9" s="287">
        <v>45944</v>
      </c>
      <c r="C9" s="288" t="s">
        <v>111</v>
      </c>
      <c r="D9" s="289">
        <v>6765</v>
      </c>
      <c r="E9" s="290">
        <f>D9</f>
        <v>6765</v>
      </c>
      <c r="F9" s="291"/>
      <c r="G9" s="291"/>
      <c r="H9" s="291">
        <f>E9</f>
        <v>6765</v>
      </c>
      <c r="I9" s="292"/>
    </row>
    <row r="10" spans="1:9" s="275" customFormat="1" ht="12.75" customHeight="1" x14ac:dyDescent="0.25">
      <c r="A10" s="286" t="s">
        <v>576</v>
      </c>
      <c r="B10" s="293">
        <v>46069</v>
      </c>
      <c r="C10" s="288" t="s">
        <v>577</v>
      </c>
      <c r="D10" s="290"/>
      <c r="E10" s="290">
        <f t="shared" ref="E10:E21" si="0">E9+D10</f>
        <v>6765</v>
      </c>
      <c r="F10" s="294">
        <v>6426.75</v>
      </c>
      <c r="G10" s="291">
        <f t="shared" ref="G10:G21" si="1">G9+F10</f>
        <v>6426.75</v>
      </c>
      <c r="H10" s="291">
        <f t="shared" ref="H10:H21" si="2">H9-F10+D10</f>
        <v>338.25</v>
      </c>
      <c r="I10" s="292"/>
    </row>
    <row r="11" spans="1:9" s="275" customFormat="1" ht="12.75" customHeight="1" x14ac:dyDescent="0.25">
      <c r="A11" s="286"/>
      <c r="B11" s="287"/>
      <c r="C11" s="288"/>
      <c r="D11" s="290"/>
      <c r="E11" s="290">
        <f t="shared" si="0"/>
        <v>6765</v>
      </c>
      <c r="F11" s="295"/>
      <c r="G11" s="291">
        <f t="shared" si="1"/>
        <v>6426.75</v>
      </c>
      <c r="H11" s="291">
        <f t="shared" si="2"/>
        <v>338.25</v>
      </c>
      <c r="I11" s="292"/>
    </row>
    <row r="12" spans="1:9" s="275" customFormat="1" ht="12.75" customHeight="1" x14ac:dyDescent="0.25">
      <c r="A12" s="286"/>
      <c r="B12" s="287"/>
      <c r="C12" s="288"/>
      <c r="D12" s="290"/>
      <c r="E12" s="290">
        <f t="shared" si="0"/>
        <v>6765</v>
      </c>
      <c r="F12" s="295"/>
      <c r="G12" s="291">
        <f t="shared" si="1"/>
        <v>6426.75</v>
      </c>
      <c r="H12" s="291">
        <f t="shared" si="2"/>
        <v>338.25</v>
      </c>
      <c r="I12" s="292"/>
    </row>
    <row r="13" spans="1:9" s="275" customFormat="1" ht="12.75" customHeight="1" x14ac:dyDescent="0.25">
      <c r="A13" s="286"/>
      <c r="B13" s="287"/>
      <c r="C13" s="288"/>
      <c r="D13" s="290"/>
      <c r="E13" s="290">
        <f t="shared" si="0"/>
        <v>6765</v>
      </c>
      <c r="F13" s="295"/>
      <c r="G13" s="291">
        <f t="shared" si="1"/>
        <v>6426.75</v>
      </c>
      <c r="H13" s="291">
        <f t="shared" si="2"/>
        <v>338.25</v>
      </c>
      <c r="I13" s="292"/>
    </row>
    <row r="14" spans="1:9" s="275" customFormat="1" ht="12.75" customHeight="1" x14ac:dyDescent="0.25">
      <c r="A14" s="286"/>
      <c r="B14" s="287"/>
      <c r="C14" s="288"/>
      <c r="D14" s="290"/>
      <c r="E14" s="290">
        <f t="shared" si="0"/>
        <v>6765</v>
      </c>
      <c r="F14" s="291"/>
      <c r="G14" s="291">
        <f t="shared" si="1"/>
        <v>6426.75</v>
      </c>
      <c r="H14" s="291">
        <f t="shared" si="2"/>
        <v>338.25</v>
      </c>
      <c r="I14" s="292"/>
    </row>
    <row r="15" spans="1:9" s="275" customFormat="1" ht="12.75" customHeight="1" x14ac:dyDescent="0.25">
      <c r="A15" s="286"/>
      <c r="B15" s="287"/>
      <c r="C15" s="288"/>
      <c r="D15" s="290"/>
      <c r="E15" s="290">
        <f t="shared" si="0"/>
        <v>6765</v>
      </c>
      <c r="F15" s="295"/>
      <c r="G15" s="291">
        <f t="shared" si="1"/>
        <v>6426.75</v>
      </c>
      <c r="H15" s="291">
        <f t="shared" si="2"/>
        <v>338.25</v>
      </c>
      <c r="I15" s="292"/>
    </row>
    <row r="16" spans="1:9" s="275" customFormat="1" ht="12.75" customHeight="1" x14ac:dyDescent="0.25">
      <c r="A16" s="286"/>
      <c r="B16" s="287"/>
      <c r="C16" s="288"/>
      <c r="D16" s="290"/>
      <c r="E16" s="290">
        <f t="shared" si="0"/>
        <v>6765</v>
      </c>
      <c r="F16" s="295"/>
      <c r="G16" s="291">
        <f t="shared" si="1"/>
        <v>6426.75</v>
      </c>
      <c r="H16" s="291">
        <f t="shared" si="2"/>
        <v>338.25</v>
      </c>
      <c r="I16" s="292"/>
    </row>
    <row r="17" spans="1:9" s="275" customFormat="1" ht="12.75" customHeight="1" x14ac:dyDescent="0.25">
      <c r="A17" s="286"/>
      <c r="B17" s="287"/>
      <c r="C17" s="288"/>
      <c r="D17" s="290"/>
      <c r="E17" s="290">
        <f t="shared" si="0"/>
        <v>6765</v>
      </c>
      <c r="F17" s="295"/>
      <c r="G17" s="291">
        <f t="shared" si="1"/>
        <v>6426.75</v>
      </c>
      <c r="H17" s="291">
        <f t="shared" si="2"/>
        <v>338.25</v>
      </c>
      <c r="I17" s="292"/>
    </row>
    <row r="18" spans="1:9" s="275" customFormat="1" ht="12.75" customHeight="1" x14ac:dyDescent="0.25">
      <c r="A18" s="286"/>
      <c r="B18" s="287"/>
      <c r="C18" s="288"/>
      <c r="D18" s="290"/>
      <c r="E18" s="290">
        <f t="shared" si="0"/>
        <v>6765</v>
      </c>
      <c r="F18" s="295"/>
      <c r="G18" s="291">
        <f t="shared" si="1"/>
        <v>6426.75</v>
      </c>
      <c r="H18" s="291">
        <f t="shared" si="2"/>
        <v>338.25</v>
      </c>
      <c r="I18" s="292"/>
    </row>
    <row r="19" spans="1:9" s="275" customFormat="1" ht="12.75" customHeight="1" x14ac:dyDescent="0.25">
      <c r="A19" s="286"/>
      <c r="B19" s="287"/>
      <c r="C19" s="288"/>
      <c r="D19" s="290"/>
      <c r="E19" s="290">
        <f t="shared" si="0"/>
        <v>6765</v>
      </c>
      <c r="F19" s="291"/>
      <c r="G19" s="291">
        <f t="shared" si="1"/>
        <v>6426.75</v>
      </c>
      <c r="H19" s="291">
        <f t="shared" si="2"/>
        <v>338.25</v>
      </c>
      <c r="I19" s="292"/>
    </row>
    <row r="20" spans="1:9" s="275" customFormat="1" ht="12.75" customHeight="1" x14ac:dyDescent="0.25">
      <c r="A20" s="286"/>
      <c r="B20" s="287"/>
      <c r="C20" s="288"/>
      <c r="D20" s="290"/>
      <c r="E20" s="290">
        <f t="shared" si="0"/>
        <v>6765</v>
      </c>
      <c r="F20" s="291"/>
      <c r="G20" s="291">
        <f t="shared" si="1"/>
        <v>6426.75</v>
      </c>
      <c r="H20" s="291">
        <f t="shared" si="2"/>
        <v>338.25</v>
      </c>
      <c r="I20" s="292"/>
    </row>
    <row r="21" spans="1:9" s="275" customFormat="1" ht="12.75" customHeight="1" x14ac:dyDescent="0.25">
      <c r="A21" s="286"/>
      <c r="B21" s="287"/>
      <c r="C21" s="296"/>
      <c r="D21" s="290"/>
      <c r="E21" s="290">
        <f t="shared" si="0"/>
        <v>6765</v>
      </c>
      <c r="F21" s="291"/>
      <c r="G21" s="291">
        <f t="shared" si="1"/>
        <v>6426.75</v>
      </c>
      <c r="H21" s="291">
        <f t="shared" si="2"/>
        <v>338.25</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6765</v>
      </c>
      <c r="E23" s="302"/>
      <c r="F23" s="302">
        <f>SUM(F9:F22)</f>
        <v>6426.75</v>
      </c>
      <c r="G23" s="302"/>
      <c r="H23" s="302">
        <f>D23-F23</f>
        <v>338.25</v>
      </c>
      <c r="I23" s="292"/>
    </row>
    <row r="24" spans="1:9" s="275" customFormat="1" ht="12.75" customHeight="1" thickTop="1" x14ac:dyDescent="0.25"/>
    <row r="25" spans="1:9" s="275" customFormat="1" ht="12.75" customHeight="1" x14ac:dyDescent="0.25"/>
  </sheetData>
  <conditionalFormatting sqref="I8:I23">
    <cfRule type="cellIs" dxfId="7"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B00C9-BFEA-4A41-AC5D-4B9EDCBDF791}">
  <sheetPr>
    <pageSetUpPr fitToPage="1"/>
  </sheetPr>
  <dimension ref="A1:J24"/>
  <sheetViews>
    <sheetView zoomScaleNormal="100" workbookViewId="0">
      <selection activeCell="G28" sqref="G28"/>
    </sheetView>
  </sheetViews>
  <sheetFormatPr defaultColWidth="11.42578125" defaultRowHeight="15" customHeight="1" x14ac:dyDescent="0.25"/>
  <cols>
    <col min="1" max="1" width="24.5703125" customWidth="1"/>
    <col min="2" max="3" width="9.42578125" customWidth="1"/>
    <col min="4" max="4" width="35.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#9514.00'!B1</f>
        <v>DAS Union Sunday School Structural Investigation</v>
      </c>
      <c r="B1" s="3"/>
      <c r="C1" s="3"/>
      <c r="D1" s="4"/>
      <c r="E1" s="4"/>
      <c r="F1" s="4"/>
      <c r="G1" s="33"/>
      <c r="H1" s="33"/>
      <c r="I1" s="34"/>
      <c r="J1" s="34"/>
    </row>
    <row r="2" spans="1:10" ht="15.75" x14ac:dyDescent="0.25">
      <c r="A2" s="6" t="str">
        <f>'RECAP #9514.00'!B2</f>
        <v>Project # 9514.00</v>
      </c>
      <c r="B2" s="5"/>
      <c r="C2" s="5"/>
      <c r="D2" s="4"/>
      <c r="E2" s="4"/>
      <c r="F2" s="4"/>
      <c r="G2" s="33"/>
      <c r="H2" s="33"/>
      <c r="I2" s="34"/>
      <c r="J2" s="34"/>
    </row>
    <row r="3" spans="1:10" ht="15.75" x14ac:dyDescent="0.25">
      <c r="A3" s="7" t="str">
        <f>'RECAP #9514.00'!B3</f>
        <v>Program code 951400</v>
      </c>
      <c r="B3" s="5"/>
      <c r="C3" s="5"/>
      <c r="D3" s="4"/>
      <c r="E3" s="8" t="str">
        <f>'RECAP #9514.00'!E3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280</v>
      </c>
      <c r="F6" s="49"/>
      <c r="G6" s="50"/>
      <c r="H6" s="46"/>
      <c r="I6" s="41"/>
      <c r="J6" s="34"/>
    </row>
    <row r="7" spans="1:10" ht="15.75" x14ac:dyDescent="0.25">
      <c r="A7" s="13" t="str">
        <f>'RECAP #9514.00'!B6</f>
        <v>Project Manager - Oliver S.</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f>2000</f>
        <v>2000</v>
      </c>
      <c r="F9" s="290">
        <f>E9</f>
        <v>2000</v>
      </c>
      <c r="G9" s="291"/>
      <c r="H9" s="291"/>
      <c r="I9" s="291">
        <f>F9</f>
        <v>2000</v>
      </c>
      <c r="J9" s="292"/>
    </row>
    <row r="10" spans="1:10" s="275" customFormat="1" ht="12.75" customHeight="1" x14ac:dyDescent="0.25">
      <c r="A10" s="220" t="s">
        <v>322</v>
      </c>
      <c r="B10" s="221">
        <v>45968</v>
      </c>
      <c r="C10" s="329" t="s">
        <v>269</v>
      </c>
      <c r="D10" s="179" t="s">
        <v>323</v>
      </c>
      <c r="E10" s="290"/>
      <c r="F10" s="290">
        <f t="shared" ref="F10:F21" si="0">F9+E10</f>
        <v>2000</v>
      </c>
      <c r="G10" s="294">
        <v>128.13</v>
      </c>
      <c r="H10" s="291">
        <f t="shared" ref="H10:H21" si="1">H9+G10</f>
        <v>128.13</v>
      </c>
      <c r="I10" s="291">
        <f t="shared" ref="I10:I21" si="2">I9-G10+E10</f>
        <v>1871.87</v>
      </c>
      <c r="J10" s="292"/>
    </row>
    <row r="11" spans="1:10" s="275" customFormat="1" ht="12.75" customHeight="1" x14ac:dyDescent="0.25">
      <c r="A11" s="220" t="s">
        <v>322</v>
      </c>
      <c r="B11" s="221">
        <v>45968</v>
      </c>
      <c r="C11" s="329">
        <v>9500</v>
      </c>
      <c r="D11" s="222" t="s">
        <v>324</v>
      </c>
      <c r="E11" s="290"/>
      <c r="F11" s="290">
        <f t="shared" si="0"/>
        <v>2000</v>
      </c>
      <c r="G11" s="294">
        <v>1272.7</v>
      </c>
      <c r="H11" s="291">
        <f t="shared" si="1"/>
        <v>1400.83</v>
      </c>
      <c r="I11" s="291">
        <f t="shared" si="2"/>
        <v>599.16999999999985</v>
      </c>
      <c r="J11" s="292"/>
    </row>
    <row r="12" spans="1:10" s="275" customFormat="1" ht="12.75" customHeight="1" x14ac:dyDescent="0.2">
      <c r="A12" s="213" t="s">
        <v>373</v>
      </c>
      <c r="B12" s="214">
        <v>45996</v>
      </c>
      <c r="C12" s="332" t="s">
        <v>269</v>
      </c>
      <c r="D12" s="175" t="s">
        <v>374</v>
      </c>
      <c r="E12" s="290"/>
      <c r="F12" s="290">
        <f t="shared" si="0"/>
        <v>2000</v>
      </c>
      <c r="G12" s="294">
        <f>56.97+71.16</f>
        <v>128.13</v>
      </c>
      <c r="H12" s="291">
        <f t="shared" si="1"/>
        <v>1528.96</v>
      </c>
      <c r="I12" s="291">
        <f t="shared" si="2"/>
        <v>471.03999999999985</v>
      </c>
      <c r="J12" s="292"/>
    </row>
    <row r="13" spans="1:10" s="275" customFormat="1" ht="12.75" customHeight="1" x14ac:dyDescent="0.2">
      <c r="A13" s="213" t="s">
        <v>373</v>
      </c>
      <c r="B13" s="214">
        <v>45996</v>
      </c>
      <c r="C13" s="332" t="s">
        <v>269</v>
      </c>
      <c r="D13" s="175" t="s">
        <v>374</v>
      </c>
      <c r="E13" s="290"/>
      <c r="F13" s="290">
        <f t="shared" si="0"/>
        <v>2000</v>
      </c>
      <c r="G13" s="334">
        <f>-56.97+-71.16</f>
        <v>-128.13</v>
      </c>
      <c r="H13" s="291">
        <f t="shared" si="1"/>
        <v>1400.83</v>
      </c>
      <c r="I13" s="291">
        <f t="shared" si="2"/>
        <v>599.16999999999985</v>
      </c>
      <c r="J13" s="292"/>
    </row>
    <row r="14" spans="1:10" s="275" customFormat="1" ht="12.75" customHeight="1" x14ac:dyDescent="0.2">
      <c r="A14" s="213" t="s">
        <v>373</v>
      </c>
      <c r="B14" s="214">
        <v>45996</v>
      </c>
      <c r="C14" s="333">
        <v>9500</v>
      </c>
      <c r="D14" s="78" t="s">
        <v>375</v>
      </c>
      <c r="E14" s="290"/>
      <c r="F14" s="290">
        <f t="shared" si="0"/>
        <v>2000</v>
      </c>
      <c r="G14" s="294">
        <f>71.5</f>
        <v>71.5</v>
      </c>
      <c r="H14" s="291">
        <f t="shared" si="1"/>
        <v>1472.33</v>
      </c>
      <c r="I14" s="291">
        <f t="shared" si="2"/>
        <v>527.66999999999985</v>
      </c>
      <c r="J14" s="292"/>
    </row>
    <row r="15" spans="1:10" s="275" customFormat="1" ht="12.75" customHeight="1" x14ac:dyDescent="0.2">
      <c r="A15" s="213" t="s">
        <v>373</v>
      </c>
      <c r="B15" s="214">
        <v>45996</v>
      </c>
      <c r="C15" s="333">
        <v>9500</v>
      </c>
      <c r="D15" s="78" t="s">
        <v>375</v>
      </c>
      <c r="E15" s="290"/>
      <c r="F15" s="290">
        <f t="shared" si="0"/>
        <v>2000</v>
      </c>
      <c r="G15" s="334">
        <f>-71.5</f>
        <v>-71.5</v>
      </c>
      <c r="H15" s="291">
        <f t="shared" si="1"/>
        <v>1400.83</v>
      </c>
      <c r="I15" s="291">
        <f t="shared" si="2"/>
        <v>599.16999999999985</v>
      </c>
      <c r="J15" s="292"/>
    </row>
    <row r="16" spans="1:10" s="275" customFormat="1" ht="12.75" customHeight="1" x14ac:dyDescent="0.2">
      <c r="A16" s="213" t="s">
        <v>433</v>
      </c>
      <c r="B16" s="214">
        <v>46030</v>
      </c>
      <c r="C16" s="332" t="s">
        <v>269</v>
      </c>
      <c r="D16" s="175" t="s">
        <v>434</v>
      </c>
      <c r="E16" s="290"/>
      <c r="F16" s="290">
        <f t="shared" si="0"/>
        <v>2000</v>
      </c>
      <c r="G16" s="294">
        <v>15.22</v>
      </c>
      <c r="H16" s="291">
        <f t="shared" si="1"/>
        <v>1416.05</v>
      </c>
      <c r="I16" s="291">
        <f t="shared" si="2"/>
        <v>583.94999999999982</v>
      </c>
      <c r="J16" s="292"/>
    </row>
    <row r="17" spans="1:10" s="275" customFormat="1" ht="12.75" customHeight="1" x14ac:dyDescent="0.2">
      <c r="A17" s="213" t="s">
        <v>433</v>
      </c>
      <c r="B17" s="214">
        <v>46030</v>
      </c>
      <c r="C17" s="333">
        <v>9500</v>
      </c>
      <c r="D17" s="78" t="s">
        <v>435</v>
      </c>
      <c r="E17" s="290"/>
      <c r="F17" s="290">
        <f t="shared" si="0"/>
        <v>2000</v>
      </c>
      <c r="G17" s="294">
        <v>174.4</v>
      </c>
      <c r="H17" s="291">
        <f t="shared" si="1"/>
        <v>1590.45</v>
      </c>
      <c r="I17" s="291">
        <f t="shared" si="2"/>
        <v>409.54999999999984</v>
      </c>
      <c r="J17" s="292"/>
    </row>
    <row r="18" spans="1:10" s="275" customFormat="1" ht="12.75" customHeight="1" x14ac:dyDescent="0.2">
      <c r="A18" s="213" t="s">
        <v>559</v>
      </c>
      <c r="B18" s="214">
        <v>46062</v>
      </c>
      <c r="C18" s="332" t="s">
        <v>269</v>
      </c>
      <c r="D18" s="175" t="s">
        <v>560</v>
      </c>
      <c r="E18" s="290"/>
      <c r="F18" s="290">
        <f t="shared" si="0"/>
        <v>2000</v>
      </c>
      <c r="G18" s="294">
        <v>16.43</v>
      </c>
      <c r="H18" s="291">
        <f t="shared" si="1"/>
        <v>1606.88</v>
      </c>
      <c r="I18" s="291">
        <f t="shared" si="2"/>
        <v>393.11999999999983</v>
      </c>
      <c r="J18" s="292"/>
    </row>
    <row r="19" spans="1:10" s="275" customFormat="1" ht="12.75" customHeight="1" x14ac:dyDescent="0.2">
      <c r="A19" s="213" t="s">
        <v>559</v>
      </c>
      <c r="B19" s="214">
        <v>46062</v>
      </c>
      <c r="C19" s="333">
        <v>9500</v>
      </c>
      <c r="D19" s="78" t="s">
        <v>561</v>
      </c>
      <c r="E19" s="290"/>
      <c r="F19" s="290">
        <f t="shared" si="0"/>
        <v>2000</v>
      </c>
      <c r="G19" s="294">
        <v>201.2</v>
      </c>
      <c r="H19" s="291">
        <f t="shared" si="1"/>
        <v>1808.0800000000002</v>
      </c>
      <c r="I19" s="291">
        <f t="shared" si="2"/>
        <v>191.91999999999985</v>
      </c>
      <c r="J19" s="292"/>
    </row>
    <row r="20" spans="1:10" s="275" customFormat="1" ht="12.75" customHeight="1" x14ac:dyDescent="0.25">
      <c r="A20" s="298"/>
      <c r="B20" s="287"/>
      <c r="C20" s="329"/>
      <c r="D20" s="297"/>
      <c r="E20" s="290"/>
      <c r="F20" s="290">
        <f t="shared" si="0"/>
        <v>2000</v>
      </c>
      <c r="G20" s="291"/>
      <c r="H20" s="291">
        <f t="shared" si="1"/>
        <v>1808.0800000000002</v>
      </c>
      <c r="I20" s="291">
        <f t="shared" si="2"/>
        <v>191.91999999999985</v>
      </c>
      <c r="J20" s="292"/>
    </row>
    <row r="21" spans="1:10" s="275" customFormat="1" ht="12.75" customHeight="1" x14ac:dyDescent="0.25">
      <c r="A21" s="298"/>
      <c r="B21" s="287"/>
      <c r="C21" s="329"/>
      <c r="D21" s="318"/>
      <c r="E21" s="290"/>
      <c r="F21" s="290">
        <f t="shared" si="0"/>
        <v>2000</v>
      </c>
      <c r="G21" s="291"/>
      <c r="H21" s="291">
        <f t="shared" si="1"/>
        <v>1808.0800000000002</v>
      </c>
      <c r="I21" s="291">
        <f t="shared" si="2"/>
        <v>191.91999999999985</v>
      </c>
      <c r="J21" s="292"/>
    </row>
    <row r="22" spans="1:10" s="275" customFormat="1" ht="12.75" customHeight="1" x14ac:dyDescent="0.25">
      <c r="A22" s="286"/>
      <c r="B22" s="288"/>
      <c r="C22" s="329"/>
      <c r="D22" s="297"/>
      <c r="E22" s="291"/>
      <c r="F22" s="291"/>
      <c r="G22" s="291"/>
      <c r="H22" s="291"/>
      <c r="I22" s="291"/>
      <c r="J22" s="292"/>
    </row>
    <row r="23" spans="1:10" s="275" customFormat="1" ht="12.75" customHeight="1" thickBot="1" x14ac:dyDescent="0.3">
      <c r="A23" s="286"/>
      <c r="B23" s="300"/>
      <c r="C23" s="329"/>
      <c r="D23" s="301" t="s">
        <v>24</v>
      </c>
      <c r="E23" s="302">
        <f>SUM(E9:E22)</f>
        <v>2000</v>
      </c>
      <c r="F23" s="302"/>
      <c r="G23" s="302">
        <f>SUM(G9:G22)</f>
        <v>1808.0800000000002</v>
      </c>
      <c r="H23" s="302"/>
      <c r="I23" s="302">
        <f>E23-G23</f>
        <v>191.91999999999985</v>
      </c>
      <c r="J23" s="292"/>
    </row>
    <row r="24" spans="1:10" s="275"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1FC0-A123-4892-9F40-642117699BE9}">
  <sheetPr>
    <tabColor indexed="30"/>
    <pageSetUpPr fitToPage="1"/>
  </sheetPr>
  <dimension ref="A1:H23"/>
  <sheetViews>
    <sheetView zoomScaleNormal="100" workbookViewId="0">
      <selection activeCell="N28" sqref="N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#9514.00'!B1</f>
        <v>DAS Union Sunday School Structural Investigation</v>
      </c>
      <c r="B1" s="3"/>
      <c r="C1" s="3"/>
      <c r="D1" s="3"/>
      <c r="E1" s="4"/>
      <c r="F1" s="4"/>
      <c r="G1" s="4"/>
      <c r="H1" s="33"/>
    </row>
    <row r="2" spans="1:8" ht="15.75" x14ac:dyDescent="0.25">
      <c r="A2" s="6" t="str">
        <f>'RECAP #9514.00'!B2</f>
        <v>Project # 9514.00</v>
      </c>
      <c r="B2" s="5"/>
      <c r="C2" s="5"/>
      <c r="D2" s="5"/>
      <c r="E2" s="4"/>
      <c r="F2" s="4"/>
      <c r="G2" s="4"/>
      <c r="H2" s="33"/>
    </row>
    <row r="3" spans="1:8" ht="15.75" x14ac:dyDescent="0.25">
      <c r="A3" s="7" t="str">
        <f>'RECAP #9514.00'!B3</f>
        <v>Program code 951400</v>
      </c>
      <c r="B3" s="5"/>
      <c r="C3" s="5"/>
      <c r="D3" s="5"/>
      <c r="E3" s="8" t="str">
        <f>'RECAP #9514.00'!E3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285</v>
      </c>
      <c r="F6" s="41"/>
      <c r="G6" s="44"/>
      <c r="H6" s="45"/>
    </row>
    <row r="7" spans="1:8" ht="15.75" x14ac:dyDescent="0.25">
      <c r="A7" s="13" t="str">
        <f>'RECAP #9514.00'!B6</f>
        <v>Project Manager - Oliver S.</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078C1-E852-492A-AAAB-72B6263CC11F}">
  <sheetPr>
    <pageSetUpPr fitToPage="1"/>
  </sheetPr>
  <dimension ref="A1:G15"/>
  <sheetViews>
    <sheetView zoomScaleNormal="100" workbookViewId="0">
      <selection activeCell="C19" sqref="C1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503</v>
      </c>
      <c r="C1" s="3"/>
      <c r="D1" s="4"/>
      <c r="E1" s="4"/>
      <c r="F1" s="4"/>
      <c r="G1" s="4"/>
    </row>
    <row r="2" spans="1:7" ht="15.75" x14ac:dyDescent="0.25">
      <c r="A2" s="1"/>
      <c r="B2" s="6" t="s">
        <v>514</v>
      </c>
      <c r="C2" s="5"/>
      <c r="D2" s="4"/>
      <c r="E2" s="4"/>
      <c r="F2" s="4"/>
      <c r="G2" s="4"/>
    </row>
    <row r="3" spans="1:7" ht="15.75" x14ac:dyDescent="0.25">
      <c r="A3" s="1"/>
      <c r="B3" s="7" t="s">
        <v>515</v>
      </c>
      <c r="C3" s="5"/>
      <c r="D3" s="4"/>
      <c r="E3" s="8" t="s">
        <v>185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521</v>
      </c>
      <c r="C6" s="14"/>
      <c r="D6" s="15" t="s">
        <v>2</v>
      </c>
      <c r="E6" s="16"/>
      <c r="F6" s="16"/>
      <c r="G6" s="16"/>
    </row>
    <row r="7" spans="1:7" ht="31.5" customHeight="1" thickBot="1" x14ac:dyDescent="0.3">
      <c r="A7" s="1"/>
      <c r="B7" s="18" t="s">
        <v>2</v>
      </c>
      <c r="C7" s="19" t="s">
        <v>3</v>
      </c>
      <c r="D7" s="20" t="s">
        <v>4</v>
      </c>
      <c r="E7" s="21" t="s">
        <v>5</v>
      </c>
      <c r="F7" s="22" t="s">
        <v>6</v>
      </c>
      <c r="G7" s="22" t="s">
        <v>7</v>
      </c>
    </row>
    <row r="8" spans="1:7" ht="28.35" customHeight="1" x14ac:dyDescent="0.25">
      <c r="A8" s="1"/>
      <c r="B8" s="1" t="s">
        <v>8</v>
      </c>
      <c r="C8" s="23">
        <f>FINANCIAL!G42</f>
        <v>250000</v>
      </c>
      <c r="D8" s="24"/>
      <c r="E8" s="24"/>
      <c r="F8" s="24"/>
      <c r="G8" s="25"/>
    </row>
    <row r="9" spans="1:7" s="275" customFormat="1" ht="12.75" customHeight="1" x14ac:dyDescent="0.25">
      <c r="A9" s="303"/>
      <c r="B9" s="304"/>
      <c r="C9" s="331"/>
      <c r="D9" s="306"/>
      <c r="E9" s="306"/>
      <c r="F9" s="306"/>
      <c r="G9" s="307"/>
    </row>
    <row r="10" spans="1:7" s="275" customFormat="1" ht="12.75" customHeight="1" x14ac:dyDescent="0.25">
      <c r="A10" s="303"/>
      <c r="B10" s="304" t="s">
        <v>9</v>
      </c>
      <c r="C10" s="305"/>
      <c r="D10" s="308">
        <f>'#9519.00 Vendor A '!D23</f>
        <v>0</v>
      </c>
      <c r="E10" s="308">
        <f>'#9519.00 Vendor A '!F23</f>
        <v>0</v>
      </c>
      <c r="F10" s="308">
        <f>'#9519.00 Vendor A '!H23</f>
        <v>0</v>
      </c>
      <c r="G10" s="307"/>
    </row>
    <row r="11" spans="1:7" s="275" customFormat="1" ht="12.75" customHeight="1" x14ac:dyDescent="0.25">
      <c r="A11" s="303"/>
      <c r="B11" s="304" t="s">
        <v>10</v>
      </c>
      <c r="C11" s="305"/>
      <c r="D11" s="308">
        <f>'#9519.00 PM TIME'!E23</f>
        <v>5000</v>
      </c>
      <c r="E11" s="308">
        <f>'#9519.00 PM TIME'!G23</f>
        <v>194.15</v>
      </c>
      <c r="F11" s="308">
        <f>'#9519.00 PM TIME'!I23</f>
        <v>4805.8500000000004</v>
      </c>
      <c r="G11" s="307"/>
    </row>
    <row r="12" spans="1:7" s="275" customFormat="1" ht="12.75" customHeight="1" x14ac:dyDescent="0.25">
      <c r="A12" s="303"/>
      <c r="B12" s="304" t="s">
        <v>11</v>
      </c>
      <c r="C12" s="306"/>
      <c r="D12" s="309">
        <f>'#9519.00 Misc'!G22</f>
        <v>0</v>
      </c>
      <c r="E12" s="309">
        <f>'#9519.00 Misc'!G22</f>
        <v>0</v>
      </c>
      <c r="F12" s="308">
        <f>D12-E12</f>
        <v>0</v>
      </c>
      <c r="G12" s="307"/>
    </row>
    <row r="13" spans="1:7" s="275" customFormat="1" ht="12.75" customHeight="1" x14ac:dyDescent="0.25">
      <c r="A13" s="310"/>
      <c r="B13" s="304"/>
      <c r="C13" s="306"/>
      <c r="D13" s="309"/>
      <c r="E13" s="309"/>
      <c r="F13" s="308"/>
      <c r="G13" s="311"/>
    </row>
    <row r="14" spans="1:7" ht="24" customHeight="1" thickBot="1" x14ac:dyDescent="0.3">
      <c r="A14" s="30"/>
      <c r="B14" s="31" t="s">
        <v>12</v>
      </c>
      <c r="C14" s="32">
        <f>SUM(C8:C13)</f>
        <v>250000</v>
      </c>
      <c r="D14" s="32">
        <f>SUM(D8:D13)</f>
        <v>5000</v>
      </c>
      <c r="E14" s="32">
        <f>SUM(E8:E13)</f>
        <v>194.15</v>
      </c>
      <c r="F14" s="32">
        <f>SUM(D14-E14)</f>
        <v>4805.8500000000004</v>
      </c>
      <c r="G14" s="32">
        <f>C8-D14</f>
        <v>245000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72179-EB8E-4D11-8317-558FFC699881}">
  <sheetPr>
    <tabColor rgb="FF0070C0"/>
    <pageSetUpPr fitToPage="1"/>
  </sheetPr>
  <dimension ref="A1:I29"/>
  <sheetViews>
    <sheetView zoomScaleNormal="100" workbookViewId="0">
      <selection activeCell="B1" sqref="B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#9519.00'!B1</f>
        <v>HHS IMHI Infirmary Building Roof Repair</v>
      </c>
      <c r="B1" s="3"/>
      <c r="C1" s="4"/>
      <c r="D1" s="4"/>
      <c r="E1" s="4"/>
      <c r="F1" s="33"/>
      <c r="G1" s="33"/>
      <c r="H1" s="34"/>
      <c r="I1" s="34"/>
    </row>
    <row r="2" spans="1:9" ht="15.75" x14ac:dyDescent="0.25">
      <c r="A2" s="6" t="str">
        <f>'RECAP #9519.00'!B2</f>
        <v>Project # 9519.00</v>
      </c>
      <c r="B2" s="5"/>
      <c r="C2" s="4"/>
      <c r="D2" s="4"/>
      <c r="E2" s="4"/>
      <c r="F2" s="33"/>
      <c r="G2" s="33"/>
      <c r="H2" s="34"/>
      <c r="I2" s="34"/>
    </row>
    <row r="3" spans="1:9" ht="15.75" x14ac:dyDescent="0.25">
      <c r="A3" s="7" t="str">
        <f>'RECAP #9519.00'!B3</f>
        <v>Program code 951900</v>
      </c>
      <c r="B3" s="5"/>
      <c r="C3" s="4"/>
      <c r="D3" s="8" t="str">
        <f>'RECAP #9519.00'!E3</f>
        <v>Major Program 4E02</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#9519.00'!B6</f>
        <v>Project Manager - Oliver S</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c r="B9" s="287"/>
      <c r="C9" s="288"/>
      <c r="D9" s="330"/>
      <c r="E9" s="290">
        <f>D9</f>
        <v>0</v>
      </c>
      <c r="F9" s="291"/>
      <c r="G9" s="291"/>
      <c r="H9" s="291">
        <f>E9</f>
        <v>0</v>
      </c>
      <c r="I9" s="292"/>
    </row>
    <row r="10" spans="1:9" s="275" customFormat="1" ht="12.75" customHeight="1" x14ac:dyDescent="0.25">
      <c r="A10" s="286"/>
      <c r="B10" s="293"/>
      <c r="C10" s="288"/>
      <c r="D10" s="290"/>
      <c r="E10" s="290">
        <f t="shared" ref="E10:E21" si="0">E9+D10</f>
        <v>0</v>
      </c>
      <c r="F10" s="295"/>
      <c r="G10" s="291">
        <f t="shared" ref="G10:G21" si="1">G9+F10</f>
        <v>0</v>
      </c>
      <c r="H10" s="291">
        <f t="shared" ref="H10:H21" si="2">H9-F10+D10</f>
        <v>0</v>
      </c>
      <c r="I10" s="292"/>
    </row>
    <row r="11" spans="1:9" s="275" customFormat="1" ht="12.75" customHeight="1" x14ac:dyDescent="0.25">
      <c r="A11" s="286"/>
      <c r="B11" s="287"/>
      <c r="C11" s="288"/>
      <c r="D11" s="290"/>
      <c r="E11" s="290">
        <f t="shared" si="0"/>
        <v>0</v>
      </c>
      <c r="F11" s="295"/>
      <c r="G11" s="291">
        <f t="shared" si="1"/>
        <v>0</v>
      </c>
      <c r="H11" s="291">
        <f t="shared" si="2"/>
        <v>0</v>
      </c>
      <c r="I11" s="292"/>
    </row>
    <row r="12" spans="1:9" s="275" customFormat="1" ht="12.75" customHeight="1" x14ac:dyDescent="0.25">
      <c r="A12" s="286"/>
      <c r="B12" s="287"/>
      <c r="C12" s="288"/>
      <c r="D12" s="290"/>
      <c r="E12" s="290">
        <f t="shared" si="0"/>
        <v>0</v>
      </c>
      <c r="F12" s="295"/>
      <c r="G12" s="291">
        <f t="shared" si="1"/>
        <v>0</v>
      </c>
      <c r="H12" s="291">
        <f t="shared" si="2"/>
        <v>0</v>
      </c>
      <c r="I12" s="292"/>
    </row>
    <row r="13" spans="1:9" s="275" customFormat="1" ht="12.75" customHeight="1" x14ac:dyDescent="0.25">
      <c r="A13" s="286"/>
      <c r="B13" s="287"/>
      <c r="C13" s="288"/>
      <c r="D13" s="290"/>
      <c r="E13" s="290">
        <f t="shared" si="0"/>
        <v>0</v>
      </c>
      <c r="F13" s="295"/>
      <c r="G13" s="291">
        <f t="shared" si="1"/>
        <v>0</v>
      </c>
      <c r="H13" s="291">
        <f t="shared" si="2"/>
        <v>0</v>
      </c>
      <c r="I13" s="292"/>
    </row>
    <row r="14" spans="1:9" s="275" customFormat="1" ht="12.75" customHeight="1" x14ac:dyDescent="0.25">
      <c r="A14" s="286"/>
      <c r="B14" s="287"/>
      <c r="C14" s="288"/>
      <c r="D14" s="290"/>
      <c r="E14" s="290">
        <f t="shared" si="0"/>
        <v>0</v>
      </c>
      <c r="F14" s="291"/>
      <c r="G14" s="291">
        <f t="shared" si="1"/>
        <v>0</v>
      </c>
      <c r="H14" s="291">
        <f t="shared" si="2"/>
        <v>0</v>
      </c>
      <c r="I14" s="292"/>
    </row>
    <row r="15" spans="1:9" s="275" customFormat="1" ht="12.75" customHeight="1" x14ac:dyDescent="0.25">
      <c r="A15" s="286"/>
      <c r="B15" s="287"/>
      <c r="C15" s="288"/>
      <c r="D15" s="290"/>
      <c r="E15" s="290">
        <f t="shared" si="0"/>
        <v>0</v>
      </c>
      <c r="F15" s="295"/>
      <c r="G15" s="291">
        <f t="shared" si="1"/>
        <v>0</v>
      </c>
      <c r="H15" s="291">
        <f t="shared" si="2"/>
        <v>0</v>
      </c>
      <c r="I15" s="292"/>
    </row>
    <row r="16" spans="1:9" s="275" customFormat="1" ht="12.75" customHeight="1" x14ac:dyDescent="0.25">
      <c r="A16" s="286"/>
      <c r="B16" s="287"/>
      <c r="C16" s="288"/>
      <c r="D16" s="290"/>
      <c r="E16" s="290">
        <f t="shared" si="0"/>
        <v>0</v>
      </c>
      <c r="F16" s="295"/>
      <c r="G16" s="291">
        <f t="shared" si="1"/>
        <v>0</v>
      </c>
      <c r="H16" s="291">
        <f t="shared" si="2"/>
        <v>0</v>
      </c>
      <c r="I16" s="292"/>
    </row>
    <row r="17" spans="1:9" s="275" customFormat="1" ht="12.75" customHeight="1" x14ac:dyDescent="0.25">
      <c r="A17" s="286"/>
      <c r="B17" s="287"/>
      <c r="C17" s="288"/>
      <c r="D17" s="290"/>
      <c r="E17" s="290">
        <f t="shared" si="0"/>
        <v>0</v>
      </c>
      <c r="F17" s="295"/>
      <c r="G17" s="291">
        <f t="shared" si="1"/>
        <v>0</v>
      </c>
      <c r="H17" s="291">
        <f t="shared" si="2"/>
        <v>0</v>
      </c>
      <c r="I17" s="292"/>
    </row>
    <row r="18" spans="1:9" s="275" customFormat="1" ht="12.75" customHeight="1" x14ac:dyDescent="0.25">
      <c r="A18" s="286"/>
      <c r="B18" s="287"/>
      <c r="C18" s="288"/>
      <c r="D18" s="290"/>
      <c r="E18" s="290">
        <f t="shared" si="0"/>
        <v>0</v>
      </c>
      <c r="F18" s="295"/>
      <c r="G18" s="291">
        <f t="shared" si="1"/>
        <v>0</v>
      </c>
      <c r="H18" s="291">
        <f t="shared" si="2"/>
        <v>0</v>
      </c>
      <c r="I18" s="292"/>
    </row>
    <row r="19" spans="1:9" s="275" customFormat="1" ht="12.75" customHeight="1" x14ac:dyDescent="0.25">
      <c r="A19" s="286"/>
      <c r="B19" s="287"/>
      <c r="C19" s="288"/>
      <c r="D19" s="290"/>
      <c r="E19" s="290">
        <f t="shared" si="0"/>
        <v>0</v>
      </c>
      <c r="F19" s="291"/>
      <c r="G19" s="291">
        <f t="shared" si="1"/>
        <v>0</v>
      </c>
      <c r="H19" s="291">
        <f t="shared" si="2"/>
        <v>0</v>
      </c>
      <c r="I19" s="292"/>
    </row>
    <row r="20" spans="1:9" s="275" customFormat="1" ht="12.75" customHeight="1" x14ac:dyDescent="0.25">
      <c r="A20" s="286"/>
      <c r="B20" s="287"/>
      <c r="C20" s="288"/>
      <c r="D20" s="290"/>
      <c r="E20" s="290">
        <f t="shared" si="0"/>
        <v>0</v>
      </c>
      <c r="F20" s="291"/>
      <c r="G20" s="291">
        <f t="shared" si="1"/>
        <v>0</v>
      </c>
      <c r="H20" s="291">
        <f t="shared" si="2"/>
        <v>0</v>
      </c>
      <c r="I20" s="292"/>
    </row>
    <row r="21" spans="1:9" s="275" customFormat="1" ht="12.75" customHeight="1" x14ac:dyDescent="0.25">
      <c r="A21" s="286"/>
      <c r="B21" s="287"/>
      <c r="C21" s="296"/>
      <c r="D21" s="290"/>
      <c r="E21" s="290">
        <f t="shared" si="0"/>
        <v>0</v>
      </c>
      <c r="F21" s="291"/>
      <c r="G21" s="291">
        <f t="shared" si="1"/>
        <v>0</v>
      </c>
      <c r="H21" s="291">
        <f t="shared" si="2"/>
        <v>0</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0</v>
      </c>
      <c r="E23" s="302"/>
      <c r="F23" s="302">
        <f>SUM(F9:F22)</f>
        <v>0</v>
      </c>
      <c r="G23" s="302"/>
      <c r="H23" s="302">
        <f>D23-F23</f>
        <v>0</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0</v>
      </c>
      <c r="E26" s="313"/>
      <c r="F26" s="313"/>
      <c r="G26" s="313"/>
      <c r="H26" s="313">
        <f>D26-F26</f>
        <v>0</v>
      </c>
      <c r="I26" s="292"/>
    </row>
    <row r="27" spans="1:9" s="275" customFormat="1" ht="12.75" customHeight="1" x14ac:dyDescent="0.25">
      <c r="A27" s="286"/>
      <c r="B27" s="288"/>
      <c r="C27" s="312" t="s">
        <v>113</v>
      </c>
      <c r="D27" s="313">
        <v>0</v>
      </c>
      <c r="E27" s="313"/>
      <c r="F27" s="313"/>
      <c r="G27" s="313"/>
      <c r="H27" s="313">
        <f>D27-F27</f>
        <v>0</v>
      </c>
      <c r="I27" s="292"/>
    </row>
    <row r="28" spans="1:9" s="275" customFormat="1" ht="12.75" customHeight="1" thickBot="1" x14ac:dyDescent="0.3">
      <c r="A28" s="286"/>
      <c r="B28" s="288"/>
      <c r="C28" s="314" t="s">
        <v>67</v>
      </c>
      <c r="D28" s="315">
        <f>SUM(D26:D27)</f>
        <v>0</v>
      </c>
      <c r="E28" s="316"/>
      <c r="F28" s="315">
        <f>SUM(F26:F27)</f>
        <v>0</v>
      </c>
      <c r="G28" s="316"/>
      <c r="H28" s="315">
        <f>SUM(H26:H27)</f>
        <v>0</v>
      </c>
      <c r="I28" s="292"/>
    </row>
    <row r="29" spans="1:9" s="275" customFormat="1" ht="12.75" customHeight="1" thickTop="1" x14ac:dyDescent="0.25"/>
  </sheetData>
  <conditionalFormatting sqref="I8:I23">
    <cfRule type="cellIs" dxfId="6"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C8EAD-C1A8-423F-9EA4-6B5D21355ADE}">
  <sheetPr>
    <pageSetUpPr fitToPage="1"/>
  </sheetPr>
  <dimension ref="A1:I36"/>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37.5703125" bestFit="1" customWidth="1"/>
    <col min="4" max="4" width="14.42578125" customWidth="1"/>
    <col min="5" max="5" width="13.5703125" customWidth="1"/>
    <col min="6" max="6" width="12.42578125" customWidth="1"/>
    <col min="7" max="7" width="10.5703125" customWidth="1"/>
    <col min="8" max="8" width="16.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#9455.00'!B1</f>
        <v>IDOE ISD Giangreco Hall Water Infiltration Mitigation</v>
      </c>
      <c r="B1" s="3"/>
      <c r="C1" s="4"/>
      <c r="D1" s="4"/>
      <c r="E1" s="4"/>
      <c r="F1" s="33"/>
      <c r="G1" s="33"/>
      <c r="H1" s="34"/>
      <c r="I1" s="34"/>
    </row>
    <row r="2" spans="1:9" ht="15.75" x14ac:dyDescent="0.25">
      <c r="A2" s="6" t="str">
        <f>'RECAP #9455.00'!B2</f>
        <v>Project # 9455.00</v>
      </c>
      <c r="B2" s="5"/>
      <c r="C2" s="4"/>
      <c r="D2" s="4"/>
      <c r="E2" s="4"/>
      <c r="F2" s="33"/>
      <c r="G2" s="33"/>
      <c r="H2" s="34"/>
      <c r="I2" s="34"/>
    </row>
    <row r="3" spans="1:9" ht="15.75" x14ac:dyDescent="0.25">
      <c r="A3" s="7" t="str">
        <f>'RECAP #9455.00'!B3</f>
        <v>Program code 945500</v>
      </c>
      <c r="B3" s="5"/>
      <c r="C3" s="4"/>
      <c r="D3" s="8" t="str">
        <f>'RECAP #9455.00'!E3</f>
        <v>Major Program 4F04</v>
      </c>
      <c r="E3" s="4"/>
      <c r="F3" s="33"/>
      <c r="G3" s="33"/>
      <c r="H3" s="34"/>
      <c r="I3" s="34"/>
    </row>
    <row r="4" spans="1:9" ht="15.75" x14ac:dyDescent="0.25">
      <c r="A4" s="35" t="s">
        <v>481</v>
      </c>
      <c r="B4" s="36"/>
      <c r="C4" s="37"/>
      <c r="D4" s="38" t="s">
        <v>482</v>
      </c>
      <c r="E4" s="39"/>
      <c r="F4" s="33"/>
      <c r="G4" s="33"/>
      <c r="H4" s="34"/>
      <c r="I4" s="34"/>
    </row>
    <row r="5" spans="1:9" ht="15.75" x14ac:dyDescent="0.25">
      <c r="A5" s="40" t="s">
        <v>106</v>
      </c>
      <c r="B5" s="41"/>
      <c r="C5" s="42"/>
      <c r="D5" s="43" t="s">
        <v>483</v>
      </c>
      <c r="E5" s="44"/>
      <c r="F5" s="45"/>
      <c r="G5" s="46"/>
      <c r="H5" s="41"/>
      <c r="I5" s="34"/>
    </row>
    <row r="6" spans="1:9" ht="15.75" x14ac:dyDescent="0.25">
      <c r="A6" s="13" t="str">
        <f>'RECAP #9455.00'!B6</f>
        <v>Project Manager - Jennie E.</v>
      </c>
      <c r="B6" s="11"/>
      <c r="C6" s="47"/>
      <c r="D6" s="372"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484</v>
      </c>
      <c r="B9" s="287">
        <v>46051</v>
      </c>
      <c r="C9" s="288" t="s">
        <v>111</v>
      </c>
      <c r="D9" s="289">
        <v>750625.68</v>
      </c>
      <c r="E9" s="290">
        <f>D9</f>
        <v>750625.68</v>
      </c>
      <c r="F9" s="291"/>
      <c r="G9" s="291"/>
      <c r="H9" s="291">
        <f>E9</f>
        <v>750625.68</v>
      </c>
      <c r="I9" s="292"/>
    </row>
    <row r="10" spans="1:9" s="275" customFormat="1" ht="12.75" customHeight="1" x14ac:dyDescent="0.25">
      <c r="A10" s="286" t="s">
        <v>542</v>
      </c>
      <c r="B10" s="293">
        <v>46057</v>
      </c>
      <c r="C10" s="288" t="s">
        <v>543</v>
      </c>
      <c r="D10" s="290"/>
      <c r="E10" s="290">
        <f t="shared" ref="E10:E21" si="0">E9+D10</f>
        <v>750625.68</v>
      </c>
      <c r="F10" s="294">
        <v>1793.69</v>
      </c>
      <c r="G10" s="291">
        <f t="shared" ref="G10:G21" si="1">G9+F10</f>
        <v>1793.69</v>
      </c>
      <c r="H10" s="291">
        <f t="shared" ref="H10:H21" si="2">H9-F10+D10</f>
        <v>748831.99000000011</v>
      </c>
      <c r="I10" s="292"/>
    </row>
    <row r="11" spans="1:9" s="275" customFormat="1" ht="12.75" customHeight="1" x14ac:dyDescent="0.25">
      <c r="A11" s="286" t="s">
        <v>617</v>
      </c>
      <c r="B11" s="287">
        <v>46084</v>
      </c>
      <c r="C11" s="288" t="s">
        <v>618</v>
      </c>
      <c r="D11" s="290"/>
      <c r="E11" s="290">
        <f t="shared" si="0"/>
        <v>750625.68</v>
      </c>
      <c r="F11" s="294">
        <v>2668.08</v>
      </c>
      <c r="G11" s="291">
        <f t="shared" si="1"/>
        <v>4461.7700000000004</v>
      </c>
      <c r="H11" s="291">
        <f t="shared" si="2"/>
        <v>746163.91000000015</v>
      </c>
      <c r="I11" s="292"/>
    </row>
    <row r="12" spans="1:9" s="275" customFormat="1" ht="12.75" customHeight="1" x14ac:dyDescent="0.25">
      <c r="A12" s="286"/>
      <c r="B12" s="287"/>
      <c r="C12" s="288"/>
      <c r="D12" s="290"/>
      <c r="E12" s="290">
        <f t="shared" si="0"/>
        <v>750625.68</v>
      </c>
      <c r="F12" s="295"/>
      <c r="G12" s="291">
        <f t="shared" si="1"/>
        <v>4461.7700000000004</v>
      </c>
      <c r="H12" s="291">
        <f t="shared" si="2"/>
        <v>746163.91000000015</v>
      </c>
      <c r="I12" s="292"/>
    </row>
    <row r="13" spans="1:9" s="275" customFormat="1" ht="12.75" customHeight="1" x14ac:dyDescent="0.25">
      <c r="A13" s="286"/>
      <c r="B13" s="287"/>
      <c r="C13" s="288"/>
      <c r="D13" s="290"/>
      <c r="E13" s="290">
        <f t="shared" si="0"/>
        <v>750625.68</v>
      </c>
      <c r="F13" s="295"/>
      <c r="G13" s="291">
        <f t="shared" si="1"/>
        <v>4461.7700000000004</v>
      </c>
      <c r="H13" s="291">
        <f t="shared" si="2"/>
        <v>746163.91000000015</v>
      </c>
      <c r="I13" s="292"/>
    </row>
    <row r="14" spans="1:9" s="275" customFormat="1" ht="12.75" customHeight="1" x14ac:dyDescent="0.25">
      <c r="A14" s="286"/>
      <c r="B14" s="287"/>
      <c r="C14" s="288"/>
      <c r="D14" s="290"/>
      <c r="E14" s="290">
        <f t="shared" si="0"/>
        <v>750625.68</v>
      </c>
      <c r="F14" s="291"/>
      <c r="G14" s="291">
        <f t="shared" si="1"/>
        <v>4461.7700000000004</v>
      </c>
      <c r="H14" s="291">
        <f t="shared" si="2"/>
        <v>746163.91000000015</v>
      </c>
      <c r="I14" s="292"/>
    </row>
    <row r="15" spans="1:9" s="275" customFormat="1" ht="12.75" customHeight="1" x14ac:dyDescent="0.25">
      <c r="A15" s="286"/>
      <c r="B15" s="287"/>
      <c r="C15" s="288"/>
      <c r="D15" s="290"/>
      <c r="E15" s="290">
        <f t="shared" si="0"/>
        <v>750625.68</v>
      </c>
      <c r="F15" s="295"/>
      <c r="G15" s="291">
        <f t="shared" si="1"/>
        <v>4461.7700000000004</v>
      </c>
      <c r="H15" s="291">
        <f t="shared" si="2"/>
        <v>746163.91000000015</v>
      </c>
      <c r="I15" s="292"/>
    </row>
    <row r="16" spans="1:9" s="275" customFormat="1" ht="12.75" customHeight="1" x14ac:dyDescent="0.25">
      <c r="A16" s="286"/>
      <c r="B16" s="287"/>
      <c r="C16" s="288"/>
      <c r="D16" s="290"/>
      <c r="E16" s="290">
        <f t="shared" si="0"/>
        <v>750625.68</v>
      </c>
      <c r="F16" s="295"/>
      <c r="G16" s="291">
        <f t="shared" si="1"/>
        <v>4461.7700000000004</v>
      </c>
      <c r="H16" s="291">
        <f t="shared" si="2"/>
        <v>746163.91000000015</v>
      </c>
      <c r="I16" s="292"/>
    </row>
    <row r="17" spans="1:9" s="275" customFormat="1" ht="12.75" customHeight="1" x14ac:dyDescent="0.25">
      <c r="A17" s="286"/>
      <c r="B17" s="287"/>
      <c r="C17" s="288"/>
      <c r="D17" s="290"/>
      <c r="E17" s="290">
        <f t="shared" si="0"/>
        <v>750625.68</v>
      </c>
      <c r="F17" s="295"/>
      <c r="G17" s="291">
        <f t="shared" si="1"/>
        <v>4461.7700000000004</v>
      </c>
      <c r="H17" s="291">
        <f t="shared" si="2"/>
        <v>746163.91000000015</v>
      </c>
      <c r="I17" s="292"/>
    </row>
    <row r="18" spans="1:9" s="275" customFormat="1" ht="12.75" customHeight="1" x14ac:dyDescent="0.25">
      <c r="A18" s="286"/>
      <c r="B18" s="287"/>
      <c r="C18" s="288"/>
      <c r="D18" s="290"/>
      <c r="E18" s="290">
        <f t="shared" si="0"/>
        <v>750625.68</v>
      </c>
      <c r="F18" s="295"/>
      <c r="G18" s="291">
        <f t="shared" si="1"/>
        <v>4461.7700000000004</v>
      </c>
      <c r="H18" s="291">
        <f t="shared" si="2"/>
        <v>746163.91000000015</v>
      </c>
      <c r="I18" s="292"/>
    </row>
    <row r="19" spans="1:9" s="275" customFormat="1" ht="12.75" customHeight="1" x14ac:dyDescent="0.25">
      <c r="A19" s="286"/>
      <c r="B19" s="287"/>
      <c r="C19" s="288"/>
      <c r="D19" s="290"/>
      <c r="E19" s="290">
        <f t="shared" si="0"/>
        <v>750625.68</v>
      </c>
      <c r="F19" s="291"/>
      <c r="G19" s="291">
        <f t="shared" si="1"/>
        <v>4461.7700000000004</v>
      </c>
      <c r="H19" s="291">
        <f t="shared" si="2"/>
        <v>746163.91000000015</v>
      </c>
      <c r="I19" s="292"/>
    </row>
    <row r="20" spans="1:9" s="275" customFormat="1" ht="12.75" customHeight="1" x14ac:dyDescent="0.25">
      <c r="A20" s="286"/>
      <c r="B20" s="287"/>
      <c r="C20" s="288"/>
      <c r="D20" s="290"/>
      <c r="E20" s="290">
        <f t="shared" si="0"/>
        <v>750625.68</v>
      </c>
      <c r="F20" s="291"/>
      <c r="G20" s="291">
        <f t="shared" si="1"/>
        <v>4461.7700000000004</v>
      </c>
      <c r="H20" s="291">
        <f t="shared" si="2"/>
        <v>746163.91000000015</v>
      </c>
      <c r="I20" s="292"/>
    </row>
    <row r="21" spans="1:9" s="275" customFormat="1" ht="12.75" customHeight="1" x14ac:dyDescent="0.25">
      <c r="A21" s="286"/>
      <c r="B21" s="287"/>
      <c r="C21" s="296"/>
      <c r="D21" s="290"/>
      <c r="E21" s="290">
        <f t="shared" si="0"/>
        <v>750625.68</v>
      </c>
      <c r="F21" s="291"/>
      <c r="G21" s="291">
        <f t="shared" si="1"/>
        <v>4461.7700000000004</v>
      </c>
      <c r="H21" s="291">
        <f t="shared" si="2"/>
        <v>746163.91000000015</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750625.68</v>
      </c>
      <c r="E23" s="302"/>
      <c r="F23" s="302">
        <f>SUM(F9:F22)</f>
        <v>4461.7700000000004</v>
      </c>
      <c r="G23" s="302"/>
      <c r="H23" s="302">
        <f>D23-F23</f>
        <v>746163.91</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297" t="s">
        <v>112</v>
      </c>
      <c r="D26" s="291">
        <v>570253.43999999994</v>
      </c>
      <c r="E26" s="291"/>
      <c r="F26" s="291">
        <f>1293.69+2186.36</f>
        <v>3480.05</v>
      </c>
      <c r="G26" s="291"/>
      <c r="H26" s="291">
        <f>D26-F26</f>
        <v>566773.3899999999</v>
      </c>
      <c r="I26" s="292"/>
    </row>
    <row r="27" spans="1:9" s="275" customFormat="1" ht="12.75" customHeight="1" x14ac:dyDescent="0.25">
      <c r="A27" s="286"/>
      <c r="B27" s="288"/>
      <c r="C27" s="297" t="s">
        <v>485</v>
      </c>
      <c r="D27" s="291">
        <v>61600</v>
      </c>
      <c r="E27" s="291"/>
      <c r="F27" s="291"/>
      <c r="G27" s="291"/>
      <c r="H27" s="291">
        <f t="shared" ref="H27:H30" si="3">D27-F27</f>
        <v>61600</v>
      </c>
      <c r="I27" s="292"/>
    </row>
    <row r="28" spans="1:9" s="275" customFormat="1" ht="12.75" customHeight="1" x14ac:dyDescent="0.25">
      <c r="A28" s="286"/>
      <c r="B28" s="288"/>
      <c r="C28" s="297" t="s">
        <v>486</v>
      </c>
      <c r="D28" s="291">
        <v>12600</v>
      </c>
      <c r="E28" s="291"/>
      <c r="F28" s="291"/>
      <c r="G28" s="291"/>
      <c r="H28" s="291">
        <f t="shared" si="3"/>
        <v>12600</v>
      </c>
      <c r="I28" s="292"/>
    </row>
    <row r="29" spans="1:9" s="275" customFormat="1" ht="12.75" customHeight="1" x14ac:dyDescent="0.25">
      <c r="A29" s="286"/>
      <c r="B29" s="288"/>
      <c r="C29" s="342" t="s">
        <v>487</v>
      </c>
      <c r="D29" s="343">
        <v>8000</v>
      </c>
      <c r="E29" s="343"/>
      <c r="F29" s="343"/>
      <c r="G29" s="343"/>
      <c r="H29" s="291">
        <f t="shared" si="3"/>
        <v>8000</v>
      </c>
      <c r="I29" s="292"/>
    </row>
    <row r="30" spans="1:9" s="275" customFormat="1" ht="12.75" customHeight="1" x14ac:dyDescent="0.25">
      <c r="A30" s="286"/>
      <c r="B30" s="288"/>
      <c r="C30" s="312" t="s">
        <v>488</v>
      </c>
      <c r="D30" s="313">
        <v>98172.24</v>
      </c>
      <c r="E30" s="313"/>
      <c r="F30" s="313">
        <f>500+481.72</f>
        <v>981.72</v>
      </c>
      <c r="G30" s="313"/>
      <c r="H30" s="291">
        <f t="shared" si="3"/>
        <v>97190.52</v>
      </c>
      <c r="I30" s="292"/>
    </row>
    <row r="31" spans="1:9" s="275" customFormat="1" ht="12.75" customHeight="1" thickBot="1" x14ac:dyDescent="0.3">
      <c r="A31" s="286"/>
      <c r="B31" s="288"/>
      <c r="C31" s="314" t="s">
        <v>67</v>
      </c>
      <c r="D31" s="315">
        <f>SUM(D26:D30)</f>
        <v>750625.67999999993</v>
      </c>
      <c r="E31" s="316"/>
      <c r="F31" s="315">
        <f>SUM(F26:F30)</f>
        <v>4461.7700000000004</v>
      </c>
      <c r="G31" s="316"/>
      <c r="H31" s="315">
        <f>SUM(H26:H30)</f>
        <v>746163.90999999992</v>
      </c>
      <c r="I31" s="292"/>
    </row>
    <row r="32" spans="1:9" s="275" customFormat="1" ht="12.75" customHeight="1" thickTop="1" x14ac:dyDescent="0.25"/>
    <row r="33" s="275" customFormat="1" ht="12.75" customHeight="1" x14ac:dyDescent="0.25"/>
    <row r="34" s="275" customFormat="1" ht="12.75" customHeight="1" x14ac:dyDescent="0.25"/>
    <row r="35" s="275" customFormat="1" ht="12.75" customHeight="1" x14ac:dyDescent="0.25"/>
    <row r="36" s="275" customFormat="1" ht="12.75" customHeight="1" x14ac:dyDescent="0.25"/>
  </sheetData>
  <conditionalFormatting sqref="I8:I23">
    <cfRule type="cellIs" dxfId="53" priority="1" operator="greaterThan">
      <formula>$H$23</formula>
    </cfRule>
  </conditionalFormatting>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2EDAD-F5EB-4157-8394-035975D7F2EA}">
  <sheetPr>
    <pageSetUpPr fitToPage="1"/>
  </sheetPr>
  <dimension ref="A1:J25"/>
  <sheetViews>
    <sheetView zoomScaleNormal="100" workbookViewId="0">
      <selection activeCell="G28" sqref="G28"/>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#9519.00'!B1</f>
        <v>HHS IMHI Infirmary Building Roof Repair</v>
      </c>
      <c r="B1" s="3"/>
      <c r="C1" s="3"/>
      <c r="D1" s="4"/>
      <c r="E1" s="4"/>
      <c r="F1" s="4"/>
      <c r="G1" s="33"/>
      <c r="H1" s="33"/>
      <c r="I1" s="34"/>
      <c r="J1" s="34"/>
    </row>
    <row r="2" spans="1:10" ht="15.75" x14ac:dyDescent="0.25">
      <c r="A2" s="6" t="str">
        <f>'RECAP #9519.00'!B2</f>
        <v>Project # 9519.00</v>
      </c>
      <c r="B2" s="5"/>
      <c r="C2" s="5"/>
      <c r="D2" s="4"/>
      <c r="E2" s="4"/>
      <c r="F2" s="4"/>
      <c r="G2" s="33"/>
      <c r="H2" s="33"/>
      <c r="I2" s="34"/>
      <c r="J2" s="34"/>
    </row>
    <row r="3" spans="1:10" ht="15.75" x14ac:dyDescent="0.25">
      <c r="A3" s="7" t="str">
        <f>'RECAP #9519.00'!B3</f>
        <v>Program code 951900</v>
      </c>
      <c r="B3" s="5"/>
      <c r="C3" s="5"/>
      <c r="D3" s="4"/>
      <c r="E3" s="8" t="str">
        <f>'RECAP #9519.00'!E3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531</v>
      </c>
      <c r="F6" s="49"/>
      <c r="G6" s="50"/>
      <c r="H6" s="46"/>
      <c r="I6" s="41"/>
      <c r="J6" s="34"/>
    </row>
    <row r="7" spans="1:10" ht="15.75" x14ac:dyDescent="0.25">
      <c r="A7" s="13" t="str">
        <f>'RECAP #9519.00'!B6</f>
        <v>Project Manager - Oliver S</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5000</v>
      </c>
      <c r="F9" s="290">
        <f>E9</f>
        <v>5000</v>
      </c>
      <c r="G9" s="291"/>
      <c r="H9" s="291"/>
      <c r="I9" s="291">
        <f>F9</f>
        <v>5000</v>
      </c>
      <c r="J9" s="292"/>
    </row>
    <row r="10" spans="1:10" s="275" customFormat="1" ht="12.75" customHeight="1" x14ac:dyDescent="0.2">
      <c r="A10" s="213" t="s">
        <v>663</v>
      </c>
      <c r="B10" s="214">
        <v>46090</v>
      </c>
      <c r="C10" s="332" t="s">
        <v>269</v>
      </c>
      <c r="D10" s="175" t="s">
        <v>664</v>
      </c>
      <c r="E10" s="290"/>
      <c r="F10" s="290">
        <f t="shared" ref="F10:F21" si="0">F9+E10</f>
        <v>5000</v>
      </c>
      <c r="G10" s="294">
        <v>15.35</v>
      </c>
      <c r="H10" s="291">
        <f t="shared" ref="H10:H21" si="1">H9+G10</f>
        <v>15.35</v>
      </c>
      <c r="I10" s="291">
        <f t="shared" ref="I10:I21" si="2">I9-G10+E10</f>
        <v>4984.6499999999996</v>
      </c>
      <c r="J10" s="292"/>
    </row>
    <row r="11" spans="1:10" s="275" customFormat="1" ht="12.75" customHeight="1" x14ac:dyDescent="0.2">
      <c r="A11" s="213" t="s">
        <v>663</v>
      </c>
      <c r="B11" s="214">
        <v>46090</v>
      </c>
      <c r="C11" s="333">
        <v>9500</v>
      </c>
      <c r="D11" s="78" t="s">
        <v>665</v>
      </c>
      <c r="E11" s="290"/>
      <c r="F11" s="290">
        <f t="shared" si="0"/>
        <v>5000</v>
      </c>
      <c r="G11" s="294">
        <v>178.8</v>
      </c>
      <c r="H11" s="291">
        <f t="shared" si="1"/>
        <v>194.15</v>
      </c>
      <c r="I11" s="291">
        <f t="shared" si="2"/>
        <v>4805.8499999999995</v>
      </c>
      <c r="J11" s="292"/>
    </row>
    <row r="12" spans="1:10" s="275" customFormat="1" ht="12.75" customHeight="1" x14ac:dyDescent="0.25">
      <c r="A12" s="317"/>
      <c r="B12" s="287"/>
      <c r="C12" s="287"/>
      <c r="D12" s="297"/>
      <c r="E12" s="290"/>
      <c r="F12" s="290">
        <f t="shared" si="0"/>
        <v>5000</v>
      </c>
      <c r="G12" s="295"/>
      <c r="H12" s="291">
        <f t="shared" si="1"/>
        <v>194.15</v>
      </c>
      <c r="I12" s="291">
        <f t="shared" si="2"/>
        <v>4805.8499999999995</v>
      </c>
      <c r="J12" s="292"/>
    </row>
    <row r="13" spans="1:10" s="275" customFormat="1" ht="12.75" customHeight="1" x14ac:dyDescent="0.25">
      <c r="A13" s="317"/>
      <c r="B13" s="287"/>
      <c r="C13" s="287"/>
      <c r="D13" s="297"/>
      <c r="E13" s="290"/>
      <c r="F13" s="290">
        <f t="shared" si="0"/>
        <v>5000</v>
      </c>
      <c r="G13" s="295"/>
      <c r="H13" s="291">
        <f t="shared" si="1"/>
        <v>194.15</v>
      </c>
      <c r="I13" s="291">
        <f t="shared" si="2"/>
        <v>4805.8499999999995</v>
      </c>
      <c r="J13" s="292"/>
    </row>
    <row r="14" spans="1:10" s="275" customFormat="1" ht="12.75" customHeight="1" x14ac:dyDescent="0.25">
      <c r="A14" s="317"/>
      <c r="B14" s="287"/>
      <c r="C14" s="287"/>
      <c r="D14" s="297"/>
      <c r="E14" s="290"/>
      <c r="F14" s="290">
        <f t="shared" si="0"/>
        <v>5000</v>
      </c>
      <c r="G14" s="291"/>
      <c r="H14" s="291">
        <f t="shared" si="1"/>
        <v>194.15</v>
      </c>
      <c r="I14" s="291">
        <f t="shared" si="2"/>
        <v>4805.8499999999995</v>
      </c>
      <c r="J14" s="292"/>
    </row>
    <row r="15" spans="1:10" s="275" customFormat="1" ht="12.75" customHeight="1" x14ac:dyDescent="0.25">
      <c r="A15" s="317"/>
      <c r="B15" s="287"/>
      <c r="C15" s="287"/>
      <c r="D15" s="297"/>
      <c r="E15" s="290"/>
      <c r="F15" s="290">
        <f t="shared" si="0"/>
        <v>5000</v>
      </c>
      <c r="G15" s="295"/>
      <c r="H15" s="291">
        <f t="shared" si="1"/>
        <v>194.15</v>
      </c>
      <c r="I15" s="291">
        <f t="shared" si="2"/>
        <v>4805.8499999999995</v>
      </c>
      <c r="J15" s="292"/>
    </row>
    <row r="16" spans="1:10" s="275" customFormat="1" ht="12.75" customHeight="1" x14ac:dyDescent="0.25">
      <c r="A16" s="317"/>
      <c r="B16" s="287"/>
      <c r="C16" s="287"/>
      <c r="D16" s="297"/>
      <c r="E16" s="290"/>
      <c r="F16" s="290">
        <f t="shared" si="0"/>
        <v>5000</v>
      </c>
      <c r="G16" s="295"/>
      <c r="H16" s="291">
        <f t="shared" si="1"/>
        <v>194.15</v>
      </c>
      <c r="I16" s="291">
        <f t="shared" si="2"/>
        <v>4805.8499999999995</v>
      </c>
      <c r="J16" s="292"/>
    </row>
    <row r="17" spans="1:10" s="275" customFormat="1" ht="12.75" customHeight="1" x14ac:dyDescent="0.25">
      <c r="A17" s="317"/>
      <c r="B17" s="287"/>
      <c r="C17" s="287"/>
      <c r="D17" s="297"/>
      <c r="E17" s="290"/>
      <c r="F17" s="290">
        <f t="shared" si="0"/>
        <v>5000</v>
      </c>
      <c r="G17" s="295"/>
      <c r="H17" s="291">
        <f t="shared" si="1"/>
        <v>194.15</v>
      </c>
      <c r="I17" s="291">
        <f t="shared" si="2"/>
        <v>4805.8499999999995</v>
      </c>
      <c r="J17" s="292"/>
    </row>
    <row r="18" spans="1:10" s="275" customFormat="1" ht="12.75" customHeight="1" x14ac:dyDescent="0.25">
      <c r="A18" s="317"/>
      <c r="B18" s="287"/>
      <c r="C18" s="287"/>
      <c r="D18" s="297"/>
      <c r="E18" s="290"/>
      <c r="F18" s="290">
        <f t="shared" si="0"/>
        <v>5000</v>
      </c>
      <c r="G18" s="295"/>
      <c r="H18" s="291">
        <f t="shared" si="1"/>
        <v>194.15</v>
      </c>
      <c r="I18" s="291">
        <f t="shared" si="2"/>
        <v>4805.8499999999995</v>
      </c>
      <c r="J18" s="292"/>
    </row>
    <row r="19" spans="1:10" s="275" customFormat="1" ht="12.75" customHeight="1" x14ac:dyDescent="0.25">
      <c r="A19" s="298"/>
      <c r="B19" s="287"/>
      <c r="C19" s="287"/>
      <c r="D19" s="297"/>
      <c r="E19" s="290"/>
      <c r="F19" s="290">
        <f t="shared" si="0"/>
        <v>5000</v>
      </c>
      <c r="G19" s="291"/>
      <c r="H19" s="291">
        <f t="shared" si="1"/>
        <v>194.15</v>
      </c>
      <c r="I19" s="291">
        <f t="shared" si="2"/>
        <v>4805.8499999999995</v>
      </c>
      <c r="J19" s="292"/>
    </row>
    <row r="20" spans="1:10" s="275" customFormat="1" ht="12.75" customHeight="1" x14ac:dyDescent="0.25">
      <c r="A20" s="298"/>
      <c r="B20" s="287"/>
      <c r="C20" s="287"/>
      <c r="D20" s="297"/>
      <c r="E20" s="290"/>
      <c r="F20" s="290">
        <f t="shared" si="0"/>
        <v>5000</v>
      </c>
      <c r="G20" s="291"/>
      <c r="H20" s="291">
        <f t="shared" si="1"/>
        <v>194.15</v>
      </c>
      <c r="I20" s="291">
        <f t="shared" si="2"/>
        <v>4805.8499999999995</v>
      </c>
      <c r="J20" s="292"/>
    </row>
    <row r="21" spans="1:10" s="275" customFormat="1" ht="12.75" customHeight="1" x14ac:dyDescent="0.25">
      <c r="A21" s="298"/>
      <c r="B21" s="287"/>
      <c r="C21" s="287"/>
      <c r="D21" s="318"/>
      <c r="E21" s="290"/>
      <c r="F21" s="290">
        <f t="shared" si="0"/>
        <v>5000</v>
      </c>
      <c r="G21" s="291"/>
      <c r="H21" s="291">
        <f t="shared" si="1"/>
        <v>194.15</v>
      </c>
      <c r="I21" s="291">
        <f t="shared" si="2"/>
        <v>4805.8499999999995</v>
      </c>
      <c r="J21" s="292"/>
    </row>
    <row r="22" spans="1:10" s="275" customFormat="1" ht="12.75" customHeight="1" x14ac:dyDescent="0.25">
      <c r="A22" s="286"/>
      <c r="B22" s="288"/>
      <c r="C22" s="288"/>
      <c r="D22" s="297"/>
      <c r="E22" s="291"/>
      <c r="F22" s="291"/>
      <c r="G22" s="291"/>
      <c r="H22" s="291"/>
      <c r="I22" s="291"/>
      <c r="J22" s="292"/>
    </row>
    <row r="23" spans="1:10" s="275" customFormat="1" ht="12.75" customHeight="1" thickBot="1" x14ac:dyDescent="0.3">
      <c r="A23" s="286"/>
      <c r="B23" s="300"/>
      <c r="C23" s="300"/>
      <c r="D23" s="301" t="s">
        <v>24</v>
      </c>
      <c r="E23" s="302">
        <f>SUM(E9:E22)</f>
        <v>5000</v>
      </c>
      <c r="F23" s="302"/>
      <c r="G23" s="302">
        <f>SUM(G9:G22)</f>
        <v>194.15</v>
      </c>
      <c r="H23" s="302"/>
      <c r="I23" s="302">
        <f>E23-G23</f>
        <v>4805.8500000000004</v>
      </c>
      <c r="J23" s="292"/>
    </row>
    <row r="24" spans="1:10" s="275" customFormat="1" ht="12.75" customHeight="1" thickTop="1" x14ac:dyDescent="0.25"/>
    <row r="25" spans="1:10" s="275"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B37D-AE90-48F8-87D9-D0E3058D6FC2}">
  <sheetPr>
    <tabColor indexed="30"/>
    <pageSetUpPr fitToPage="1"/>
  </sheetPr>
  <dimension ref="A1:H23"/>
  <sheetViews>
    <sheetView zoomScaleNormal="100" workbookViewId="0">
      <selection activeCell="A32" sqref="A3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#9519.00'!B1</f>
        <v>HHS IMHI Infirmary Building Roof Repair</v>
      </c>
      <c r="B1" s="3"/>
      <c r="C1" s="3"/>
      <c r="D1" s="3"/>
      <c r="E1" s="4"/>
      <c r="F1" s="4"/>
      <c r="G1" s="4"/>
      <c r="H1" s="33"/>
    </row>
    <row r="2" spans="1:8" ht="15.75" x14ac:dyDescent="0.25">
      <c r="A2" s="6" t="str">
        <f>'RECAP #9519.00'!B2</f>
        <v>Project # 9519.00</v>
      </c>
      <c r="B2" s="5"/>
      <c r="C2" s="5"/>
      <c r="D2" s="5"/>
      <c r="E2" s="4"/>
      <c r="F2" s="4"/>
      <c r="G2" s="4"/>
      <c r="H2" s="33"/>
    </row>
    <row r="3" spans="1:8" ht="15.75" x14ac:dyDescent="0.25">
      <c r="A3" s="7" t="str">
        <f>'RECAP #9519.00'!B3</f>
        <v>Program code 951900</v>
      </c>
      <c r="B3" s="5"/>
      <c r="C3" s="5"/>
      <c r="D3" s="5"/>
      <c r="E3" s="8" t="str">
        <f>'RECAP #9519.00'!E3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#9519.00'!B6</f>
        <v>Project Manager - Oliver S</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3FD7F-43F7-47AD-B574-E2F7B6A6E90D}">
  <sheetPr>
    <pageSetUpPr fitToPage="1"/>
  </sheetPr>
  <dimension ref="A1:G15"/>
  <sheetViews>
    <sheetView zoomScaleNormal="100" workbookViewId="0">
      <selection activeCell="B21" sqref="B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504</v>
      </c>
      <c r="C1" s="3"/>
      <c r="D1" s="4"/>
      <c r="E1" s="4"/>
      <c r="F1" s="4"/>
      <c r="G1" s="4"/>
    </row>
    <row r="2" spans="1:7" ht="15.75" x14ac:dyDescent="0.25">
      <c r="A2" s="1"/>
      <c r="B2" s="6" t="s">
        <v>516</v>
      </c>
      <c r="C2" s="5"/>
      <c r="D2" s="4"/>
      <c r="E2" s="4"/>
      <c r="F2" s="4"/>
      <c r="G2" s="4"/>
    </row>
    <row r="3" spans="1:7" ht="15.75" x14ac:dyDescent="0.25">
      <c r="A3" s="1"/>
      <c r="B3" s="7" t="s">
        <v>517</v>
      </c>
      <c r="C3" s="5"/>
      <c r="D3" s="4"/>
      <c r="E3" s="8" t="s">
        <v>518</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524</v>
      </c>
      <c r="C6" s="14"/>
      <c r="D6" s="15" t="s">
        <v>2</v>
      </c>
      <c r="E6" s="16"/>
      <c r="F6" s="16"/>
      <c r="G6" s="16"/>
    </row>
    <row r="7" spans="1:7" ht="33" customHeight="1" thickBot="1" x14ac:dyDescent="0.3">
      <c r="A7" s="1"/>
      <c r="B7" s="18" t="s">
        <v>2</v>
      </c>
      <c r="C7" s="19" t="s">
        <v>3</v>
      </c>
      <c r="D7" s="20" t="s">
        <v>4</v>
      </c>
      <c r="E7" s="21" t="s">
        <v>5</v>
      </c>
      <c r="F7" s="22" t="s">
        <v>6</v>
      </c>
      <c r="G7" s="22" t="s">
        <v>7</v>
      </c>
    </row>
    <row r="8" spans="1:7" ht="28.35" customHeight="1" x14ac:dyDescent="0.25">
      <c r="A8" s="1"/>
      <c r="B8" s="1" t="s">
        <v>8</v>
      </c>
      <c r="C8" s="23">
        <f>FINANCIAL!G43</f>
        <v>1500000</v>
      </c>
      <c r="D8" s="24"/>
      <c r="E8" s="24"/>
      <c r="F8" s="24"/>
      <c r="G8" s="25"/>
    </row>
    <row r="9" spans="1:7" s="275" customFormat="1" ht="12.75" customHeight="1" x14ac:dyDescent="0.25">
      <c r="A9" s="303"/>
      <c r="B9" s="304"/>
      <c r="C9" s="331"/>
      <c r="D9" s="306"/>
      <c r="E9" s="306"/>
      <c r="F9" s="306"/>
      <c r="G9" s="307"/>
    </row>
    <row r="10" spans="1:7" s="275" customFormat="1" ht="12.75" customHeight="1" x14ac:dyDescent="0.25">
      <c r="A10" s="303"/>
      <c r="B10" s="304" t="s">
        <v>359</v>
      </c>
      <c r="C10" s="305"/>
      <c r="D10" s="308">
        <f>'#9521.00 Boyd Jones'!D23</f>
        <v>14752.31</v>
      </c>
      <c r="E10" s="308">
        <f>'#9521.00 Boyd Jones'!F23</f>
        <v>0</v>
      </c>
      <c r="F10" s="308">
        <f>'#9521.00 Boyd Jones'!H23</f>
        <v>14752.31</v>
      </c>
      <c r="G10" s="307"/>
    </row>
    <row r="11" spans="1:7" s="275" customFormat="1" ht="12.75" customHeight="1" x14ac:dyDescent="0.25">
      <c r="A11" s="303"/>
      <c r="B11" s="304" t="s">
        <v>10</v>
      </c>
      <c r="C11" s="305"/>
      <c r="D11" s="308">
        <f>'#9521.00 PM TIME '!E23</f>
        <v>45000</v>
      </c>
      <c r="E11" s="308">
        <f>'#9521.00 PM TIME '!G23</f>
        <v>1722.72</v>
      </c>
      <c r="F11" s="308">
        <f>'#9521.00 PM TIME '!I23</f>
        <v>43277.279999999999</v>
      </c>
      <c r="G11" s="307"/>
    </row>
    <row r="12" spans="1:7" s="275" customFormat="1" ht="12.75" customHeight="1" x14ac:dyDescent="0.25">
      <c r="A12" s="303"/>
      <c r="B12" s="304" t="s">
        <v>11</v>
      </c>
      <c r="C12" s="306"/>
      <c r="D12" s="309">
        <f>'#9521.00 Misc'!G22</f>
        <v>0</v>
      </c>
      <c r="E12" s="309">
        <f>'#9521.00 Misc'!G22</f>
        <v>0</v>
      </c>
      <c r="F12" s="308">
        <f>D12-E12</f>
        <v>0</v>
      </c>
      <c r="G12" s="307"/>
    </row>
    <row r="13" spans="1:7" s="275" customFormat="1" ht="12.75" customHeight="1" x14ac:dyDescent="0.25">
      <c r="A13" s="310"/>
      <c r="B13" s="304"/>
      <c r="C13" s="306"/>
      <c r="D13" s="309"/>
      <c r="E13" s="309"/>
      <c r="F13" s="308"/>
      <c r="G13" s="311"/>
    </row>
    <row r="14" spans="1:7" ht="24" customHeight="1" thickBot="1" x14ac:dyDescent="0.3">
      <c r="A14" s="30"/>
      <c r="B14" s="31" t="s">
        <v>12</v>
      </c>
      <c r="C14" s="32">
        <f>SUM(C8:C13)</f>
        <v>1500000</v>
      </c>
      <c r="D14" s="32">
        <f>SUM(D8:D13)</f>
        <v>59752.31</v>
      </c>
      <c r="E14" s="32">
        <f>SUM(E8:E13)</f>
        <v>1722.72</v>
      </c>
      <c r="F14" s="32">
        <f>SUM(D14-E14)</f>
        <v>58029.59</v>
      </c>
      <c r="G14" s="32">
        <f>C8-D14</f>
        <v>1440247.69</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923F7-B657-4801-AC00-9C8E7234D6FC}">
  <sheetPr>
    <pageSetUpPr fitToPage="1"/>
  </sheetPr>
  <dimension ref="A1:I29"/>
  <sheetViews>
    <sheetView zoomScaleNormal="100" workbookViewId="0">
      <selection activeCell="D32" sqref="D3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#9521.00'!B1</f>
        <v>DPS D1 1333 Ohio Roof Replacement</v>
      </c>
      <c r="B1" s="3"/>
      <c r="C1" s="4"/>
      <c r="D1" s="4"/>
      <c r="E1" s="4"/>
      <c r="F1" s="33"/>
      <c r="G1" s="33"/>
      <c r="H1" s="34"/>
      <c r="I1" s="34"/>
    </row>
    <row r="2" spans="1:9" ht="15.75" x14ac:dyDescent="0.25">
      <c r="A2" s="6" t="str">
        <f>'RECAP #9521.00'!B2</f>
        <v>Project # 9521.00</v>
      </c>
      <c r="B2" s="5"/>
      <c r="C2" s="4"/>
      <c r="D2" s="4"/>
      <c r="E2" s="4"/>
      <c r="F2" s="33"/>
      <c r="G2" s="33"/>
      <c r="H2" s="34"/>
      <c r="I2" s="34"/>
    </row>
    <row r="3" spans="1:9" ht="15.75" x14ac:dyDescent="0.25">
      <c r="A3" s="7" t="str">
        <f>'RECAP #9521.00'!B3</f>
        <v>Program code 952100</v>
      </c>
      <c r="B3" s="5"/>
      <c r="C3" s="4"/>
      <c r="D3" s="8" t="str">
        <f>'RECAP #9521.00'!E3</f>
        <v>Major Program  4E02</v>
      </c>
      <c r="E3" s="4"/>
      <c r="F3" s="33"/>
      <c r="G3" s="33"/>
      <c r="H3" s="34"/>
      <c r="I3" s="34"/>
    </row>
    <row r="4" spans="1:9" ht="15.75" x14ac:dyDescent="0.25">
      <c r="A4" s="35" t="s">
        <v>359</v>
      </c>
      <c r="B4" s="36"/>
      <c r="C4" s="37"/>
      <c r="D4" s="38" t="s">
        <v>360</v>
      </c>
      <c r="E4" s="39"/>
      <c r="F4" s="33"/>
      <c r="G4" s="33"/>
      <c r="H4" s="34"/>
      <c r="I4" s="34"/>
    </row>
    <row r="5" spans="1:9" ht="15.75" x14ac:dyDescent="0.25">
      <c r="A5" s="40" t="s">
        <v>330</v>
      </c>
      <c r="B5" s="41"/>
      <c r="C5" s="42"/>
      <c r="D5" s="43" t="s">
        <v>361</v>
      </c>
      <c r="E5" s="44"/>
      <c r="F5" s="45"/>
      <c r="G5" s="46"/>
      <c r="H5" s="41"/>
      <c r="I5" s="34"/>
    </row>
    <row r="6" spans="1:9" ht="15.75" x14ac:dyDescent="0.25">
      <c r="A6" s="13" t="str">
        <f>'RECAP #9521.00'!B6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600</v>
      </c>
      <c r="B9" s="287">
        <v>46076</v>
      </c>
      <c r="C9" s="288" t="s">
        <v>111</v>
      </c>
      <c r="D9" s="289">
        <v>14752.31</v>
      </c>
      <c r="E9" s="290">
        <f>D9</f>
        <v>14752.31</v>
      </c>
      <c r="F9" s="291"/>
      <c r="G9" s="291"/>
      <c r="H9" s="291">
        <f>E9</f>
        <v>14752.31</v>
      </c>
      <c r="I9" s="292"/>
    </row>
    <row r="10" spans="1:9" s="275" customFormat="1" ht="12.75" customHeight="1" x14ac:dyDescent="0.25">
      <c r="A10" s="286"/>
      <c r="B10" s="293"/>
      <c r="C10" s="288"/>
      <c r="D10" s="290"/>
      <c r="E10" s="290">
        <f t="shared" ref="E10:E21" si="0">E9+D10</f>
        <v>14752.31</v>
      </c>
      <c r="F10" s="295"/>
      <c r="G10" s="291">
        <f t="shared" ref="G10:G21" si="1">G9+F10</f>
        <v>0</v>
      </c>
      <c r="H10" s="291">
        <f t="shared" ref="H10:H21" si="2">H9-F10+D10</f>
        <v>14752.31</v>
      </c>
      <c r="I10" s="292"/>
    </row>
    <row r="11" spans="1:9" s="275" customFormat="1" ht="12.75" customHeight="1" x14ac:dyDescent="0.25">
      <c r="A11" s="286"/>
      <c r="B11" s="287"/>
      <c r="C11" s="288"/>
      <c r="D11" s="290"/>
      <c r="E11" s="290">
        <f t="shared" si="0"/>
        <v>14752.31</v>
      </c>
      <c r="F11" s="295"/>
      <c r="G11" s="291">
        <f t="shared" si="1"/>
        <v>0</v>
      </c>
      <c r="H11" s="291">
        <f t="shared" si="2"/>
        <v>14752.31</v>
      </c>
      <c r="I11" s="292"/>
    </row>
    <row r="12" spans="1:9" s="275" customFormat="1" ht="12.75" customHeight="1" x14ac:dyDescent="0.25">
      <c r="A12" s="286"/>
      <c r="B12" s="287"/>
      <c r="C12" s="288"/>
      <c r="D12" s="290"/>
      <c r="E12" s="290">
        <f t="shared" si="0"/>
        <v>14752.31</v>
      </c>
      <c r="F12" s="295"/>
      <c r="G12" s="291">
        <f t="shared" si="1"/>
        <v>0</v>
      </c>
      <c r="H12" s="291">
        <f t="shared" si="2"/>
        <v>14752.31</v>
      </c>
      <c r="I12" s="292"/>
    </row>
    <row r="13" spans="1:9" s="275" customFormat="1" ht="12.75" customHeight="1" x14ac:dyDescent="0.25">
      <c r="A13" s="286"/>
      <c r="B13" s="287"/>
      <c r="C13" s="288"/>
      <c r="D13" s="290"/>
      <c r="E13" s="290">
        <f t="shared" si="0"/>
        <v>14752.31</v>
      </c>
      <c r="F13" s="295"/>
      <c r="G13" s="291">
        <f t="shared" si="1"/>
        <v>0</v>
      </c>
      <c r="H13" s="291">
        <f t="shared" si="2"/>
        <v>14752.31</v>
      </c>
      <c r="I13" s="292"/>
    </row>
    <row r="14" spans="1:9" s="275" customFormat="1" ht="12.75" customHeight="1" x14ac:dyDescent="0.25">
      <c r="A14" s="286"/>
      <c r="B14" s="287"/>
      <c r="C14" s="288"/>
      <c r="D14" s="290"/>
      <c r="E14" s="290">
        <f t="shared" si="0"/>
        <v>14752.31</v>
      </c>
      <c r="F14" s="291"/>
      <c r="G14" s="291">
        <f t="shared" si="1"/>
        <v>0</v>
      </c>
      <c r="H14" s="291">
        <f t="shared" si="2"/>
        <v>14752.31</v>
      </c>
      <c r="I14" s="292"/>
    </row>
    <row r="15" spans="1:9" s="275" customFormat="1" ht="12.75" customHeight="1" x14ac:dyDescent="0.25">
      <c r="A15" s="286"/>
      <c r="B15" s="287"/>
      <c r="C15" s="288"/>
      <c r="D15" s="290"/>
      <c r="E15" s="290">
        <f t="shared" si="0"/>
        <v>14752.31</v>
      </c>
      <c r="F15" s="295"/>
      <c r="G15" s="291">
        <f t="shared" si="1"/>
        <v>0</v>
      </c>
      <c r="H15" s="291">
        <f t="shared" si="2"/>
        <v>14752.31</v>
      </c>
      <c r="I15" s="292"/>
    </row>
    <row r="16" spans="1:9" s="275" customFormat="1" ht="12.75" customHeight="1" x14ac:dyDescent="0.25">
      <c r="A16" s="286"/>
      <c r="B16" s="287"/>
      <c r="C16" s="288"/>
      <c r="D16" s="290"/>
      <c r="E16" s="290">
        <f t="shared" si="0"/>
        <v>14752.31</v>
      </c>
      <c r="F16" s="295"/>
      <c r="G16" s="291">
        <f t="shared" si="1"/>
        <v>0</v>
      </c>
      <c r="H16" s="291">
        <f t="shared" si="2"/>
        <v>14752.31</v>
      </c>
      <c r="I16" s="292"/>
    </row>
    <row r="17" spans="1:9" s="275" customFormat="1" ht="12.75" customHeight="1" x14ac:dyDescent="0.25">
      <c r="A17" s="286"/>
      <c r="B17" s="287"/>
      <c r="C17" s="288"/>
      <c r="D17" s="290"/>
      <c r="E17" s="290">
        <f t="shared" si="0"/>
        <v>14752.31</v>
      </c>
      <c r="F17" s="295"/>
      <c r="G17" s="291">
        <f t="shared" si="1"/>
        <v>0</v>
      </c>
      <c r="H17" s="291">
        <f t="shared" si="2"/>
        <v>14752.31</v>
      </c>
      <c r="I17" s="292"/>
    </row>
    <row r="18" spans="1:9" s="275" customFormat="1" ht="12.75" customHeight="1" x14ac:dyDescent="0.25">
      <c r="A18" s="286"/>
      <c r="B18" s="287"/>
      <c r="C18" s="288"/>
      <c r="D18" s="290"/>
      <c r="E18" s="290">
        <f t="shared" si="0"/>
        <v>14752.31</v>
      </c>
      <c r="F18" s="295"/>
      <c r="G18" s="291">
        <f t="shared" si="1"/>
        <v>0</v>
      </c>
      <c r="H18" s="291">
        <f t="shared" si="2"/>
        <v>14752.31</v>
      </c>
      <c r="I18" s="292"/>
    </row>
    <row r="19" spans="1:9" s="275" customFormat="1" ht="12.75" customHeight="1" x14ac:dyDescent="0.25">
      <c r="A19" s="286"/>
      <c r="B19" s="287"/>
      <c r="C19" s="288"/>
      <c r="D19" s="290"/>
      <c r="E19" s="290">
        <f t="shared" si="0"/>
        <v>14752.31</v>
      </c>
      <c r="F19" s="291"/>
      <c r="G19" s="291">
        <f t="shared" si="1"/>
        <v>0</v>
      </c>
      <c r="H19" s="291">
        <f t="shared" si="2"/>
        <v>14752.31</v>
      </c>
      <c r="I19" s="292"/>
    </row>
    <row r="20" spans="1:9" s="275" customFormat="1" ht="12.75" customHeight="1" x14ac:dyDescent="0.25">
      <c r="A20" s="286"/>
      <c r="B20" s="287"/>
      <c r="C20" s="288"/>
      <c r="D20" s="290"/>
      <c r="E20" s="290">
        <f t="shared" si="0"/>
        <v>14752.31</v>
      </c>
      <c r="F20" s="291"/>
      <c r="G20" s="291">
        <f t="shared" si="1"/>
        <v>0</v>
      </c>
      <c r="H20" s="291">
        <f t="shared" si="2"/>
        <v>14752.31</v>
      </c>
      <c r="I20" s="292"/>
    </row>
    <row r="21" spans="1:9" s="275" customFormat="1" ht="12.75" customHeight="1" x14ac:dyDescent="0.25">
      <c r="A21" s="286"/>
      <c r="B21" s="287"/>
      <c r="C21" s="296"/>
      <c r="D21" s="290"/>
      <c r="E21" s="290">
        <f t="shared" si="0"/>
        <v>14752.31</v>
      </c>
      <c r="F21" s="291"/>
      <c r="G21" s="291">
        <f t="shared" si="1"/>
        <v>0</v>
      </c>
      <c r="H21" s="291">
        <f t="shared" si="2"/>
        <v>14752.31</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14752.31</v>
      </c>
      <c r="E23" s="302"/>
      <c r="F23" s="302">
        <f>SUM(F9:F22)</f>
        <v>0</v>
      </c>
      <c r="G23" s="302"/>
      <c r="H23" s="302">
        <f>D23-F23</f>
        <v>14752.31</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14452.31</v>
      </c>
      <c r="E26" s="313"/>
      <c r="F26" s="313"/>
      <c r="G26" s="313"/>
      <c r="H26" s="313">
        <f>D26-F26</f>
        <v>14452.31</v>
      </c>
      <c r="I26" s="292"/>
    </row>
    <row r="27" spans="1:9" s="275" customFormat="1" ht="12.75" customHeight="1" x14ac:dyDescent="0.25">
      <c r="A27" s="286"/>
      <c r="B27" s="288"/>
      <c r="C27" s="312" t="s">
        <v>113</v>
      </c>
      <c r="D27" s="313">
        <v>300</v>
      </c>
      <c r="E27" s="313"/>
      <c r="F27" s="313"/>
      <c r="G27" s="313"/>
      <c r="H27" s="313">
        <f>D27-F27</f>
        <v>300</v>
      </c>
      <c r="I27" s="292"/>
    </row>
    <row r="28" spans="1:9" s="275" customFormat="1" ht="12.75" customHeight="1" thickBot="1" x14ac:dyDescent="0.3">
      <c r="A28" s="286"/>
      <c r="B28" s="288"/>
      <c r="C28" s="314" t="s">
        <v>67</v>
      </c>
      <c r="D28" s="315">
        <f>SUM(D26:D27)</f>
        <v>14752.31</v>
      </c>
      <c r="E28" s="316"/>
      <c r="F28" s="315">
        <f>SUM(F26:F27)</f>
        <v>0</v>
      </c>
      <c r="G28" s="316"/>
      <c r="H28" s="315">
        <f>SUM(H26:H27)</f>
        <v>14752.31</v>
      </c>
      <c r="I28" s="292"/>
    </row>
    <row r="29" spans="1:9" s="275" customFormat="1" ht="12.75" customHeight="1" thickTop="1" x14ac:dyDescent="0.25"/>
  </sheetData>
  <conditionalFormatting sqref="I8:I23">
    <cfRule type="cellIs" dxfId="5"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E8AF9-F212-4C44-9FC0-5B11F87F9AE1}">
  <sheetPr>
    <pageSetUpPr fitToPage="1"/>
  </sheetPr>
  <dimension ref="A1:J25"/>
  <sheetViews>
    <sheetView zoomScaleNormal="100" workbookViewId="0">
      <selection activeCell="G29" sqref="G29"/>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1.285156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#9521.00'!B1</f>
        <v>DPS D1 1333 Ohio Roof Replacement</v>
      </c>
      <c r="B1" s="3"/>
      <c r="C1" s="3"/>
      <c r="D1" s="4"/>
      <c r="E1" s="4"/>
      <c r="F1" s="4"/>
      <c r="G1" s="33"/>
      <c r="H1" s="33"/>
      <c r="I1" s="34"/>
      <c r="J1" s="34"/>
    </row>
    <row r="2" spans="1:10" ht="15.75" x14ac:dyDescent="0.25">
      <c r="A2" s="6" t="str">
        <f>'RECAP #9521.00'!B2</f>
        <v>Project # 9521.00</v>
      </c>
      <c r="B2" s="5"/>
      <c r="C2" s="5"/>
      <c r="D2" s="4"/>
      <c r="E2" s="4"/>
      <c r="F2" s="4"/>
      <c r="G2" s="33"/>
      <c r="H2" s="33"/>
      <c r="I2" s="34"/>
      <c r="J2" s="34"/>
    </row>
    <row r="3" spans="1:10" ht="15.75" x14ac:dyDescent="0.25">
      <c r="A3" s="7" t="str">
        <f>'RECAP #9521.00'!B3</f>
        <v>Program code 952100</v>
      </c>
      <c r="B3" s="5"/>
      <c r="C3" s="5"/>
      <c r="D3" s="4"/>
      <c r="E3" s="8" t="str">
        <f>'RECAP #9521.00'!E3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532</v>
      </c>
      <c r="F6" s="49"/>
      <c r="G6" s="50"/>
      <c r="H6" s="46"/>
      <c r="I6" s="41"/>
      <c r="J6" s="34"/>
    </row>
    <row r="7" spans="1:10" ht="15.75" x14ac:dyDescent="0.25">
      <c r="A7" s="13" t="str">
        <f>'RECAP #9521.00'!B6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45000</v>
      </c>
      <c r="F9" s="290">
        <f>E9</f>
        <v>45000</v>
      </c>
      <c r="G9" s="291"/>
      <c r="H9" s="291"/>
      <c r="I9" s="291">
        <f>F9</f>
        <v>45000</v>
      </c>
      <c r="J9" s="292"/>
    </row>
    <row r="10" spans="1:10" s="275" customFormat="1" ht="12.75" customHeight="1" x14ac:dyDescent="0.2">
      <c r="A10" s="213" t="s">
        <v>663</v>
      </c>
      <c r="B10" s="214">
        <v>46090</v>
      </c>
      <c r="C10" s="332" t="s">
        <v>269</v>
      </c>
      <c r="D10" s="175" t="s">
        <v>664</v>
      </c>
      <c r="E10" s="290"/>
      <c r="F10" s="290">
        <f t="shared" ref="F10:F21" si="0">F9+E10</f>
        <v>45000</v>
      </c>
      <c r="G10" s="294">
        <v>137.72</v>
      </c>
      <c r="H10" s="291">
        <f t="shared" ref="H10:H21" si="1">H9+G10</f>
        <v>137.72</v>
      </c>
      <c r="I10" s="291">
        <f t="shared" ref="I10:I21" si="2">I9-G10+E10</f>
        <v>44862.28</v>
      </c>
      <c r="J10" s="292"/>
    </row>
    <row r="11" spans="1:10" s="275" customFormat="1" ht="12.75" customHeight="1" x14ac:dyDescent="0.2">
      <c r="A11" s="213" t="s">
        <v>663</v>
      </c>
      <c r="B11" s="214">
        <v>46090</v>
      </c>
      <c r="C11" s="333">
        <v>9500</v>
      </c>
      <c r="D11" s="78" t="s">
        <v>665</v>
      </c>
      <c r="E11" s="290"/>
      <c r="F11" s="290">
        <f t="shared" si="0"/>
        <v>45000</v>
      </c>
      <c r="G11" s="294">
        <v>1585</v>
      </c>
      <c r="H11" s="291">
        <f t="shared" si="1"/>
        <v>1722.72</v>
      </c>
      <c r="I11" s="291">
        <f t="shared" si="2"/>
        <v>43277.279999999999</v>
      </c>
      <c r="J11" s="292"/>
    </row>
    <row r="12" spans="1:10" s="275" customFormat="1" ht="12.75" customHeight="1" x14ac:dyDescent="0.25">
      <c r="A12" s="317"/>
      <c r="B12" s="287"/>
      <c r="C12" s="287"/>
      <c r="D12" s="297"/>
      <c r="E12" s="290"/>
      <c r="F12" s="290">
        <f t="shared" si="0"/>
        <v>45000</v>
      </c>
      <c r="G12" s="295"/>
      <c r="H12" s="291">
        <f t="shared" si="1"/>
        <v>1722.72</v>
      </c>
      <c r="I12" s="291">
        <f t="shared" si="2"/>
        <v>43277.279999999999</v>
      </c>
      <c r="J12" s="292"/>
    </row>
    <row r="13" spans="1:10" s="275" customFormat="1" ht="12.75" customHeight="1" x14ac:dyDescent="0.25">
      <c r="A13" s="317"/>
      <c r="B13" s="287"/>
      <c r="C13" s="287"/>
      <c r="D13" s="297"/>
      <c r="E13" s="290"/>
      <c r="F13" s="290">
        <f t="shared" si="0"/>
        <v>45000</v>
      </c>
      <c r="G13" s="295"/>
      <c r="H13" s="291">
        <f t="shared" si="1"/>
        <v>1722.72</v>
      </c>
      <c r="I13" s="291">
        <f t="shared" si="2"/>
        <v>43277.279999999999</v>
      </c>
      <c r="J13" s="292"/>
    </row>
    <row r="14" spans="1:10" s="275" customFormat="1" ht="12.75" customHeight="1" x14ac:dyDescent="0.25">
      <c r="A14" s="317"/>
      <c r="B14" s="287"/>
      <c r="C14" s="287"/>
      <c r="D14" s="297"/>
      <c r="E14" s="290"/>
      <c r="F14" s="290">
        <f t="shared" si="0"/>
        <v>45000</v>
      </c>
      <c r="G14" s="291"/>
      <c r="H14" s="291">
        <f t="shared" si="1"/>
        <v>1722.72</v>
      </c>
      <c r="I14" s="291">
        <f t="shared" si="2"/>
        <v>43277.279999999999</v>
      </c>
      <c r="J14" s="292"/>
    </row>
    <row r="15" spans="1:10" s="275" customFormat="1" ht="12.75" customHeight="1" x14ac:dyDescent="0.25">
      <c r="A15" s="317"/>
      <c r="B15" s="287"/>
      <c r="C15" s="287"/>
      <c r="D15" s="297"/>
      <c r="E15" s="290"/>
      <c r="F15" s="290">
        <f t="shared" si="0"/>
        <v>45000</v>
      </c>
      <c r="G15" s="295"/>
      <c r="H15" s="291">
        <f t="shared" si="1"/>
        <v>1722.72</v>
      </c>
      <c r="I15" s="291">
        <f t="shared" si="2"/>
        <v>43277.279999999999</v>
      </c>
      <c r="J15" s="292"/>
    </row>
    <row r="16" spans="1:10" s="275" customFormat="1" ht="12.75" customHeight="1" x14ac:dyDescent="0.25">
      <c r="A16" s="317"/>
      <c r="B16" s="287"/>
      <c r="C16" s="287"/>
      <c r="D16" s="297"/>
      <c r="E16" s="290"/>
      <c r="F16" s="290">
        <f t="shared" si="0"/>
        <v>45000</v>
      </c>
      <c r="G16" s="295"/>
      <c r="H16" s="291">
        <f t="shared" si="1"/>
        <v>1722.72</v>
      </c>
      <c r="I16" s="291">
        <f t="shared" si="2"/>
        <v>43277.279999999999</v>
      </c>
      <c r="J16" s="292"/>
    </row>
    <row r="17" spans="1:10" s="275" customFormat="1" ht="12.75" customHeight="1" x14ac:dyDescent="0.25">
      <c r="A17" s="317"/>
      <c r="B17" s="287"/>
      <c r="C17" s="287"/>
      <c r="D17" s="297"/>
      <c r="E17" s="290"/>
      <c r="F17" s="290">
        <f t="shared" si="0"/>
        <v>45000</v>
      </c>
      <c r="G17" s="295"/>
      <c r="H17" s="291">
        <f t="shared" si="1"/>
        <v>1722.72</v>
      </c>
      <c r="I17" s="291">
        <f t="shared" si="2"/>
        <v>43277.279999999999</v>
      </c>
      <c r="J17" s="292"/>
    </row>
    <row r="18" spans="1:10" s="275" customFormat="1" ht="12.75" customHeight="1" x14ac:dyDescent="0.25">
      <c r="A18" s="317"/>
      <c r="B18" s="287"/>
      <c r="C18" s="287"/>
      <c r="D18" s="297"/>
      <c r="E18" s="290"/>
      <c r="F18" s="290">
        <f t="shared" si="0"/>
        <v>45000</v>
      </c>
      <c r="G18" s="295"/>
      <c r="H18" s="291">
        <f t="shared" si="1"/>
        <v>1722.72</v>
      </c>
      <c r="I18" s="291">
        <f t="shared" si="2"/>
        <v>43277.279999999999</v>
      </c>
      <c r="J18" s="292"/>
    </row>
    <row r="19" spans="1:10" s="275" customFormat="1" ht="12.75" customHeight="1" x14ac:dyDescent="0.25">
      <c r="A19" s="298"/>
      <c r="B19" s="287"/>
      <c r="C19" s="287"/>
      <c r="D19" s="297"/>
      <c r="E19" s="290"/>
      <c r="F19" s="290">
        <f t="shared" si="0"/>
        <v>45000</v>
      </c>
      <c r="G19" s="291"/>
      <c r="H19" s="291">
        <f t="shared" si="1"/>
        <v>1722.72</v>
      </c>
      <c r="I19" s="291">
        <f t="shared" si="2"/>
        <v>43277.279999999999</v>
      </c>
      <c r="J19" s="292"/>
    </row>
    <row r="20" spans="1:10" s="275" customFormat="1" ht="12.75" customHeight="1" x14ac:dyDescent="0.25">
      <c r="A20" s="298"/>
      <c r="B20" s="287"/>
      <c r="C20" s="287"/>
      <c r="D20" s="297"/>
      <c r="E20" s="290"/>
      <c r="F20" s="290">
        <f t="shared" si="0"/>
        <v>45000</v>
      </c>
      <c r="G20" s="291"/>
      <c r="H20" s="291">
        <f t="shared" si="1"/>
        <v>1722.72</v>
      </c>
      <c r="I20" s="291">
        <f t="shared" si="2"/>
        <v>43277.279999999999</v>
      </c>
      <c r="J20" s="292"/>
    </row>
    <row r="21" spans="1:10" s="275" customFormat="1" ht="12.75" customHeight="1" x14ac:dyDescent="0.25">
      <c r="A21" s="298"/>
      <c r="B21" s="287"/>
      <c r="C21" s="287"/>
      <c r="D21" s="318"/>
      <c r="E21" s="290"/>
      <c r="F21" s="290">
        <f t="shared" si="0"/>
        <v>45000</v>
      </c>
      <c r="G21" s="291"/>
      <c r="H21" s="291">
        <f t="shared" si="1"/>
        <v>1722.72</v>
      </c>
      <c r="I21" s="291">
        <f t="shared" si="2"/>
        <v>43277.279999999999</v>
      </c>
      <c r="J21" s="292"/>
    </row>
    <row r="22" spans="1:10" s="275" customFormat="1" ht="12.75" customHeight="1" x14ac:dyDescent="0.25">
      <c r="A22" s="286"/>
      <c r="B22" s="288"/>
      <c r="C22" s="288"/>
      <c r="D22" s="297"/>
      <c r="E22" s="291"/>
      <c r="F22" s="291"/>
      <c r="G22" s="291"/>
      <c r="H22" s="291"/>
      <c r="I22" s="291"/>
      <c r="J22" s="292"/>
    </row>
    <row r="23" spans="1:10" s="275" customFormat="1" ht="12.75" customHeight="1" thickBot="1" x14ac:dyDescent="0.3">
      <c r="A23" s="286"/>
      <c r="B23" s="300"/>
      <c r="C23" s="300"/>
      <c r="D23" s="301" t="s">
        <v>24</v>
      </c>
      <c r="E23" s="302">
        <f>SUM(E9:E22)</f>
        <v>45000</v>
      </c>
      <c r="F23" s="302"/>
      <c r="G23" s="302">
        <f>SUM(G9:G22)</f>
        <v>1722.72</v>
      </c>
      <c r="H23" s="302"/>
      <c r="I23" s="302">
        <f>E23-G23</f>
        <v>43277.279999999999</v>
      </c>
      <c r="J23" s="292"/>
    </row>
    <row r="24" spans="1:10" s="275" customFormat="1" ht="12.75" customHeight="1" thickTop="1" x14ac:dyDescent="0.25"/>
    <row r="25" spans="1:10" s="275"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52589-4C35-4C7B-A105-2EDC4F94113C}">
  <sheetPr>
    <tabColor indexed="30"/>
    <pageSetUpPr fitToPage="1"/>
  </sheetPr>
  <dimension ref="A1:H23"/>
  <sheetViews>
    <sheetView zoomScaleNormal="100" workbookViewId="0">
      <selection activeCell="C15" sqref="C1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#9521.00'!B1</f>
        <v>DPS D1 1333 Ohio Roof Replacement</v>
      </c>
      <c r="B1" s="3"/>
      <c r="C1" s="3"/>
      <c r="D1" s="3"/>
      <c r="E1" s="4"/>
      <c r="F1" s="4"/>
      <c r="G1" s="4"/>
      <c r="H1" s="33"/>
    </row>
    <row r="2" spans="1:8" ht="15.75" x14ac:dyDescent="0.25">
      <c r="A2" s="6" t="str">
        <f>'RECAP #9521.00'!B2</f>
        <v>Project # 9521.00</v>
      </c>
      <c r="B2" s="5"/>
      <c r="C2" s="5"/>
      <c r="D2" s="5"/>
      <c r="E2" s="4"/>
      <c r="F2" s="4"/>
      <c r="G2" s="4"/>
      <c r="H2" s="33"/>
    </row>
    <row r="3" spans="1:8" ht="15.75" x14ac:dyDescent="0.25">
      <c r="A3" s="7" t="str">
        <f>'RECAP #9521.00'!B3</f>
        <v>Program code 952100</v>
      </c>
      <c r="B3" s="5"/>
      <c r="C3" s="5"/>
      <c r="D3" s="5"/>
      <c r="E3" s="8" t="str">
        <f>'RECAP #9521.00'!E3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601</v>
      </c>
      <c r="F6" s="41"/>
      <c r="G6" s="44"/>
      <c r="H6" s="45"/>
    </row>
    <row r="7" spans="1:8" ht="15.75" x14ac:dyDescent="0.25">
      <c r="A7" s="13" t="str">
        <f>'RECAP #9521.00'!B6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E9993-AED1-4282-988E-E19CD07387C3}">
  <sheetPr>
    <pageSetUpPr fitToPage="1"/>
  </sheetPr>
  <dimension ref="A1:G15"/>
  <sheetViews>
    <sheetView zoomScaleNormal="100" workbookViewId="0">
      <selection activeCell="B1" sqref="B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507</v>
      </c>
      <c r="C1" s="3"/>
      <c r="D1" s="4"/>
      <c r="E1" s="4"/>
      <c r="F1" s="4"/>
      <c r="G1" s="4"/>
    </row>
    <row r="2" spans="1:7" ht="15.75" x14ac:dyDescent="0.25">
      <c r="A2" s="1"/>
      <c r="B2" s="6" t="s">
        <v>519</v>
      </c>
      <c r="C2" s="5"/>
      <c r="D2" s="4"/>
      <c r="E2" s="4"/>
      <c r="F2" s="4"/>
      <c r="G2" s="4"/>
    </row>
    <row r="3" spans="1:7" ht="15.75" x14ac:dyDescent="0.25">
      <c r="A3" s="1"/>
      <c r="B3" s="7" t="s">
        <v>520</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521</v>
      </c>
      <c r="C6" s="14"/>
      <c r="D6" s="15" t="s">
        <v>2</v>
      </c>
      <c r="E6" s="16"/>
      <c r="F6" s="16"/>
      <c r="G6" s="16"/>
    </row>
    <row r="7" spans="1:7" ht="39.75" customHeight="1" thickBot="1" x14ac:dyDescent="0.3">
      <c r="A7" s="1"/>
      <c r="B7" s="18" t="s">
        <v>2</v>
      </c>
      <c r="C7" s="19" t="s">
        <v>3</v>
      </c>
      <c r="D7" s="20" t="s">
        <v>4</v>
      </c>
      <c r="E7" s="21" t="s">
        <v>5</v>
      </c>
      <c r="F7" s="22" t="s">
        <v>6</v>
      </c>
      <c r="G7" s="22" t="s">
        <v>7</v>
      </c>
    </row>
    <row r="8" spans="1:7" ht="28.35" customHeight="1" x14ac:dyDescent="0.25">
      <c r="A8" s="1"/>
      <c r="B8" s="1" t="s">
        <v>8</v>
      </c>
      <c r="C8" s="23">
        <f>FINANCIAL!G44</f>
        <v>250000</v>
      </c>
      <c r="D8" s="24"/>
      <c r="E8" s="24"/>
      <c r="F8" s="24"/>
      <c r="G8" s="25"/>
    </row>
    <row r="9" spans="1:7" s="275" customFormat="1" ht="12.75" customHeight="1" x14ac:dyDescent="0.25">
      <c r="A9" s="303"/>
      <c r="B9" s="304"/>
      <c r="C9" s="331"/>
      <c r="D9" s="306"/>
      <c r="E9" s="306"/>
      <c r="F9" s="306"/>
      <c r="G9" s="307"/>
    </row>
    <row r="10" spans="1:7" s="275" customFormat="1" ht="12.75" customHeight="1" x14ac:dyDescent="0.25">
      <c r="A10" s="303"/>
      <c r="B10" s="304" t="s">
        <v>9</v>
      </c>
      <c r="C10" s="305"/>
      <c r="D10" s="308">
        <f>'#9524.00 Vendor A '!D23</f>
        <v>0</v>
      </c>
      <c r="E10" s="308">
        <f>'#9524.00 Vendor A '!F23</f>
        <v>0</v>
      </c>
      <c r="F10" s="308">
        <f>'#9524.00 Vendor A '!H23</f>
        <v>0</v>
      </c>
      <c r="G10" s="307"/>
    </row>
    <row r="11" spans="1:7" s="275" customFormat="1" ht="12.75" customHeight="1" x14ac:dyDescent="0.25">
      <c r="A11" s="303"/>
      <c r="B11" s="304" t="s">
        <v>10</v>
      </c>
      <c r="C11" s="305"/>
      <c r="D11" s="308">
        <f>'#9524.00 PM TIME'!E23</f>
        <v>5000</v>
      </c>
      <c r="E11" s="308">
        <f>'#9524.00 PM TIME'!G23</f>
        <v>663.24</v>
      </c>
      <c r="F11" s="308">
        <f>'#9524.00 PM TIME'!I23</f>
        <v>4336.76</v>
      </c>
      <c r="G11" s="307"/>
    </row>
    <row r="12" spans="1:7" s="275" customFormat="1" ht="12.75" customHeight="1" x14ac:dyDescent="0.25">
      <c r="A12" s="303"/>
      <c r="B12" s="304" t="s">
        <v>11</v>
      </c>
      <c r="C12" s="306"/>
      <c r="D12" s="309">
        <f>'#9524.00 Misc '!G22</f>
        <v>0</v>
      </c>
      <c r="E12" s="309">
        <f>'#9524.00 Misc '!G22</f>
        <v>0</v>
      </c>
      <c r="F12" s="308">
        <f>D12-E12</f>
        <v>0</v>
      </c>
      <c r="G12" s="307"/>
    </row>
    <row r="13" spans="1:7" s="275" customFormat="1" ht="12.75" customHeight="1" x14ac:dyDescent="0.25">
      <c r="A13" s="310"/>
      <c r="B13" s="304"/>
      <c r="C13" s="306"/>
      <c r="D13" s="309"/>
      <c r="E13" s="309"/>
      <c r="F13" s="308"/>
      <c r="G13" s="311"/>
    </row>
    <row r="14" spans="1:7" ht="24" customHeight="1" thickBot="1" x14ac:dyDescent="0.3">
      <c r="A14" s="30"/>
      <c r="B14" s="31" t="s">
        <v>12</v>
      </c>
      <c r="C14" s="32">
        <f>SUM(C8:C13)</f>
        <v>250000</v>
      </c>
      <c r="D14" s="32">
        <f>SUM(D8:D13)</f>
        <v>5000</v>
      </c>
      <c r="E14" s="32">
        <f>SUM(E8:E13)</f>
        <v>663.24</v>
      </c>
      <c r="F14" s="32">
        <f>SUM(D14-E14)</f>
        <v>4336.76</v>
      </c>
      <c r="G14" s="32">
        <f>C8-D14</f>
        <v>245000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7A5C-C237-4F77-9D47-671182DE7BB7}">
  <sheetPr>
    <tabColor rgb="FF0070C0"/>
    <pageSetUpPr fitToPage="1"/>
  </sheetPr>
  <dimension ref="A1:I29"/>
  <sheetViews>
    <sheetView zoomScaleNormal="100" workbookViewId="0">
      <selection activeCell="L28" sqref="L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#9524.00'!B1</f>
        <v>DOC ASP SallyPort Tunnel &amp; Living Unit B Tunnel Repair</v>
      </c>
      <c r="B1" s="3"/>
      <c r="C1" s="4"/>
      <c r="D1" s="4"/>
      <c r="E1" s="4"/>
      <c r="F1" s="33"/>
      <c r="G1" s="33"/>
      <c r="H1" s="34"/>
      <c r="I1" s="34"/>
    </row>
    <row r="2" spans="1:9" ht="15.75" x14ac:dyDescent="0.25">
      <c r="A2" s="6" t="str">
        <f>'RECAP #9524.00'!B2</f>
        <v>Project # 9524.00</v>
      </c>
      <c r="B2" s="5"/>
      <c r="C2" s="4"/>
      <c r="D2" s="4"/>
      <c r="E2" s="4"/>
      <c r="F2" s="33"/>
      <c r="G2" s="33"/>
      <c r="H2" s="34"/>
      <c r="I2" s="34"/>
    </row>
    <row r="3" spans="1:9" ht="15.75" x14ac:dyDescent="0.25">
      <c r="A3" s="7" t="str">
        <f>'RECAP #9524.00'!B3</f>
        <v>Program code 952400</v>
      </c>
      <c r="B3" s="5"/>
      <c r="C3" s="4"/>
      <c r="D3" s="8" t="str">
        <f>'RECAP #9524.00'!E3</f>
        <v>Major Program 4E01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#9524.00'!B6</f>
        <v>Project Manager - Oliver S</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c r="B9" s="287"/>
      <c r="C9" s="288"/>
      <c r="D9" s="330"/>
      <c r="E9" s="290">
        <f>D9</f>
        <v>0</v>
      </c>
      <c r="F9" s="291"/>
      <c r="G9" s="291"/>
      <c r="H9" s="291">
        <f>E9</f>
        <v>0</v>
      </c>
      <c r="I9" s="292"/>
    </row>
    <row r="10" spans="1:9" s="275" customFormat="1" ht="12.75" customHeight="1" x14ac:dyDescent="0.25">
      <c r="A10" s="286"/>
      <c r="B10" s="293"/>
      <c r="C10" s="288"/>
      <c r="D10" s="290"/>
      <c r="E10" s="290">
        <f t="shared" ref="E10:E21" si="0">E9+D10</f>
        <v>0</v>
      </c>
      <c r="F10" s="295"/>
      <c r="G10" s="291">
        <f t="shared" ref="G10:G21" si="1">G9+F10</f>
        <v>0</v>
      </c>
      <c r="H10" s="291">
        <f t="shared" ref="H10:H21" si="2">H9-F10+D10</f>
        <v>0</v>
      </c>
      <c r="I10" s="292"/>
    </row>
    <row r="11" spans="1:9" s="275" customFormat="1" ht="12.75" customHeight="1" x14ac:dyDescent="0.25">
      <c r="A11" s="286"/>
      <c r="B11" s="287"/>
      <c r="C11" s="288"/>
      <c r="D11" s="290"/>
      <c r="E11" s="290">
        <f t="shared" si="0"/>
        <v>0</v>
      </c>
      <c r="F11" s="295"/>
      <c r="G11" s="291">
        <f t="shared" si="1"/>
        <v>0</v>
      </c>
      <c r="H11" s="291">
        <f t="shared" si="2"/>
        <v>0</v>
      </c>
      <c r="I11" s="292"/>
    </row>
    <row r="12" spans="1:9" s="275" customFormat="1" ht="12.75" customHeight="1" x14ac:dyDescent="0.25">
      <c r="A12" s="286"/>
      <c r="B12" s="287"/>
      <c r="C12" s="288"/>
      <c r="D12" s="290"/>
      <c r="E12" s="290">
        <f t="shared" si="0"/>
        <v>0</v>
      </c>
      <c r="F12" s="295"/>
      <c r="G12" s="291">
        <f t="shared" si="1"/>
        <v>0</v>
      </c>
      <c r="H12" s="291">
        <f t="shared" si="2"/>
        <v>0</v>
      </c>
      <c r="I12" s="292"/>
    </row>
    <row r="13" spans="1:9" s="275" customFormat="1" ht="12.75" customHeight="1" x14ac:dyDescent="0.25">
      <c r="A13" s="286"/>
      <c r="B13" s="287"/>
      <c r="C13" s="288"/>
      <c r="D13" s="290"/>
      <c r="E13" s="290">
        <f t="shared" si="0"/>
        <v>0</v>
      </c>
      <c r="F13" s="295"/>
      <c r="G13" s="291">
        <f t="shared" si="1"/>
        <v>0</v>
      </c>
      <c r="H13" s="291">
        <f t="shared" si="2"/>
        <v>0</v>
      </c>
      <c r="I13" s="292"/>
    </row>
    <row r="14" spans="1:9" s="275" customFormat="1" ht="12.75" customHeight="1" x14ac:dyDescent="0.25">
      <c r="A14" s="286"/>
      <c r="B14" s="287"/>
      <c r="C14" s="288"/>
      <c r="D14" s="290"/>
      <c r="E14" s="290">
        <f t="shared" si="0"/>
        <v>0</v>
      </c>
      <c r="F14" s="291"/>
      <c r="G14" s="291">
        <f t="shared" si="1"/>
        <v>0</v>
      </c>
      <c r="H14" s="291">
        <f t="shared" si="2"/>
        <v>0</v>
      </c>
      <c r="I14" s="292"/>
    </row>
    <row r="15" spans="1:9" s="275" customFormat="1" ht="12.75" customHeight="1" x14ac:dyDescent="0.25">
      <c r="A15" s="286"/>
      <c r="B15" s="287"/>
      <c r="C15" s="288"/>
      <c r="D15" s="290"/>
      <c r="E15" s="290">
        <f t="shared" si="0"/>
        <v>0</v>
      </c>
      <c r="F15" s="295"/>
      <c r="G15" s="291">
        <f t="shared" si="1"/>
        <v>0</v>
      </c>
      <c r="H15" s="291">
        <f t="shared" si="2"/>
        <v>0</v>
      </c>
      <c r="I15" s="292"/>
    </row>
    <row r="16" spans="1:9" s="275" customFormat="1" ht="12.75" customHeight="1" x14ac:dyDescent="0.25">
      <c r="A16" s="286"/>
      <c r="B16" s="287"/>
      <c r="C16" s="288"/>
      <c r="D16" s="290"/>
      <c r="E16" s="290">
        <f t="shared" si="0"/>
        <v>0</v>
      </c>
      <c r="F16" s="295"/>
      <c r="G16" s="291">
        <f t="shared" si="1"/>
        <v>0</v>
      </c>
      <c r="H16" s="291">
        <f t="shared" si="2"/>
        <v>0</v>
      </c>
      <c r="I16" s="292"/>
    </row>
    <row r="17" spans="1:9" s="275" customFormat="1" ht="12.75" customHeight="1" x14ac:dyDescent="0.25">
      <c r="A17" s="286"/>
      <c r="B17" s="287"/>
      <c r="C17" s="288"/>
      <c r="D17" s="290"/>
      <c r="E17" s="290">
        <f t="shared" si="0"/>
        <v>0</v>
      </c>
      <c r="F17" s="295"/>
      <c r="G17" s="291">
        <f t="shared" si="1"/>
        <v>0</v>
      </c>
      <c r="H17" s="291">
        <f t="shared" si="2"/>
        <v>0</v>
      </c>
      <c r="I17" s="292"/>
    </row>
    <row r="18" spans="1:9" s="275" customFormat="1" ht="12.75" customHeight="1" x14ac:dyDescent="0.25">
      <c r="A18" s="286"/>
      <c r="B18" s="287"/>
      <c r="C18" s="288"/>
      <c r="D18" s="290"/>
      <c r="E18" s="290">
        <f t="shared" si="0"/>
        <v>0</v>
      </c>
      <c r="F18" s="295"/>
      <c r="G18" s="291">
        <f t="shared" si="1"/>
        <v>0</v>
      </c>
      <c r="H18" s="291">
        <f t="shared" si="2"/>
        <v>0</v>
      </c>
      <c r="I18" s="292"/>
    </row>
    <row r="19" spans="1:9" s="275" customFormat="1" ht="12.75" customHeight="1" x14ac:dyDescent="0.25">
      <c r="A19" s="286"/>
      <c r="B19" s="287"/>
      <c r="C19" s="288"/>
      <c r="D19" s="290"/>
      <c r="E19" s="290">
        <f t="shared" si="0"/>
        <v>0</v>
      </c>
      <c r="F19" s="291"/>
      <c r="G19" s="291">
        <f t="shared" si="1"/>
        <v>0</v>
      </c>
      <c r="H19" s="291">
        <f t="shared" si="2"/>
        <v>0</v>
      </c>
      <c r="I19" s="292"/>
    </row>
    <row r="20" spans="1:9" s="275" customFormat="1" ht="12.75" customHeight="1" x14ac:dyDescent="0.25">
      <c r="A20" s="286"/>
      <c r="B20" s="287"/>
      <c r="C20" s="288"/>
      <c r="D20" s="290"/>
      <c r="E20" s="290">
        <f t="shared" si="0"/>
        <v>0</v>
      </c>
      <c r="F20" s="291"/>
      <c r="G20" s="291">
        <f t="shared" si="1"/>
        <v>0</v>
      </c>
      <c r="H20" s="291">
        <f t="shared" si="2"/>
        <v>0</v>
      </c>
      <c r="I20" s="292"/>
    </row>
    <row r="21" spans="1:9" s="275" customFormat="1" ht="12.75" customHeight="1" x14ac:dyDescent="0.25">
      <c r="A21" s="286"/>
      <c r="B21" s="287"/>
      <c r="C21" s="296"/>
      <c r="D21" s="290"/>
      <c r="E21" s="290">
        <f t="shared" si="0"/>
        <v>0</v>
      </c>
      <c r="F21" s="291"/>
      <c r="G21" s="291">
        <f t="shared" si="1"/>
        <v>0</v>
      </c>
      <c r="H21" s="291">
        <f t="shared" si="2"/>
        <v>0</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0</v>
      </c>
      <c r="E23" s="302"/>
      <c r="F23" s="302">
        <f>SUM(F9:F22)</f>
        <v>0</v>
      </c>
      <c r="G23" s="302"/>
      <c r="H23" s="302">
        <f>D23-F23</f>
        <v>0</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0</v>
      </c>
      <c r="E26" s="313"/>
      <c r="F26" s="313"/>
      <c r="G26" s="313"/>
      <c r="H26" s="313">
        <f>D26-F26</f>
        <v>0</v>
      </c>
      <c r="I26" s="292"/>
    </row>
    <row r="27" spans="1:9" s="275" customFormat="1" ht="12.75" customHeight="1" x14ac:dyDescent="0.25">
      <c r="A27" s="286"/>
      <c r="B27" s="288"/>
      <c r="C27" s="312" t="s">
        <v>113</v>
      </c>
      <c r="D27" s="313">
        <v>0</v>
      </c>
      <c r="E27" s="313"/>
      <c r="F27" s="313"/>
      <c r="G27" s="313"/>
      <c r="H27" s="313">
        <f>D27-F27</f>
        <v>0</v>
      </c>
      <c r="I27" s="292"/>
    </row>
    <row r="28" spans="1:9" s="275" customFormat="1" ht="12.75" customHeight="1" thickBot="1" x14ac:dyDescent="0.3">
      <c r="A28" s="286"/>
      <c r="B28" s="288"/>
      <c r="C28" s="314" t="s">
        <v>67</v>
      </c>
      <c r="D28" s="315">
        <f>SUM(D26:D27)</f>
        <v>0</v>
      </c>
      <c r="E28" s="316"/>
      <c r="F28" s="315">
        <f>SUM(F26:F27)</f>
        <v>0</v>
      </c>
      <c r="G28" s="316"/>
      <c r="H28" s="315">
        <f>SUM(H26:H27)</f>
        <v>0</v>
      </c>
      <c r="I28" s="292"/>
    </row>
    <row r="29" spans="1:9" s="275" customFormat="1" ht="12.75" customHeight="1" thickTop="1" x14ac:dyDescent="0.25"/>
  </sheetData>
  <conditionalFormatting sqref="I8:I23">
    <cfRule type="cellIs" dxfId="4"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3A11-C2A5-4C4E-8785-D8AAB3EA6D4E}">
  <sheetPr>
    <pageSetUpPr fitToPage="1"/>
  </sheetPr>
  <dimension ref="A1:J25"/>
  <sheetViews>
    <sheetView zoomScaleNormal="100" workbookViewId="0">
      <selection activeCell="G27" sqref="G27"/>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#9524.00'!B1</f>
        <v>DOC ASP SallyPort Tunnel &amp; Living Unit B Tunnel Repair</v>
      </c>
      <c r="B1" s="3"/>
      <c r="C1" s="3"/>
      <c r="D1" s="4"/>
      <c r="E1" s="4"/>
      <c r="F1" s="4"/>
      <c r="G1" s="33"/>
      <c r="H1" s="33"/>
      <c r="I1" s="34"/>
      <c r="J1" s="34"/>
    </row>
    <row r="2" spans="1:10" ht="15.75" x14ac:dyDescent="0.25">
      <c r="A2" s="6" t="str">
        <f>'RECAP #9524.00'!B2</f>
        <v>Project # 9524.00</v>
      </c>
      <c r="B2" s="5"/>
      <c r="C2" s="5"/>
      <c r="D2" s="4"/>
      <c r="E2" s="4"/>
      <c r="F2" s="4"/>
      <c r="G2" s="33"/>
      <c r="H2" s="33"/>
      <c r="I2" s="34"/>
      <c r="J2" s="34"/>
    </row>
    <row r="3" spans="1:10" ht="15.75" x14ac:dyDescent="0.25">
      <c r="A3" s="7" t="str">
        <f>'RECAP #9524.00'!B3</f>
        <v>Program code 952400</v>
      </c>
      <c r="B3" s="5"/>
      <c r="C3" s="5"/>
      <c r="D3" s="4"/>
      <c r="E3" s="8" t="str">
        <f>'RECAP #9524.00'!E3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533</v>
      </c>
      <c r="F6" s="49"/>
      <c r="G6" s="50"/>
      <c r="H6" s="46"/>
      <c r="I6" s="41"/>
      <c r="J6" s="34"/>
    </row>
    <row r="7" spans="1:10" ht="15.75" x14ac:dyDescent="0.25">
      <c r="A7" s="13" t="str">
        <f>'RECAP #9524.00'!B6</f>
        <v>Project Manager - Oliver S</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5000</v>
      </c>
      <c r="F9" s="290">
        <f>E9</f>
        <v>5000</v>
      </c>
      <c r="G9" s="291"/>
      <c r="H9" s="291"/>
      <c r="I9" s="291">
        <f>F9</f>
        <v>5000</v>
      </c>
      <c r="J9" s="292"/>
    </row>
    <row r="10" spans="1:10" s="275" customFormat="1" ht="12.75" customHeight="1" x14ac:dyDescent="0.2">
      <c r="A10" s="213" t="s">
        <v>663</v>
      </c>
      <c r="B10" s="214">
        <v>46090</v>
      </c>
      <c r="C10" s="332" t="s">
        <v>269</v>
      </c>
      <c r="D10" s="175" t="s">
        <v>664</v>
      </c>
      <c r="E10" s="290"/>
      <c r="F10" s="290">
        <f t="shared" ref="F10:F21" si="0">F9+E10</f>
        <v>5000</v>
      </c>
      <c r="G10" s="294">
        <v>52.54</v>
      </c>
      <c r="H10" s="291">
        <f t="shared" ref="H10:H21" si="1">H9+G10</f>
        <v>52.54</v>
      </c>
      <c r="I10" s="291">
        <f t="shared" ref="I10:I21" si="2">I9-G10+E10</f>
        <v>4947.46</v>
      </c>
      <c r="J10" s="292"/>
    </row>
    <row r="11" spans="1:10" s="275" customFormat="1" ht="12.75" customHeight="1" x14ac:dyDescent="0.2">
      <c r="A11" s="213" t="s">
        <v>663</v>
      </c>
      <c r="B11" s="214">
        <v>46090</v>
      </c>
      <c r="C11" s="333">
        <v>9500</v>
      </c>
      <c r="D11" s="78" t="s">
        <v>665</v>
      </c>
      <c r="E11" s="290"/>
      <c r="F11" s="290">
        <f t="shared" si="0"/>
        <v>5000</v>
      </c>
      <c r="G11" s="294">
        <v>610.70000000000005</v>
      </c>
      <c r="H11" s="291">
        <f t="shared" si="1"/>
        <v>663.24</v>
      </c>
      <c r="I11" s="291">
        <f t="shared" si="2"/>
        <v>4336.76</v>
      </c>
      <c r="J11" s="292"/>
    </row>
    <row r="12" spans="1:10" s="275" customFormat="1" ht="12.75" customHeight="1" x14ac:dyDescent="0.25">
      <c r="A12" s="317"/>
      <c r="B12" s="287"/>
      <c r="C12" s="287"/>
      <c r="D12" s="297"/>
      <c r="E12" s="290"/>
      <c r="F12" s="290">
        <f t="shared" si="0"/>
        <v>5000</v>
      </c>
      <c r="G12" s="295"/>
      <c r="H12" s="291">
        <f t="shared" si="1"/>
        <v>663.24</v>
      </c>
      <c r="I12" s="291">
        <f t="shared" si="2"/>
        <v>4336.76</v>
      </c>
      <c r="J12" s="292"/>
    </row>
    <row r="13" spans="1:10" s="275" customFormat="1" ht="12.75" customHeight="1" x14ac:dyDescent="0.25">
      <c r="A13" s="317"/>
      <c r="B13" s="287"/>
      <c r="C13" s="287"/>
      <c r="D13" s="297"/>
      <c r="E13" s="290"/>
      <c r="F13" s="290">
        <f t="shared" si="0"/>
        <v>5000</v>
      </c>
      <c r="G13" s="295"/>
      <c r="H13" s="291">
        <f t="shared" si="1"/>
        <v>663.24</v>
      </c>
      <c r="I13" s="291">
        <f t="shared" si="2"/>
        <v>4336.76</v>
      </c>
      <c r="J13" s="292"/>
    </row>
    <row r="14" spans="1:10" s="275" customFormat="1" ht="12.75" customHeight="1" x14ac:dyDescent="0.25">
      <c r="A14" s="317"/>
      <c r="B14" s="287"/>
      <c r="C14" s="287"/>
      <c r="D14" s="297"/>
      <c r="E14" s="290"/>
      <c r="F14" s="290">
        <f t="shared" si="0"/>
        <v>5000</v>
      </c>
      <c r="G14" s="291"/>
      <c r="H14" s="291">
        <f t="shared" si="1"/>
        <v>663.24</v>
      </c>
      <c r="I14" s="291">
        <f t="shared" si="2"/>
        <v>4336.76</v>
      </c>
      <c r="J14" s="292"/>
    </row>
    <row r="15" spans="1:10" s="275" customFormat="1" ht="12.75" customHeight="1" x14ac:dyDescent="0.25">
      <c r="A15" s="317"/>
      <c r="B15" s="287"/>
      <c r="C15" s="287"/>
      <c r="D15" s="297"/>
      <c r="E15" s="290"/>
      <c r="F15" s="290">
        <f t="shared" si="0"/>
        <v>5000</v>
      </c>
      <c r="G15" s="295"/>
      <c r="H15" s="291">
        <f t="shared" si="1"/>
        <v>663.24</v>
      </c>
      <c r="I15" s="291">
        <f t="shared" si="2"/>
        <v>4336.76</v>
      </c>
      <c r="J15" s="292"/>
    </row>
    <row r="16" spans="1:10" s="275" customFormat="1" ht="12.75" customHeight="1" x14ac:dyDescent="0.25">
      <c r="A16" s="317"/>
      <c r="B16" s="287"/>
      <c r="C16" s="287"/>
      <c r="D16" s="297"/>
      <c r="E16" s="290"/>
      <c r="F16" s="290">
        <f t="shared" si="0"/>
        <v>5000</v>
      </c>
      <c r="G16" s="295"/>
      <c r="H16" s="291">
        <f t="shared" si="1"/>
        <v>663.24</v>
      </c>
      <c r="I16" s="291">
        <f t="shared" si="2"/>
        <v>4336.76</v>
      </c>
      <c r="J16" s="292"/>
    </row>
    <row r="17" spans="1:10" s="275" customFormat="1" ht="12.75" customHeight="1" x14ac:dyDescent="0.25">
      <c r="A17" s="317"/>
      <c r="B17" s="287"/>
      <c r="C17" s="287"/>
      <c r="D17" s="297"/>
      <c r="E17" s="290"/>
      <c r="F17" s="290">
        <f t="shared" si="0"/>
        <v>5000</v>
      </c>
      <c r="G17" s="295"/>
      <c r="H17" s="291">
        <f t="shared" si="1"/>
        <v>663.24</v>
      </c>
      <c r="I17" s="291">
        <f t="shared" si="2"/>
        <v>4336.76</v>
      </c>
      <c r="J17" s="292"/>
    </row>
    <row r="18" spans="1:10" s="275" customFormat="1" ht="12.75" customHeight="1" x14ac:dyDescent="0.25">
      <c r="A18" s="317"/>
      <c r="B18" s="287"/>
      <c r="C18" s="287"/>
      <c r="D18" s="297"/>
      <c r="E18" s="290"/>
      <c r="F18" s="290">
        <f t="shared" si="0"/>
        <v>5000</v>
      </c>
      <c r="G18" s="295"/>
      <c r="H18" s="291">
        <f t="shared" si="1"/>
        <v>663.24</v>
      </c>
      <c r="I18" s="291">
        <f t="shared" si="2"/>
        <v>4336.76</v>
      </c>
      <c r="J18" s="292"/>
    </row>
    <row r="19" spans="1:10" s="275" customFormat="1" ht="12.75" customHeight="1" x14ac:dyDescent="0.25">
      <c r="A19" s="298"/>
      <c r="B19" s="287"/>
      <c r="C19" s="287"/>
      <c r="D19" s="297"/>
      <c r="E19" s="290"/>
      <c r="F19" s="290">
        <f t="shared" si="0"/>
        <v>5000</v>
      </c>
      <c r="G19" s="291"/>
      <c r="H19" s="291">
        <f t="shared" si="1"/>
        <v>663.24</v>
      </c>
      <c r="I19" s="291">
        <f t="shared" si="2"/>
        <v>4336.76</v>
      </c>
      <c r="J19" s="292"/>
    </row>
    <row r="20" spans="1:10" s="275" customFormat="1" ht="12.75" customHeight="1" x14ac:dyDescent="0.25">
      <c r="A20" s="298"/>
      <c r="B20" s="287"/>
      <c r="C20" s="287"/>
      <c r="D20" s="297"/>
      <c r="E20" s="290"/>
      <c r="F20" s="290">
        <f t="shared" si="0"/>
        <v>5000</v>
      </c>
      <c r="G20" s="291"/>
      <c r="H20" s="291">
        <f t="shared" si="1"/>
        <v>663.24</v>
      </c>
      <c r="I20" s="291">
        <f t="shared" si="2"/>
        <v>4336.76</v>
      </c>
      <c r="J20" s="292"/>
    </row>
    <row r="21" spans="1:10" s="275" customFormat="1" ht="12.75" customHeight="1" x14ac:dyDescent="0.25">
      <c r="A21" s="298"/>
      <c r="B21" s="287"/>
      <c r="C21" s="287"/>
      <c r="D21" s="318"/>
      <c r="E21" s="290"/>
      <c r="F21" s="290">
        <f t="shared" si="0"/>
        <v>5000</v>
      </c>
      <c r="G21" s="291"/>
      <c r="H21" s="291">
        <f t="shared" si="1"/>
        <v>663.24</v>
      </c>
      <c r="I21" s="291">
        <f t="shared" si="2"/>
        <v>4336.76</v>
      </c>
      <c r="J21" s="292"/>
    </row>
    <row r="22" spans="1:10" s="275" customFormat="1" ht="12.75" customHeight="1" x14ac:dyDescent="0.25">
      <c r="A22" s="286"/>
      <c r="B22" s="288"/>
      <c r="C22" s="288"/>
      <c r="D22" s="297"/>
      <c r="E22" s="291"/>
      <c r="F22" s="291"/>
      <c r="G22" s="291"/>
      <c r="H22" s="291"/>
      <c r="I22" s="291"/>
      <c r="J22" s="292"/>
    </row>
    <row r="23" spans="1:10" s="275" customFormat="1" ht="12.75" customHeight="1" thickBot="1" x14ac:dyDescent="0.3">
      <c r="A23" s="286"/>
      <c r="B23" s="300"/>
      <c r="C23" s="300"/>
      <c r="D23" s="301" t="s">
        <v>24</v>
      </c>
      <c r="E23" s="302">
        <f>SUM(E9:E22)</f>
        <v>5000</v>
      </c>
      <c r="F23" s="302"/>
      <c r="G23" s="302">
        <f>SUM(G9:G22)</f>
        <v>663.24</v>
      </c>
      <c r="H23" s="302"/>
      <c r="I23" s="302">
        <f>E23-G23</f>
        <v>4336.76</v>
      </c>
      <c r="J23" s="292"/>
    </row>
    <row r="24" spans="1:10" s="275" customFormat="1" ht="12.75" customHeight="1" thickTop="1" x14ac:dyDescent="0.25"/>
    <row r="25" spans="1:10" s="275"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C7CF0-D09D-4D11-A79B-CEFAFC8C785E}">
  <sheetPr>
    <tabColor indexed="30"/>
    <pageSetUpPr fitToPage="1"/>
  </sheetPr>
  <dimension ref="A1:H23"/>
  <sheetViews>
    <sheetView zoomScaleNormal="100" workbookViewId="0">
      <selection activeCell="L28" sqref="L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#9524.00'!B1</f>
        <v>DOC ASP SallyPort Tunnel &amp; Living Unit B Tunnel Repair</v>
      </c>
      <c r="B1" s="3"/>
      <c r="C1" s="3"/>
      <c r="D1" s="3"/>
      <c r="E1" s="4"/>
      <c r="F1" s="4"/>
      <c r="G1" s="4"/>
      <c r="H1" s="33"/>
    </row>
    <row r="2" spans="1:8" ht="15.75" x14ac:dyDescent="0.25">
      <c r="A2" s="6" t="str">
        <f>'RECAP #9524.00'!B2</f>
        <v>Project # 9524.00</v>
      </c>
      <c r="B2" s="5"/>
      <c r="C2" s="5"/>
      <c r="D2" s="5"/>
      <c r="E2" s="4"/>
      <c r="F2" s="4"/>
      <c r="G2" s="4"/>
      <c r="H2" s="33"/>
    </row>
    <row r="3" spans="1:8" ht="15.75" x14ac:dyDescent="0.25">
      <c r="A3" s="7" t="str">
        <f>'RECAP #9524.00'!B3</f>
        <v>Program code 952400</v>
      </c>
      <c r="B3" s="5"/>
      <c r="C3" s="5"/>
      <c r="D3" s="5"/>
      <c r="E3" s="8" t="str">
        <f>'RECAP #9524.00'!E3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#9524.00'!B6</f>
        <v>Project Manager - Oliver S</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ABBE-216F-417D-A998-E0358D7032F9}">
  <sheetPr>
    <pageSetUpPr fitToPage="1"/>
  </sheetPr>
  <dimension ref="A1:G16"/>
  <sheetViews>
    <sheetView zoomScaleNormal="100" workbookViewId="0">
      <selection activeCell="I9" sqref="I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73</v>
      </c>
      <c r="C1" s="3"/>
      <c r="D1" s="4"/>
      <c r="E1" s="4"/>
      <c r="F1" s="4"/>
      <c r="G1" s="4"/>
    </row>
    <row r="2" spans="1:7" ht="15.75" x14ac:dyDescent="0.25">
      <c r="A2" s="1"/>
      <c r="B2" s="6" t="s">
        <v>76</v>
      </c>
      <c r="C2" s="5"/>
      <c r="D2" s="4"/>
      <c r="E2" s="4"/>
      <c r="F2" s="4"/>
      <c r="G2" s="4"/>
    </row>
    <row r="3" spans="1:7" ht="15.75" x14ac:dyDescent="0.25">
      <c r="A3" s="1"/>
      <c r="B3" s="7" t="s">
        <v>77</v>
      </c>
      <c r="C3" s="5"/>
      <c r="D3" s="4"/>
      <c r="E3" s="8" t="s">
        <v>79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78</v>
      </c>
      <c r="C6" s="14"/>
      <c r="D6" s="15" t="s">
        <v>2</v>
      </c>
      <c r="E6" s="16"/>
      <c r="F6" s="16"/>
      <c r="G6" s="16"/>
    </row>
    <row r="7" spans="1:7" ht="35.25" customHeight="1" thickBot="1" x14ac:dyDescent="0.3">
      <c r="A7" s="1"/>
      <c r="B7" s="18" t="s">
        <v>2</v>
      </c>
      <c r="C7" s="19" t="s">
        <v>3</v>
      </c>
      <c r="D7" s="20" t="s">
        <v>4</v>
      </c>
      <c r="E7" s="21" t="s">
        <v>5</v>
      </c>
      <c r="F7" s="22" t="s">
        <v>6</v>
      </c>
      <c r="G7" s="22" t="s">
        <v>7</v>
      </c>
    </row>
    <row r="8" spans="1:7" ht="28.35" customHeight="1" x14ac:dyDescent="0.25">
      <c r="A8" s="1"/>
      <c r="B8" s="1" t="s">
        <v>8</v>
      </c>
      <c r="C8" s="23">
        <f>FINANCIAL!E18</f>
        <v>2630000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03"/>
      <c r="B10" s="304" t="s">
        <v>105</v>
      </c>
      <c r="C10" s="305"/>
      <c r="D10" s="308">
        <f>'#9483.00 DCI Group'!D23</f>
        <v>28802.14</v>
      </c>
      <c r="E10" s="308">
        <f>'#9483.00 DCI Group'!F23</f>
        <v>20984.550000000003</v>
      </c>
      <c r="F10" s="308">
        <f>'#9483.00 DCI Group'!H23</f>
        <v>7817.5899999999965</v>
      </c>
      <c r="G10" s="307"/>
    </row>
    <row r="11" spans="1:7" s="275" customFormat="1" ht="12.75" customHeight="1" x14ac:dyDescent="0.25">
      <c r="A11" s="303"/>
      <c r="B11" s="304" t="s">
        <v>10</v>
      </c>
      <c r="C11" s="305"/>
      <c r="D11" s="308">
        <f>'#9483.00 PM TIME'!E30</f>
        <v>75000</v>
      </c>
      <c r="E11" s="308">
        <f>'#9483.00 PM TIME'!G30</f>
        <v>7255.61</v>
      </c>
      <c r="F11" s="308">
        <f>'#9483.00 PM TIME'!I30</f>
        <v>67744.39</v>
      </c>
      <c r="G11" s="307"/>
    </row>
    <row r="12" spans="1:7" s="275" customFormat="1" ht="12.75" customHeight="1" x14ac:dyDescent="0.25">
      <c r="A12" s="303"/>
      <c r="B12" s="304" t="s">
        <v>11</v>
      </c>
      <c r="C12" s="306"/>
      <c r="D12" s="309">
        <f>'#9483.00 Misc'!G22</f>
        <v>4812.6499999999996</v>
      </c>
      <c r="E12" s="309">
        <f>'#9483.00 Misc'!G22</f>
        <v>4812.6499999999996</v>
      </c>
      <c r="F12" s="308">
        <f>D12-E12</f>
        <v>0</v>
      </c>
      <c r="G12" s="307"/>
    </row>
    <row r="13" spans="1:7" s="275" customFormat="1" ht="12.75" customHeight="1" x14ac:dyDescent="0.25">
      <c r="A13" s="303"/>
      <c r="B13" s="304" t="s">
        <v>336</v>
      </c>
      <c r="C13" s="306"/>
      <c r="D13" s="309">
        <f>'#9483.00 Genesis Architectural'!D23</f>
        <v>35000</v>
      </c>
      <c r="E13" s="309">
        <f>'#9483.00 Genesis Architectural'!F23</f>
        <v>0</v>
      </c>
      <c r="F13" s="308">
        <f>'#9483.00 Genesis Architectural'!H23</f>
        <v>35000</v>
      </c>
      <c r="G13" s="307"/>
    </row>
    <row r="14" spans="1:7" s="275" customFormat="1" ht="12.75" customHeight="1" x14ac:dyDescent="0.25">
      <c r="A14" s="310"/>
      <c r="B14" s="304"/>
      <c r="C14" s="306"/>
      <c r="D14" s="309"/>
      <c r="E14" s="309"/>
      <c r="F14" s="308"/>
      <c r="G14" s="311"/>
    </row>
    <row r="15" spans="1:7" ht="24" customHeight="1" thickBot="1" x14ac:dyDescent="0.3">
      <c r="A15" s="30"/>
      <c r="B15" s="31" t="s">
        <v>12</v>
      </c>
      <c r="C15" s="32">
        <f>SUM(C8:C14)</f>
        <v>2630000</v>
      </c>
      <c r="D15" s="32">
        <f>SUM(D8:D14)</f>
        <v>143614.78999999998</v>
      </c>
      <c r="E15" s="32">
        <f>SUM(E8:E14)</f>
        <v>33052.810000000005</v>
      </c>
      <c r="F15" s="32">
        <f>SUM(D15-E15)</f>
        <v>110561.97999999998</v>
      </c>
      <c r="G15" s="32">
        <f>C8-D15</f>
        <v>2486385.21</v>
      </c>
    </row>
    <row r="16" spans="1:7" ht="15" customHeight="1" thickTop="1" x14ac:dyDescent="0.25"/>
  </sheetData>
  <pageMargins left="0.25" right="0.25" top="1.1528125"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FE674-9FF2-4CA1-AD19-6485C5B5D054}">
  <sheetPr>
    <pageSetUpPr fitToPage="1"/>
  </sheetPr>
  <dimension ref="A1:G15"/>
  <sheetViews>
    <sheetView zoomScaleNormal="100" workbookViewId="0">
      <selection activeCell="B1" sqref="B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508</v>
      </c>
      <c r="C1" s="3"/>
      <c r="D1" s="4"/>
      <c r="E1" s="4"/>
      <c r="F1" s="4"/>
      <c r="G1" s="4"/>
    </row>
    <row r="2" spans="1:7" ht="15.75" x14ac:dyDescent="0.25">
      <c r="A2" s="1"/>
      <c r="B2" s="6" t="s">
        <v>522</v>
      </c>
      <c r="C2" s="5"/>
      <c r="D2" s="4"/>
      <c r="E2" s="4"/>
      <c r="F2" s="4"/>
      <c r="G2" s="4"/>
    </row>
    <row r="3" spans="1:7" ht="15.75" x14ac:dyDescent="0.25">
      <c r="A3" s="1"/>
      <c r="B3" s="7" t="s">
        <v>523</v>
      </c>
      <c r="C3" s="5"/>
      <c r="D3" s="4"/>
      <c r="E3" s="8" t="s">
        <v>82</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472</v>
      </c>
      <c r="C6" s="14"/>
      <c r="D6" s="15" t="s">
        <v>2</v>
      </c>
      <c r="E6" s="16"/>
      <c r="F6" s="16"/>
      <c r="G6" s="16"/>
    </row>
    <row r="7" spans="1:7" ht="36.75" customHeight="1" thickBot="1" x14ac:dyDescent="0.3">
      <c r="A7" s="1"/>
      <c r="B7" s="18" t="s">
        <v>2</v>
      </c>
      <c r="C7" s="19" t="s">
        <v>3</v>
      </c>
      <c r="D7" s="20" t="s">
        <v>4</v>
      </c>
      <c r="E7" s="21" t="s">
        <v>5</v>
      </c>
      <c r="F7" s="22" t="s">
        <v>6</v>
      </c>
      <c r="G7" s="22" t="s">
        <v>7</v>
      </c>
    </row>
    <row r="8" spans="1:7" ht="28.35" customHeight="1" x14ac:dyDescent="0.25">
      <c r="A8" s="1"/>
      <c r="B8" s="1" t="s">
        <v>8</v>
      </c>
      <c r="C8" s="23">
        <f>FINANCIAL!G45</f>
        <v>500000</v>
      </c>
      <c r="D8" s="24"/>
      <c r="E8" s="24"/>
      <c r="F8" s="24"/>
      <c r="G8" s="25"/>
    </row>
    <row r="9" spans="1:7" s="275" customFormat="1" ht="12.75" customHeight="1" x14ac:dyDescent="0.25">
      <c r="A9" s="303"/>
      <c r="B9" s="304"/>
      <c r="C9" s="331"/>
      <c r="D9" s="306"/>
      <c r="E9" s="306"/>
      <c r="F9" s="306"/>
      <c r="G9" s="307"/>
    </row>
    <row r="10" spans="1:7" s="275" customFormat="1" ht="12.75" customHeight="1" x14ac:dyDescent="0.25">
      <c r="A10" s="303"/>
      <c r="B10" s="304" t="s">
        <v>9</v>
      </c>
      <c r="C10" s="305"/>
      <c r="D10" s="308">
        <f>'#9527.00 Vendor A '!D23</f>
        <v>0</v>
      </c>
      <c r="E10" s="308">
        <f>'#9527.00 Vendor A '!F23</f>
        <v>0</v>
      </c>
      <c r="F10" s="308">
        <f>'#9527.00 Vendor A '!H23</f>
        <v>0</v>
      </c>
      <c r="G10" s="307"/>
    </row>
    <row r="11" spans="1:7" s="275" customFormat="1" ht="12.75" customHeight="1" x14ac:dyDescent="0.25">
      <c r="A11" s="303"/>
      <c r="B11" s="304" t="s">
        <v>10</v>
      </c>
      <c r="C11" s="305"/>
      <c r="D11" s="308">
        <f>'#9527.00 PM TIME'!E23</f>
        <v>10000</v>
      </c>
      <c r="E11" s="308">
        <f>'#9527.00 PM TIME'!G23</f>
        <v>469.03</v>
      </c>
      <c r="F11" s="308">
        <f>'#9527.00 PM TIME'!I23</f>
        <v>9530.9699999999993</v>
      </c>
      <c r="G11" s="307"/>
    </row>
    <row r="12" spans="1:7" s="275" customFormat="1" ht="12.75" customHeight="1" x14ac:dyDescent="0.25">
      <c r="A12" s="303"/>
      <c r="B12" s="304" t="s">
        <v>11</v>
      </c>
      <c r="C12" s="306"/>
      <c r="D12" s="309">
        <f>'#9527.00 Misc'!G22</f>
        <v>0</v>
      </c>
      <c r="E12" s="309">
        <f>'#9527.00 Misc'!G22</f>
        <v>0</v>
      </c>
      <c r="F12" s="308">
        <f>D12-E12</f>
        <v>0</v>
      </c>
      <c r="G12" s="307"/>
    </row>
    <row r="13" spans="1:7" s="275" customFormat="1" ht="12.75" customHeight="1" x14ac:dyDescent="0.25">
      <c r="A13" s="310"/>
      <c r="B13" s="304"/>
      <c r="C13" s="306"/>
      <c r="D13" s="309"/>
      <c r="E13" s="309"/>
      <c r="F13" s="308"/>
      <c r="G13" s="311"/>
    </row>
    <row r="14" spans="1:7" ht="24" customHeight="1" thickBot="1" x14ac:dyDescent="0.3">
      <c r="A14" s="30"/>
      <c r="B14" s="31" t="s">
        <v>12</v>
      </c>
      <c r="C14" s="32">
        <f>SUM(C8:C13)</f>
        <v>500000</v>
      </c>
      <c r="D14" s="32">
        <f>SUM(D8:D13)</f>
        <v>10000</v>
      </c>
      <c r="E14" s="32">
        <f>SUM(E8:E13)</f>
        <v>469.03</v>
      </c>
      <c r="F14" s="32">
        <f>SUM(D14-E14)</f>
        <v>9530.9699999999993</v>
      </c>
      <c r="G14" s="32">
        <f>C8-D14</f>
        <v>490000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48951-272E-4645-BE58-4D45EC0DA551}">
  <sheetPr>
    <tabColor rgb="FF0070C0"/>
    <pageSetUpPr fitToPage="1"/>
  </sheetPr>
  <dimension ref="A1:I29"/>
  <sheetViews>
    <sheetView zoomScaleNormal="100" workbookViewId="0">
      <selection activeCell="L28" sqref="L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#9527.00'!B1</f>
        <v>HHS CHMHI Four Corners Elevator Replacement</v>
      </c>
      <c r="B1" s="3"/>
      <c r="C1" s="4"/>
      <c r="D1" s="4"/>
      <c r="E1" s="4"/>
      <c r="F1" s="33"/>
      <c r="G1" s="33"/>
      <c r="H1" s="34"/>
      <c r="I1" s="34"/>
    </row>
    <row r="2" spans="1:9" ht="15.75" x14ac:dyDescent="0.25">
      <c r="A2" s="6" t="str">
        <f>'RECAP #9527.00'!B2</f>
        <v>Project # 9527.00</v>
      </c>
      <c r="B2" s="5"/>
      <c r="C2" s="4"/>
      <c r="D2" s="4"/>
      <c r="E2" s="4"/>
      <c r="F2" s="33"/>
      <c r="G2" s="33"/>
      <c r="H2" s="34"/>
      <c r="I2" s="34"/>
    </row>
    <row r="3" spans="1:9" ht="15.75" x14ac:dyDescent="0.25">
      <c r="A3" s="7" t="str">
        <f>'RECAP #9527.00'!B3</f>
        <v>Program code 952700</v>
      </c>
      <c r="B3" s="5"/>
      <c r="C3" s="4"/>
      <c r="D3" s="8" t="str">
        <f>'RECAP #9527.00'!E3</f>
        <v>Major Program 4D03</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#9527.00'!B6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c r="B9" s="287"/>
      <c r="C9" s="288"/>
      <c r="D9" s="330"/>
      <c r="E9" s="290">
        <f>D9</f>
        <v>0</v>
      </c>
      <c r="F9" s="291"/>
      <c r="G9" s="291"/>
      <c r="H9" s="291">
        <f>E9</f>
        <v>0</v>
      </c>
      <c r="I9" s="292"/>
    </row>
    <row r="10" spans="1:9" s="275" customFormat="1" ht="12.75" customHeight="1" x14ac:dyDescent="0.25">
      <c r="A10" s="286"/>
      <c r="B10" s="293"/>
      <c r="C10" s="288"/>
      <c r="D10" s="290"/>
      <c r="E10" s="290">
        <f t="shared" ref="E10:E21" si="0">E9+D10</f>
        <v>0</v>
      </c>
      <c r="F10" s="295"/>
      <c r="G10" s="291">
        <f t="shared" ref="G10:G21" si="1">G9+F10</f>
        <v>0</v>
      </c>
      <c r="H10" s="291">
        <f t="shared" ref="H10:H21" si="2">H9-F10+D10</f>
        <v>0</v>
      </c>
      <c r="I10" s="292"/>
    </row>
    <row r="11" spans="1:9" s="275" customFormat="1" ht="12.75" customHeight="1" x14ac:dyDescent="0.25">
      <c r="A11" s="286"/>
      <c r="B11" s="287"/>
      <c r="C11" s="288"/>
      <c r="D11" s="290"/>
      <c r="E11" s="290">
        <f t="shared" si="0"/>
        <v>0</v>
      </c>
      <c r="F11" s="295"/>
      <c r="G11" s="291">
        <f t="shared" si="1"/>
        <v>0</v>
      </c>
      <c r="H11" s="291">
        <f t="shared" si="2"/>
        <v>0</v>
      </c>
      <c r="I11" s="292"/>
    </row>
    <row r="12" spans="1:9" s="275" customFormat="1" ht="12.75" customHeight="1" x14ac:dyDescent="0.25">
      <c r="A12" s="286"/>
      <c r="B12" s="287"/>
      <c r="C12" s="288"/>
      <c r="D12" s="290"/>
      <c r="E12" s="290">
        <f t="shared" si="0"/>
        <v>0</v>
      </c>
      <c r="F12" s="295"/>
      <c r="G12" s="291">
        <f t="shared" si="1"/>
        <v>0</v>
      </c>
      <c r="H12" s="291">
        <f t="shared" si="2"/>
        <v>0</v>
      </c>
      <c r="I12" s="292"/>
    </row>
    <row r="13" spans="1:9" s="275" customFormat="1" ht="12.75" customHeight="1" x14ac:dyDescent="0.25">
      <c r="A13" s="286"/>
      <c r="B13" s="287"/>
      <c r="C13" s="288"/>
      <c r="D13" s="290"/>
      <c r="E13" s="290">
        <f t="shared" si="0"/>
        <v>0</v>
      </c>
      <c r="F13" s="295"/>
      <c r="G13" s="291">
        <f t="shared" si="1"/>
        <v>0</v>
      </c>
      <c r="H13" s="291">
        <f t="shared" si="2"/>
        <v>0</v>
      </c>
      <c r="I13" s="292"/>
    </row>
    <row r="14" spans="1:9" s="275" customFormat="1" ht="12.75" customHeight="1" x14ac:dyDescent="0.25">
      <c r="A14" s="286"/>
      <c r="B14" s="287"/>
      <c r="C14" s="288"/>
      <c r="D14" s="290"/>
      <c r="E14" s="290">
        <f t="shared" si="0"/>
        <v>0</v>
      </c>
      <c r="F14" s="291"/>
      <c r="G14" s="291">
        <f t="shared" si="1"/>
        <v>0</v>
      </c>
      <c r="H14" s="291">
        <f t="shared" si="2"/>
        <v>0</v>
      </c>
      <c r="I14" s="292"/>
    </row>
    <row r="15" spans="1:9" s="275" customFormat="1" ht="12.75" customHeight="1" x14ac:dyDescent="0.25">
      <c r="A15" s="286"/>
      <c r="B15" s="287"/>
      <c r="C15" s="288"/>
      <c r="D15" s="290"/>
      <c r="E15" s="290">
        <f t="shared" si="0"/>
        <v>0</v>
      </c>
      <c r="F15" s="295"/>
      <c r="G15" s="291">
        <f t="shared" si="1"/>
        <v>0</v>
      </c>
      <c r="H15" s="291">
        <f t="shared" si="2"/>
        <v>0</v>
      </c>
      <c r="I15" s="292"/>
    </row>
    <row r="16" spans="1:9" s="275" customFormat="1" ht="12.75" customHeight="1" x14ac:dyDescent="0.25">
      <c r="A16" s="286"/>
      <c r="B16" s="287"/>
      <c r="C16" s="288"/>
      <c r="D16" s="290"/>
      <c r="E16" s="290">
        <f t="shared" si="0"/>
        <v>0</v>
      </c>
      <c r="F16" s="295"/>
      <c r="G16" s="291">
        <f t="shared" si="1"/>
        <v>0</v>
      </c>
      <c r="H16" s="291">
        <f t="shared" si="2"/>
        <v>0</v>
      </c>
      <c r="I16" s="292"/>
    </row>
    <row r="17" spans="1:9" s="275" customFormat="1" ht="12.75" customHeight="1" x14ac:dyDescent="0.25">
      <c r="A17" s="286"/>
      <c r="B17" s="287"/>
      <c r="C17" s="288"/>
      <c r="D17" s="290"/>
      <c r="E17" s="290">
        <f t="shared" si="0"/>
        <v>0</v>
      </c>
      <c r="F17" s="295"/>
      <c r="G17" s="291">
        <f t="shared" si="1"/>
        <v>0</v>
      </c>
      <c r="H17" s="291">
        <f t="shared" si="2"/>
        <v>0</v>
      </c>
      <c r="I17" s="292"/>
    </row>
    <row r="18" spans="1:9" s="275" customFormat="1" ht="12.75" customHeight="1" x14ac:dyDescent="0.25">
      <c r="A18" s="286"/>
      <c r="B18" s="287"/>
      <c r="C18" s="288"/>
      <c r="D18" s="290"/>
      <c r="E18" s="290">
        <f t="shared" si="0"/>
        <v>0</v>
      </c>
      <c r="F18" s="295"/>
      <c r="G18" s="291">
        <f t="shared" si="1"/>
        <v>0</v>
      </c>
      <c r="H18" s="291">
        <f t="shared" si="2"/>
        <v>0</v>
      </c>
      <c r="I18" s="292"/>
    </row>
    <row r="19" spans="1:9" s="275" customFormat="1" ht="12.75" customHeight="1" x14ac:dyDescent="0.25">
      <c r="A19" s="286"/>
      <c r="B19" s="287"/>
      <c r="C19" s="288"/>
      <c r="D19" s="290"/>
      <c r="E19" s="290">
        <f t="shared" si="0"/>
        <v>0</v>
      </c>
      <c r="F19" s="291"/>
      <c r="G19" s="291">
        <f t="shared" si="1"/>
        <v>0</v>
      </c>
      <c r="H19" s="291">
        <f t="shared" si="2"/>
        <v>0</v>
      </c>
      <c r="I19" s="292"/>
    </row>
    <row r="20" spans="1:9" s="275" customFormat="1" ht="12.75" customHeight="1" x14ac:dyDescent="0.25">
      <c r="A20" s="286"/>
      <c r="B20" s="287"/>
      <c r="C20" s="288"/>
      <c r="D20" s="290"/>
      <c r="E20" s="290">
        <f t="shared" si="0"/>
        <v>0</v>
      </c>
      <c r="F20" s="291"/>
      <c r="G20" s="291">
        <f t="shared" si="1"/>
        <v>0</v>
      </c>
      <c r="H20" s="291">
        <f t="shared" si="2"/>
        <v>0</v>
      </c>
      <c r="I20" s="292"/>
    </row>
    <row r="21" spans="1:9" s="275" customFormat="1" ht="12.75" customHeight="1" x14ac:dyDescent="0.25">
      <c r="A21" s="286"/>
      <c r="B21" s="287"/>
      <c r="C21" s="296"/>
      <c r="D21" s="290"/>
      <c r="E21" s="290">
        <f t="shared" si="0"/>
        <v>0</v>
      </c>
      <c r="F21" s="291"/>
      <c r="G21" s="291">
        <f t="shared" si="1"/>
        <v>0</v>
      </c>
      <c r="H21" s="291">
        <f t="shared" si="2"/>
        <v>0</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0</v>
      </c>
      <c r="E23" s="302"/>
      <c r="F23" s="302">
        <f>SUM(F9:F22)</f>
        <v>0</v>
      </c>
      <c r="G23" s="302"/>
      <c r="H23" s="302">
        <f>D23-F23</f>
        <v>0</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0</v>
      </c>
      <c r="E26" s="313"/>
      <c r="F26" s="313"/>
      <c r="G26" s="313"/>
      <c r="H26" s="313">
        <f>D26-F26</f>
        <v>0</v>
      </c>
      <c r="I26" s="292"/>
    </row>
    <row r="27" spans="1:9" s="275" customFormat="1" ht="12.75" customHeight="1" x14ac:dyDescent="0.25">
      <c r="A27" s="286"/>
      <c r="B27" s="288"/>
      <c r="C27" s="312" t="s">
        <v>113</v>
      </c>
      <c r="D27" s="313">
        <v>0</v>
      </c>
      <c r="E27" s="313"/>
      <c r="F27" s="313"/>
      <c r="G27" s="313"/>
      <c r="H27" s="313">
        <f>D27-F27</f>
        <v>0</v>
      </c>
      <c r="I27" s="292"/>
    </row>
    <row r="28" spans="1:9" s="275" customFormat="1" ht="12.75" customHeight="1" thickBot="1" x14ac:dyDescent="0.3">
      <c r="A28" s="286"/>
      <c r="B28" s="288"/>
      <c r="C28" s="314" t="s">
        <v>67</v>
      </c>
      <c r="D28" s="315">
        <f>SUM(D26:D27)</f>
        <v>0</v>
      </c>
      <c r="E28" s="316"/>
      <c r="F28" s="315">
        <f>SUM(F26:F27)</f>
        <v>0</v>
      </c>
      <c r="G28" s="316"/>
      <c r="H28" s="315">
        <f>SUM(H26:H27)</f>
        <v>0</v>
      </c>
      <c r="I28" s="292"/>
    </row>
    <row r="29" spans="1:9" s="275" customFormat="1" ht="12.75" customHeight="1" thickTop="1" x14ac:dyDescent="0.25"/>
  </sheetData>
  <conditionalFormatting sqref="I8:I23">
    <cfRule type="cellIs" dxfId="3"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58F0C-A9BD-4663-A2E4-A9B46E516968}">
  <sheetPr>
    <pageSetUpPr fitToPage="1"/>
  </sheetPr>
  <dimension ref="A1:J25"/>
  <sheetViews>
    <sheetView zoomScaleNormal="100" workbookViewId="0">
      <selection activeCell="G28" sqref="G28"/>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1.285156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#9527.00'!B1</f>
        <v>HHS CHMHI Four Corners Elevator Replacement</v>
      </c>
      <c r="B1" s="3"/>
      <c r="C1" s="3"/>
      <c r="D1" s="4"/>
      <c r="E1" s="4"/>
      <c r="F1" s="4"/>
      <c r="G1" s="33"/>
      <c r="H1" s="33"/>
      <c r="I1" s="34"/>
      <c r="J1" s="34"/>
    </row>
    <row r="2" spans="1:10" ht="15.75" x14ac:dyDescent="0.25">
      <c r="A2" s="6" t="str">
        <f>'RECAP #9527.00'!B2</f>
        <v>Project # 9527.00</v>
      </c>
      <c r="B2" s="5"/>
      <c r="C2" s="5"/>
      <c r="D2" s="4"/>
      <c r="E2" s="4"/>
      <c r="F2" s="4"/>
      <c r="G2" s="33"/>
      <c r="H2" s="33"/>
      <c r="I2" s="34"/>
      <c r="J2" s="34"/>
    </row>
    <row r="3" spans="1:10" ht="15.75" x14ac:dyDescent="0.25">
      <c r="A3" s="7" t="str">
        <f>'RECAP #9527.00'!B3</f>
        <v>Program code 952700</v>
      </c>
      <c r="B3" s="5"/>
      <c r="C3" s="5"/>
      <c r="D3" s="4"/>
      <c r="E3" s="8" t="str">
        <f>'RECAP #9527.00'!E3</f>
        <v>Major Program 4D03</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534</v>
      </c>
      <c r="F6" s="49"/>
      <c r="G6" s="50"/>
      <c r="H6" s="46"/>
      <c r="I6" s="41"/>
      <c r="J6" s="34"/>
    </row>
    <row r="7" spans="1:10" ht="15.75" x14ac:dyDescent="0.25">
      <c r="A7" s="13" t="str">
        <f>'RECAP #9527.00'!B6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10000</v>
      </c>
      <c r="F9" s="290">
        <f>E9</f>
        <v>10000</v>
      </c>
      <c r="G9" s="291"/>
      <c r="H9" s="291"/>
      <c r="I9" s="291">
        <f>F9</f>
        <v>10000</v>
      </c>
      <c r="J9" s="292"/>
    </row>
    <row r="10" spans="1:10" s="275" customFormat="1" ht="12.75" customHeight="1" x14ac:dyDescent="0.2">
      <c r="A10" s="213" t="s">
        <v>663</v>
      </c>
      <c r="B10" s="214">
        <v>46090</v>
      </c>
      <c r="C10" s="332" t="s">
        <v>269</v>
      </c>
      <c r="D10" s="175" t="s">
        <v>664</v>
      </c>
      <c r="E10" s="290"/>
      <c r="F10" s="290">
        <f t="shared" ref="F10:F21" si="0">F9+E10</f>
        <v>10000</v>
      </c>
      <c r="G10" s="294">
        <v>37.630000000000003</v>
      </c>
      <c r="H10" s="291">
        <f t="shared" ref="H10:H21" si="1">H9+G10</f>
        <v>37.630000000000003</v>
      </c>
      <c r="I10" s="291">
        <f t="shared" ref="I10:I21" si="2">I9-G10+E10</f>
        <v>9962.3700000000008</v>
      </c>
      <c r="J10" s="292"/>
    </row>
    <row r="11" spans="1:10" s="275" customFormat="1" ht="12.75" customHeight="1" x14ac:dyDescent="0.2">
      <c r="A11" s="213" t="s">
        <v>663</v>
      </c>
      <c r="B11" s="214">
        <v>46090</v>
      </c>
      <c r="C11" s="333">
        <v>9500</v>
      </c>
      <c r="D11" s="78" t="s">
        <v>665</v>
      </c>
      <c r="E11" s="290"/>
      <c r="F11" s="290">
        <f t="shared" si="0"/>
        <v>10000</v>
      </c>
      <c r="G11" s="294">
        <v>431.4</v>
      </c>
      <c r="H11" s="291">
        <f t="shared" si="1"/>
        <v>469.03</v>
      </c>
      <c r="I11" s="291">
        <f t="shared" si="2"/>
        <v>9530.9700000000012</v>
      </c>
      <c r="J11" s="292"/>
    </row>
    <row r="12" spans="1:10" s="275" customFormat="1" ht="12.75" customHeight="1" x14ac:dyDescent="0.25">
      <c r="A12" s="317"/>
      <c r="B12" s="287"/>
      <c r="C12" s="287"/>
      <c r="D12" s="297"/>
      <c r="E12" s="290"/>
      <c r="F12" s="290">
        <f t="shared" si="0"/>
        <v>10000</v>
      </c>
      <c r="G12" s="295"/>
      <c r="H12" s="291">
        <f t="shared" si="1"/>
        <v>469.03</v>
      </c>
      <c r="I12" s="291">
        <f t="shared" si="2"/>
        <v>9530.9700000000012</v>
      </c>
      <c r="J12" s="292"/>
    </row>
    <row r="13" spans="1:10" s="275" customFormat="1" ht="12.75" customHeight="1" x14ac:dyDescent="0.25">
      <c r="A13" s="317"/>
      <c r="B13" s="287"/>
      <c r="C13" s="287"/>
      <c r="D13" s="297"/>
      <c r="E13" s="290"/>
      <c r="F13" s="290">
        <f t="shared" si="0"/>
        <v>10000</v>
      </c>
      <c r="G13" s="295"/>
      <c r="H13" s="291">
        <f t="shared" si="1"/>
        <v>469.03</v>
      </c>
      <c r="I13" s="291">
        <f t="shared" si="2"/>
        <v>9530.9700000000012</v>
      </c>
      <c r="J13" s="292"/>
    </row>
    <row r="14" spans="1:10" s="275" customFormat="1" ht="12.75" customHeight="1" x14ac:dyDescent="0.25">
      <c r="A14" s="317"/>
      <c r="B14" s="287"/>
      <c r="C14" s="287"/>
      <c r="D14" s="297"/>
      <c r="E14" s="290"/>
      <c r="F14" s="290">
        <f t="shared" si="0"/>
        <v>10000</v>
      </c>
      <c r="G14" s="291"/>
      <c r="H14" s="291">
        <f t="shared" si="1"/>
        <v>469.03</v>
      </c>
      <c r="I14" s="291">
        <f t="shared" si="2"/>
        <v>9530.9700000000012</v>
      </c>
      <c r="J14" s="292"/>
    </row>
    <row r="15" spans="1:10" s="275" customFormat="1" ht="12.75" customHeight="1" x14ac:dyDescent="0.25">
      <c r="A15" s="317"/>
      <c r="B15" s="287"/>
      <c r="C15" s="287"/>
      <c r="D15" s="297"/>
      <c r="E15" s="290"/>
      <c r="F15" s="290">
        <f t="shared" si="0"/>
        <v>10000</v>
      </c>
      <c r="G15" s="295"/>
      <c r="H15" s="291">
        <f t="shared" si="1"/>
        <v>469.03</v>
      </c>
      <c r="I15" s="291">
        <f t="shared" si="2"/>
        <v>9530.9700000000012</v>
      </c>
      <c r="J15" s="292"/>
    </row>
    <row r="16" spans="1:10" s="275" customFormat="1" ht="12.75" customHeight="1" x14ac:dyDescent="0.25">
      <c r="A16" s="317"/>
      <c r="B16" s="287"/>
      <c r="C16" s="287"/>
      <c r="D16" s="297"/>
      <c r="E16" s="290"/>
      <c r="F16" s="290">
        <f t="shared" si="0"/>
        <v>10000</v>
      </c>
      <c r="G16" s="295"/>
      <c r="H16" s="291">
        <f t="shared" si="1"/>
        <v>469.03</v>
      </c>
      <c r="I16" s="291">
        <f t="shared" si="2"/>
        <v>9530.9700000000012</v>
      </c>
      <c r="J16" s="292"/>
    </row>
    <row r="17" spans="1:10" s="275" customFormat="1" ht="12.75" customHeight="1" x14ac:dyDescent="0.25">
      <c r="A17" s="317"/>
      <c r="B17" s="287"/>
      <c r="C17" s="287"/>
      <c r="D17" s="297"/>
      <c r="E17" s="290"/>
      <c r="F17" s="290">
        <f t="shared" si="0"/>
        <v>10000</v>
      </c>
      <c r="G17" s="295"/>
      <c r="H17" s="291">
        <f t="shared" si="1"/>
        <v>469.03</v>
      </c>
      <c r="I17" s="291">
        <f t="shared" si="2"/>
        <v>9530.9700000000012</v>
      </c>
      <c r="J17" s="292"/>
    </row>
    <row r="18" spans="1:10" s="275" customFormat="1" ht="12.75" customHeight="1" x14ac:dyDescent="0.25">
      <c r="A18" s="317"/>
      <c r="B18" s="287"/>
      <c r="C18" s="287"/>
      <c r="D18" s="297"/>
      <c r="E18" s="290"/>
      <c r="F18" s="290">
        <f t="shared" si="0"/>
        <v>10000</v>
      </c>
      <c r="G18" s="295"/>
      <c r="H18" s="291">
        <f t="shared" si="1"/>
        <v>469.03</v>
      </c>
      <c r="I18" s="291">
        <f t="shared" si="2"/>
        <v>9530.9700000000012</v>
      </c>
      <c r="J18" s="292"/>
    </row>
    <row r="19" spans="1:10" s="275" customFormat="1" ht="12.75" customHeight="1" x14ac:dyDescent="0.25">
      <c r="A19" s="298"/>
      <c r="B19" s="287"/>
      <c r="C19" s="287"/>
      <c r="D19" s="297"/>
      <c r="E19" s="290"/>
      <c r="F19" s="290">
        <f t="shared" si="0"/>
        <v>10000</v>
      </c>
      <c r="G19" s="291"/>
      <c r="H19" s="291">
        <f t="shared" si="1"/>
        <v>469.03</v>
      </c>
      <c r="I19" s="291">
        <f t="shared" si="2"/>
        <v>9530.9700000000012</v>
      </c>
      <c r="J19" s="292"/>
    </row>
    <row r="20" spans="1:10" s="275" customFormat="1" ht="12.75" customHeight="1" x14ac:dyDescent="0.25">
      <c r="A20" s="298"/>
      <c r="B20" s="287"/>
      <c r="C20" s="287"/>
      <c r="D20" s="297"/>
      <c r="E20" s="290"/>
      <c r="F20" s="290">
        <f t="shared" si="0"/>
        <v>10000</v>
      </c>
      <c r="G20" s="291"/>
      <c r="H20" s="291">
        <f t="shared" si="1"/>
        <v>469.03</v>
      </c>
      <c r="I20" s="291">
        <f t="shared" si="2"/>
        <v>9530.9700000000012</v>
      </c>
      <c r="J20" s="292"/>
    </row>
    <row r="21" spans="1:10" s="275" customFormat="1" ht="12.75" customHeight="1" x14ac:dyDescent="0.25">
      <c r="A21" s="298"/>
      <c r="B21" s="287"/>
      <c r="C21" s="287"/>
      <c r="D21" s="318"/>
      <c r="E21" s="290"/>
      <c r="F21" s="290">
        <f t="shared" si="0"/>
        <v>10000</v>
      </c>
      <c r="G21" s="291"/>
      <c r="H21" s="291">
        <f t="shared" si="1"/>
        <v>469.03</v>
      </c>
      <c r="I21" s="291">
        <f t="shared" si="2"/>
        <v>9530.9700000000012</v>
      </c>
      <c r="J21" s="292"/>
    </row>
    <row r="22" spans="1:10" s="275" customFormat="1" ht="12.75" customHeight="1" x14ac:dyDescent="0.25">
      <c r="A22" s="286"/>
      <c r="B22" s="288"/>
      <c r="C22" s="288"/>
      <c r="D22" s="297"/>
      <c r="E22" s="291"/>
      <c r="F22" s="291"/>
      <c r="G22" s="291"/>
      <c r="H22" s="291"/>
      <c r="I22" s="291"/>
      <c r="J22" s="292"/>
    </row>
    <row r="23" spans="1:10" s="275" customFormat="1" ht="12.75" customHeight="1" thickBot="1" x14ac:dyDescent="0.3">
      <c r="A23" s="286"/>
      <c r="B23" s="300"/>
      <c r="C23" s="300"/>
      <c r="D23" s="301" t="s">
        <v>24</v>
      </c>
      <c r="E23" s="302">
        <f>SUM(E9:E22)</f>
        <v>10000</v>
      </c>
      <c r="F23" s="302"/>
      <c r="G23" s="302">
        <f>SUM(G9:G22)</f>
        <v>469.03</v>
      </c>
      <c r="H23" s="302"/>
      <c r="I23" s="302">
        <f>E23-G23</f>
        <v>9530.9699999999993</v>
      </c>
      <c r="J23" s="292"/>
    </row>
    <row r="24" spans="1:10" s="275" customFormat="1" ht="12.75" customHeight="1" thickTop="1" x14ac:dyDescent="0.25"/>
    <row r="25" spans="1:10" s="275"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2D378-D51F-454F-A411-AEEE074FBF1E}">
  <sheetPr>
    <tabColor indexed="30"/>
    <pageSetUpPr fitToPage="1"/>
  </sheetPr>
  <dimension ref="A1:H23"/>
  <sheetViews>
    <sheetView zoomScaleNormal="100" workbookViewId="0">
      <selection activeCell="L28" sqref="L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#9527.00'!B1</f>
        <v>HHS CHMHI Four Corners Elevator Replacement</v>
      </c>
      <c r="B1" s="3"/>
      <c r="C1" s="3"/>
      <c r="D1" s="3"/>
      <c r="E1" s="4"/>
      <c r="F1" s="4"/>
      <c r="G1" s="4"/>
      <c r="H1" s="33"/>
    </row>
    <row r="2" spans="1:8" ht="15.75" x14ac:dyDescent="0.25">
      <c r="A2" s="6" t="str">
        <f>'RECAP #9527.00'!B2</f>
        <v>Project # 9527.00</v>
      </c>
      <c r="B2" s="5"/>
      <c r="C2" s="5"/>
      <c r="D2" s="5"/>
      <c r="E2" s="4"/>
      <c r="F2" s="4"/>
      <c r="G2" s="4"/>
      <c r="H2" s="33"/>
    </row>
    <row r="3" spans="1:8" ht="15.75" x14ac:dyDescent="0.25">
      <c r="A3" s="7" t="str">
        <f>'RECAP #9527.00'!B3</f>
        <v>Program code 952700</v>
      </c>
      <c r="B3" s="5"/>
      <c r="C3" s="5"/>
      <c r="D3" s="5"/>
      <c r="E3" s="8" t="str">
        <f>'RECAP #9527.00'!E3</f>
        <v>Major Program 4D03</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#9527.00'!B6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2A64-2EFF-4D3D-A533-182814BFCD28}">
  <sheetPr>
    <pageSetUpPr fitToPage="1"/>
  </sheetPr>
  <dimension ref="A1:G15"/>
  <sheetViews>
    <sheetView zoomScaleNormal="100" workbookViewId="0">
      <selection activeCell="C9" sqref="C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512</v>
      </c>
      <c r="C1" s="3"/>
      <c r="D1" s="4"/>
      <c r="E1" s="4"/>
      <c r="F1" s="4"/>
      <c r="G1" s="4"/>
    </row>
    <row r="2" spans="1:7" ht="15.75" x14ac:dyDescent="0.25">
      <c r="A2" s="1"/>
      <c r="B2" s="6" t="s">
        <v>525</v>
      </c>
      <c r="C2" s="5"/>
      <c r="D2" s="4"/>
      <c r="E2" s="4"/>
      <c r="F2" s="4"/>
      <c r="G2" s="4"/>
    </row>
    <row r="3" spans="1:7" ht="15.75" x14ac:dyDescent="0.25">
      <c r="A3" s="1"/>
      <c r="B3" s="7" t="s">
        <v>526</v>
      </c>
      <c r="C3" s="5"/>
      <c r="D3" s="4"/>
      <c r="E3" s="8" t="s">
        <v>527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472</v>
      </c>
      <c r="C6" s="14"/>
      <c r="D6" s="15" t="s">
        <v>2</v>
      </c>
      <c r="E6" s="16"/>
      <c r="F6" s="16"/>
      <c r="G6" s="16"/>
    </row>
    <row r="7" spans="1:7" ht="33" customHeight="1" thickBot="1" x14ac:dyDescent="0.3">
      <c r="A7" s="1"/>
      <c r="B7" s="18" t="s">
        <v>2</v>
      </c>
      <c r="C7" s="19" t="s">
        <v>3</v>
      </c>
      <c r="D7" s="20" t="s">
        <v>4</v>
      </c>
      <c r="E7" s="21" t="s">
        <v>5</v>
      </c>
      <c r="F7" s="22" t="s">
        <v>6</v>
      </c>
      <c r="G7" s="22" t="s">
        <v>7</v>
      </c>
    </row>
    <row r="8" spans="1:7" ht="28.35" customHeight="1" x14ac:dyDescent="0.25">
      <c r="A8" s="1"/>
      <c r="B8" s="1" t="s">
        <v>8</v>
      </c>
      <c r="C8" s="23">
        <f>FINANCIAL!G46</f>
        <v>800000</v>
      </c>
      <c r="D8" s="24"/>
      <c r="E8" s="24"/>
      <c r="F8" s="24"/>
      <c r="G8" s="25"/>
    </row>
    <row r="9" spans="1:7" s="275" customFormat="1" ht="12.75" customHeight="1" x14ac:dyDescent="0.25">
      <c r="A9" s="303"/>
      <c r="B9" s="304"/>
      <c r="C9" s="331"/>
      <c r="D9" s="306"/>
      <c r="E9" s="306"/>
      <c r="F9" s="306"/>
      <c r="G9" s="307"/>
    </row>
    <row r="10" spans="1:7" s="275" customFormat="1" ht="12.75" customHeight="1" x14ac:dyDescent="0.25">
      <c r="A10" s="303"/>
      <c r="B10" s="304" t="s">
        <v>9</v>
      </c>
      <c r="C10" s="305"/>
      <c r="D10" s="308">
        <f>'#9529.00 Vendor A '!D23</f>
        <v>0</v>
      </c>
      <c r="E10" s="308">
        <f>'#9529.00 Vendor A '!F23</f>
        <v>0</v>
      </c>
      <c r="F10" s="308">
        <f>'#9529.00 Vendor A '!H23</f>
        <v>0</v>
      </c>
      <c r="G10" s="307"/>
    </row>
    <row r="11" spans="1:7" s="275" customFormat="1" ht="12.75" customHeight="1" x14ac:dyDescent="0.25">
      <c r="A11" s="303"/>
      <c r="B11" s="304" t="s">
        <v>10</v>
      </c>
      <c r="C11" s="305"/>
      <c r="D11" s="308">
        <f>'#9529.00 PM TIME'!E23</f>
        <v>22000</v>
      </c>
      <c r="E11" s="308">
        <f>'#9529.00 PM TIME'!G23</f>
        <v>469.03</v>
      </c>
      <c r="F11" s="308">
        <f>'#9529.00 PM TIME'!I23</f>
        <v>21530.97</v>
      </c>
      <c r="G11" s="307"/>
    </row>
    <row r="12" spans="1:7" s="275" customFormat="1" ht="12.75" customHeight="1" x14ac:dyDescent="0.25">
      <c r="A12" s="303"/>
      <c r="B12" s="304" t="s">
        <v>11</v>
      </c>
      <c r="C12" s="306"/>
      <c r="D12" s="309">
        <f>'#9529.00 Misc '!G22</f>
        <v>0</v>
      </c>
      <c r="E12" s="309">
        <f>'#9529.00 Misc '!G22</f>
        <v>0</v>
      </c>
      <c r="F12" s="308">
        <f>D12-E12</f>
        <v>0</v>
      </c>
      <c r="G12" s="307"/>
    </row>
    <row r="13" spans="1:7" s="275" customFormat="1" ht="12.75" customHeight="1" x14ac:dyDescent="0.25">
      <c r="A13" s="310"/>
      <c r="B13" s="304"/>
      <c r="C13" s="306"/>
      <c r="D13" s="309"/>
      <c r="E13" s="309"/>
      <c r="F13" s="308"/>
      <c r="G13" s="311"/>
    </row>
    <row r="14" spans="1:7" ht="24" customHeight="1" thickBot="1" x14ac:dyDescent="0.3">
      <c r="A14" s="30"/>
      <c r="B14" s="31" t="s">
        <v>12</v>
      </c>
      <c r="C14" s="32">
        <f>SUM(C8:C13)</f>
        <v>800000</v>
      </c>
      <c r="D14" s="32">
        <f>SUM(D8:D13)</f>
        <v>22000</v>
      </c>
      <c r="E14" s="32">
        <f>SUM(E8:E13)</f>
        <v>469.03</v>
      </c>
      <c r="F14" s="32">
        <f>SUM(D14-E14)</f>
        <v>21530.97</v>
      </c>
      <c r="G14" s="32">
        <f>C8-D14</f>
        <v>778000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CBD1-DC4E-48A7-A946-C87C615A970F}">
  <sheetPr>
    <tabColor rgb="FF0070C0"/>
    <pageSetUpPr fitToPage="1"/>
  </sheetPr>
  <dimension ref="A1:I29"/>
  <sheetViews>
    <sheetView zoomScaleNormal="100" workbookViewId="0">
      <selection activeCell="L28" sqref="L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#9529.00'!B1</f>
        <v>HHS CHMHI Wirth Hall Tunnel Repairs</v>
      </c>
      <c r="B1" s="3"/>
      <c r="C1" s="4"/>
      <c r="D1" s="4"/>
      <c r="E1" s="4"/>
      <c r="F1" s="33"/>
      <c r="G1" s="33"/>
      <c r="H1" s="34"/>
      <c r="I1" s="34"/>
    </row>
    <row r="2" spans="1:9" ht="15.75" x14ac:dyDescent="0.25">
      <c r="A2" s="6" t="str">
        <f>'RECAP #9529.00'!B2</f>
        <v>Project # 9529.00</v>
      </c>
      <c r="B2" s="5"/>
      <c r="C2" s="4"/>
      <c r="D2" s="4"/>
      <c r="E2" s="4"/>
      <c r="F2" s="33"/>
      <c r="G2" s="33"/>
      <c r="H2" s="34"/>
      <c r="I2" s="34"/>
    </row>
    <row r="3" spans="1:9" ht="15.75" x14ac:dyDescent="0.25">
      <c r="A3" s="7" t="str">
        <f>'RECAP #9529.00'!B3</f>
        <v>Program code 952900</v>
      </c>
      <c r="B3" s="5"/>
      <c r="C3" s="4"/>
      <c r="D3" s="8" t="str">
        <f>'RECAP #9529.00'!E3</f>
        <v>Major Program 4G01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#9529.00'!B6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c r="B9" s="287"/>
      <c r="C9" s="288"/>
      <c r="D9" s="330"/>
      <c r="E9" s="290">
        <f>D9</f>
        <v>0</v>
      </c>
      <c r="F9" s="291"/>
      <c r="G9" s="291"/>
      <c r="H9" s="291">
        <f>E9</f>
        <v>0</v>
      </c>
      <c r="I9" s="292"/>
    </row>
    <row r="10" spans="1:9" s="275" customFormat="1" ht="12.75" customHeight="1" x14ac:dyDescent="0.25">
      <c r="A10" s="286"/>
      <c r="B10" s="293"/>
      <c r="C10" s="288"/>
      <c r="D10" s="290"/>
      <c r="E10" s="290">
        <f t="shared" ref="E10:E21" si="0">E9+D10</f>
        <v>0</v>
      </c>
      <c r="F10" s="295"/>
      <c r="G10" s="291">
        <f t="shared" ref="G10:G21" si="1">G9+F10</f>
        <v>0</v>
      </c>
      <c r="H10" s="291">
        <f t="shared" ref="H10:H21" si="2">H9-F10+D10</f>
        <v>0</v>
      </c>
      <c r="I10" s="292"/>
    </row>
    <row r="11" spans="1:9" s="275" customFormat="1" ht="12.75" customHeight="1" x14ac:dyDescent="0.25">
      <c r="A11" s="286"/>
      <c r="B11" s="287"/>
      <c r="C11" s="288"/>
      <c r="D11" s="290"/>
      <c r="E11" s="290">
        <f t="shared" si="0"/>
        <v>0</v>
      </c>
      <c r="F11" s="295"/>
      <c r="G11" s="291">
        <f t="shared" si="1"/>
        <v>0</v>
      </c>
      <c r="H11" s="291">
        <f t="shared" si="2"/>
        <v>0</v>
      </c>
      <c r="I11" s="292"/>
    </row>
    <row r="12" spans="1:9" s="275" customFormat="1" ht="12.75" customHeight="1" x14ac:dyDescent="0.25">
      <c r="A12" s="286"/>
      <c r="B12" s="287"/>
      <c r="C12" s="288"/>
      <c r="D12" s="290"/>
      <c r="E12" s="290">
        <f t="shared" si="0"/>
        <v>0</v>
      </c>
      <c r="F12" s="295"/>
      <c r="G12" s="291">
        <f t="shared" si="1"/>
        <v>0</v>
      </c>
      <c r="H12" s="291">
        <f t="shared" si="2"/>
        <v>0</v>
      </c>
      <c r="I12" s="292"/>
    </row>
    <row r="13" spans="1:9" s="275" customFormat="1" ht="12.75" customHeight="1" x14ac:dyDescent="0.25">
      <c r="A13" s="286"/>
      <c r="B13" s="287"/>
      <c r="C13" s="288"/>
      <c r="D13" s="290"/>
      <c r="E13" s="290">
        <f t="shared" si="0"/>
        <v>0</v>
      </c>
      <c r="F13" s="295"/>
      <c r="G13" s="291">
        <f t="shared" si="1"/>
        <v>0</v>
      </c>
      <c r="H13" s="291">
        <f t="shared" si="2"/>
        <v>0</v>
      </c>
      <c r="I13" s="292"/>
    </row>
    <row r="14" spans="1:9" s="275" customFormat="1" ht="12.75" customHeight="1" x14ac:dyDescent="0.25">
      <c r="A14" s="286"/>
      <c r="B14" s="287"/>
      <c r="C14" s="288"/>
      <c r="D14" s="290"/>
      <c r="E14" s="290">
        <f t="shared" si="0"/>
        <v>0</v>
      </c>
      <c r="F14" s="291"/>
      <c r="G14" s="291">
        <f t="shared" si="1"/>
        <v>0</v>
      </c>
      <c r="H14" s="291">
        <f t="shared" si="2"/>
        <v>0</v>
      </c>
      <c r="I14" s="292"/>
    </row>
    <row r="15" spans="1:9" s="275" customFormat="1" ht="12.75" customHeight="1" x14ac:dyDescent="0.25">
      <c r="A15" s="286"/>
      <c r="B15" s="287"/>
      <c r="C15" s="288"/>
      <c r="D15" s="290"/>
      <c r="E15" s="290">
        <f t="shared" si="0"/>
        <v>0</v>
      </c>
      <c r="F15" s="295"/>
      <c r="G15" s="291">
        <f t="shared" si="1"/>
        <v>0</v>
      </c>
      <c r="H15" s="291">
        <f t="shared" si="2"/>
        <v>0</v>
      </c>
      <c r="I15" s="292"/>
    </row>
    <row r="16" spans="1:9" s="275" customFormat="1" ht="12.75" customHeight="1" x14ac:dyDescent="0.25">
      <c r="A16" s="286"/>
      <c r="B16" s="287"/>
      <c r="C16" s="288"/>
      <c r="D16" s="290"/>
      <c r="E16" s="290">
        <f t="shared" si="0"/>
        <v>0</v>
      </c>
      <c r="F16" s="295"/>
      <c r="G16" s="291">
        <f t="shared" si="1"/>
        <v>0</v>
      </c>
      <c r="H16" s="291">
        <f t="shared" si="2"/>
        <v>0</v>
      </c>
      <c r="I16" s="292"/>
    </row>
    <row r="17" spans="1:9" s="275" customFormat="1" ht="12.75" customHeight="1" x14ac:dyDescent="0.25">
      <c r="A17" s="286"/>
      <c r="B17" s="287"/>
      <c r="C17" s="288"/>
      <c r="D17" s="290"/>
      <c r="E17" s="290">
        <f t="shared" si="0"/>
        <v>0</v>
      </c>
      <c r="F17" s="295"/>
      <c r="G17" s="291">
        <f t="shared" si="1"/>
        <v>0</v>
      </c>
      <c r="H17" s="291">
        <f t="shared" si="2"/>
        <v>0</v>
      </c>
      <c r="I17" s="292"/>
    </row>
    <row r="18" spans="1:9" s="275" customFormat="1" ht="12.75" customHeight="1" x14ac:dyDescent="0.25">
      <c r="A18" s="286"/>
      <c r="B18" s="287"/>
      <c r="C18" s="288"/>
      <c r="D18" s="290"/>
      <c r="E18" s="290">
        <f t="shared" si="0"/>
        <v>0</v>
      </c>
      <c r="F18" s="295"/>
      <c r="G18" s="291">
        <f t="shared" si="1"/>
        <v>0</v>
      </c>
      <c r="H18" s="291">
        <f t="shared" si="2"/>
        <v>0</v>
      </c>
      <c r="I18" s="292"/>
    </row>
    <row r="19" spans="1:9" s="275" customFormat="1" ht="12.75" customHeight="1" x14ac:dyDescent="0.25">
      <c r="A19" s="286"/>
      <c r="B19" s="287"/>
      <c r="C19" s="288"/>
      <c r="D19" s="290"/>
      <c r="E19" s="290">
        <f t="shared" si="0"/>
        <v>0</v>
      </c>
      <c r="F19" s="291"/>
      <c r="G19" s="291">
        <f t="shared" si="1"/>
        <v>0</v>
      </c>
      <c r="H19" s="291">
        <f t="shared" si="2"/>
        <v>0</v>
      </c>
      <c r="I19" s="292"/>
    </row>
    <row r="20" spans="1:9" s="275" customFormat="1" ht="12.75" customHeight="1" x14ac:dyDescent="0.25">
      <c r="A20" s="286"/>
      <c r="B20" s="287"/>
      <c r="C20" s="288"/>
      <c r="D20" s="290"/>
      <c r="E20" s="290">
        <f t="shared" si="0"/>
        <v>0</v>
      </c>
      <c r="F20" s="291"/>
      <c r="G20" s="291">
        <f t="shared" si="1"/>
        <v>0</v>
      </c>
      <c r="H20" s="291">
        <f t="shared" si="2"/>
        <v>0</v>
      </c>
      <c r="I20" s="292"/>
    </row>
    <row r="21" spans="1:9" s="275" customFormat="1" ht="12.75" customHeight="1" x14ac:dyDescent="0.25">
      <c r="A21" s="286"/>
      <c r="B21" s="287"/>
      <c r="C21" s="296"/>
      <c r="D21" s="290"/>
      <c r="E21" s="290">
        <f t="shared" si="0"/>
        <v>0</v>
      </c>
      <c r="F21" s="291"/>
      <c r="G21" s="291">
        <f t="shared" si="1"/>
        <v>0</v>
      </c>
      <c r="H21" s="291">
        <f t="shared" si="2"/>
        <v>0</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0</v>
      </c>
      <c r="E23" s="302"/>
      <c r="F23" s="302">
        <f>SUM(F9:F22)</f>
        <v>0</v>
      </c>
      <c r="G23" s="302"/>
      <c r="H23" s="302">
        <f>D23-F23</f>
        <v>0</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0</v>
      </c>
      <c r="E26" s="313"/>
      <c r="F26" s="313"/>
      <c r="G26" s="313"/>
      <c r="H26" s="313">
        <f>D26-F26</f>
        <v>0</v>
      </c>
      <c r="I26" s="292"/>
    </row>
    <row r="27" spans="1:9" s="275" customFormat="1" ht="12.75" customHeight="1" x14ac:dyDescent="0.25">
      <c r="A27" s="286"/>
      <c r="B27" s="288"/>
      <c r="C27" s="312" t="s">
        <v>113</v>
      </c>
      <c r="D27" s="313">
        <v>0</v>
      </c>
      <c r="E27" s="313"/>
      <c r="F27" s="313"/>
      <c r="G27" s="313"/>
      <c r="H27" s="313">
        <f>D27-F27</f>
        <v>0</v>
      </c>
      <c r="I27" s="292"/>
    </row>
    <row r="28" spans="1:9" s="275" customFormat="1" ht="12.75" customHeight="1" thickBot="1" x14ac:dyDescent="0.3">
      <c r="A28" s="286"/>
      <c r="B28" s="288"/>
      <c r="C28" s="314" t="s">
        <v>67</v>
      </c>
      <c r="D28" s="315">
        <f>SUM(D26:D27)</f>
        <v>0</v>
      </c>
      <c r="E28" s="316"/>
      <c r="F28" s="315">
        <f>SUM(F26:F27)</f>
        <v>0</v>
      </c>
      <c r="G28" s="316"/>
      <c r="H28" s="315">
        <f>SUM(H26:H27)</f>
        <v>0</v>
      </c>
      <c r="I28" s="292"/>
    </row>
    <row r="29" spans="1:9" s="275" customFormat="1" ht="12.75" customHeight="1" thickTop="1" x14ac:dyDescent="0.25"/>
  </sheetData>
  <conditionalFormatting sqref="I8:I23">
    <cfRule type="cellIs" dxfId="2"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8BA6-604F-4A39-AF1B-7576B9EA7308}">
  <sheetPr>
    <pageSetUpPr fitToPage="1"/>
  </sheetPr>
  <dimension ref="A1:J25"/>
  <sheetViews>
    <sheetView zoomScaleNormal="100" workbookViewId="0">
      <selection activeCell="G30" sqref="G30"/>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1.285156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#9529.00'!B1</f>
        <v>HHS CHMHI Wirth Hall Tunnel Repairs</v>
      </c>
      <c r="B1" s="3"/>
      <c r="C1" s="3"/>
      <c r="D1" s="4"/>
      <c r="E1" s="4"/>
      <c r="F1" s="4"/>
      <c r="G1" s="33"/>
      <c r="H1" s="33"/>
      <c r="I1" s="34"/>
      <c r="J1" s="34"/>
    </row>
    <row r="2" spans="1:10" ht="15.75" x14ac:dyDescent="0.25">
      <c r="A2" s="6" t="str">
        <f>'RECAP #9529.00'!B2</f>
        <v>Project # 9529.00</v>
      </c>
      <c r="B2" s="5"/>
      <c r="C2" s="5"/>
      <c r="D2" s="4"/>
      <c r="E2" s="4"/>
      <c r="F2" s="4"/>
      <c r="G2" s="33"/>
      <c r="H2" s="33"/>
      <c r="I2" s="34"/>
      <c r="J2" s="34"/>
    </row>
    <row r="3" spans="1:10" ht="15.75" x14ac:dyDescent="0.25">
      <c r="A3" s="7" t="str">
        <f>'RECAP #9529.00'!B3</f>
        <v>Program code 952900</v>
      </c>
      <c r="B3" s="5"/>
      <c r="C3" s="5"/>
      <c r="D3" s="4"/>
      <c r="E3" s="8" t="str">
        <f>'RECAP #9529.00'!E3</f>
        <v>Major Program 4G01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535</v>
      </c>
      <c r="F6" s="49"/>
      <c r="G6" s="50"/>
      <c r="H6" s="46"/>
      <c r="I6" s="41"/>
      <c r="J6" s="34"/>
    </row>
    <row r="7" spans="1:10" ht="15.75" x14ac:dyDescent="0.25">
      <c r="A7" s="13" t="str">
        <f>'RECAP #9529.00'!B6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22000</v>
      </c>
      <c r="F9" s="290">
        <f>E9</f>
        <v>22000</v>
      </c>
      <c r="G9" s="291"/>
      <c r="H9" s="291"/>
      <c r="I9" s="291">
        <f>F9</f>
        <v>22000</v>
      </c>
      <c r="J9" s="292"/>
    </row>
    <row r="10" spans="1:10" s="275" customFormat="1" ht="12.75" customHeight="1" x14ac:dyDescent="0.2">
      <c r="A10" s="213" t="s">
        <v>663</v>
      </c>
      <c r="B10" s="214">
        <v>46090</v>
      </c>
      <c r="C10" s="332" t="s">
        <v>269</v>
      </c>
      <c r="D10" s="175" t="s">
        <v>664</v>
      </c>
      <c r="E10" s="290"/>
      <c r="F10" s="290">
        <f t="shared" ref="F10:F21" si="0">F9+E10</f>
        <v>22000</v>
      </c>
      <c r="G10" s="294">
        <v>37.630000000000003</v>
      </c>
      <c r="H10" s="291">
        <f t="shared" ref="H10:H21" si="1">H9+G10</f>
        <v>37.630000000000003</v>
      </c>
      <c r="I10" s="291">
        <f t="shared" ref="I10:I21" si="2">I9-G10+E10</f>
        <v>21962.37</v>
      </c>
      <c r="J10" s="292"/>
    </row>
    <row r="11" spans="1:10" s="275" customFormat="1" ht="12.75" customHeight="1" x14ac:dyDescent="0.2">
      <c r="A11" s="213" t="s">
        <v>663</v>
      </c>
      <c r="B11" s="214">
        <v>46090</v>
      </c>
      <c r="C11" s="333">
        <v>9500</v>
      </c>
      <c r="D11" s="78" t="s">
        <v>665</v>
      </c>
      <c r="E11" s="290"/>
      <c r="F11" s="290">
        <f t="shared" si="0"/>
        <v>22000</v>
      </c>
      <c r="G11" s="294">
        <v>431.4</v>
      </c>
      <c r="H11" s="291">
        <f t="shared" si="1"/>
        <v>469.03</v>
      </c>
      <c r="I11" s="291">
        <f t="shared" si="2"/>
        <v>21530.969999999998</v>
      </c>
      <c r="J11" s="292"/>
    </row>
    <row r="12" spans="1:10" s="275" customFormat="1" ht="12.75" customHeight="1" x14ac:dyDescent="0.25">
      <c r="A12" s="317"/>
      <c r="B12" s="287"/>
      <c r="C12" s="287"/>
      <c r="D12" s="297"/>
      <c r="E12" s="290"/>
      <c r="F12" s="290">
        <f t="shared" si="0"/>
        <v>22000</v>
      </c>
      <c r="G12" s="295"/>
      <c r="H12" s="291">
        <f t="shared" si="1"/>
        <v>469.03</v>
      </c>
      <c r="I12" s="291">
        <f t="shared" si="2"/>
        <v>21530.969999999998</v>
      </c>
      <c r="J12" s="292"/>
    </row>
    <row r="13" spans="1:10" s="275" customFormat="1" ht="12.75" customHeight="1" x14ac:dyDescent="0.25">
      <c r="A13" s="317"/>
      <c r="B13" s="287"/>
      <c r="C13" s="287"/>
      <c r="D13" s="297"/>
      <c r="E13" s="290"/>
      <c r="F13" s="290">
        <f t="shared" si="0"/>
        <v>22000</v>
      </c>
      <c r="G13" s="295"/>
      <c r="H13" s="291">
        <f t="shared" si="1"/>
        <v>469.03</v>
      </c>
      <c r="I13" s="291">
        <f t="shared" si="2"/>
        <v>21530.969999999998</v>
      </c>
      <c r="J13" s="292"/>
    </row>
    <row r="14" spans="1:10" s="275" customFormat="1" ht="12.75" customHeight="1" x14ac:dyDescent="0.25">
      <c r="A14" s="317"/>
      <c r="B14" s="287"/>
      <c r="C14" s="287"/>
      <c r="D14" s="297"/>
      <c r="E14" s="290"/>
      <c r="F14" s="290">
        <f t="shared" si="0"/>
        <v>22000</v>
      </c>
      <c r="G14" s="291"/>
      <c r="H14" s="291">
        <f t="shared" si="1"/>
        <v>469.03</v>
      </c>
      <c r="I14" s="291">
        <f t="shared" si="2"/>
        <v>21530.969999999998</v>
      </c>
      <c r="J14" s="292"/>
    </row>
    <row r="15" spans="1:10" s="275" customFormat="1" ht="12.75" customHeight="1" x14ac:dyDescent="0.25">
      <c r="A15" s="317"/>
      <c r="B15" s="287"/>
      <c r="C15" s="287"/>
      <c r="D15" s="297"/>
      <c r="E15" s="290"/>
      <c r="F15" s="290">
        <f t="shared" si="0"/>
        <v>22000</v>
      </c>
      <c r="G15" s="295"/>
      <c r="H15" s="291">
        <f t="shared" si="1"/>
        <v>469.03</v>
      </c>
      <c r="I15" s="291">
        <f t="shared" si="2"/>
        <v>21530.969999999998</v>
      </c>
      <c r="J15" s="292"/>
    </row>
    <row r="16" spans="1:10" s="275" customFormat="1" ht="12.75" customHeight="1" x14ac:dyDescent="0.25">
      <c r="A16" s="317"/>
      <c r="B16" s="287"/>
      <c r="C16" s="287"/>
      <c r="D16" s="297"/>
      <c r="E16" s="290"/>
      <c r="F16" s="290">
        <f t="shared" si="0"/>
        <v>22000</v>
      </c>
      <c r="G16" s="295"/>
      <c r="H16" s="291">
        <f t="shared" si="1"/>
        <v>469.03</v>
      </c>
      <c r="I16" s="291">
        <f t="shared" si="2"/>
        <v>21530.969999999998</v>
      </c>
      <c r="J16" s="292"/>
    </row>
    <row r="17" spans="1:10" s="275" customFormat="1" ht="12.75" customHeight="1" x14ac:dyDescent="0.25">
      <c r="A17" s="317"/>
      <c r="B17" s="287"/>
      <c r="C17" s="287"/>
      <c r="D17" s="297"/>
      <c r="E17" s="290"/>
      <c r="F17" s="290">
        <f t="shared" si="0"/>
        <v>22000</v>
      </c>
      <c r="G17" s="295"/>
      <c r="H17" s="291">
        <f t="shared" si="1"/>
        <v>469.03</v>
      </c>
      <c r="I17" s="291">
        <f t="shared" si="2"/>
        <v>21530.969999999998</v>
      </c>
      <c r="J17" s="292"/>
    </row>
    <row r="18" spans="1:10" s="275" customFormat="1" ht="12.75" customHeight="1" x14ac:dyDescent="0.25">
      <c r="A18" s="317"/>
      <c r="B18" s="287"/>
      <c r="C18" s="287"/>
      <c r="D18" s="297"/>
      <c r="E18" s="290"/>
      <c r="F18" s="290">
        <f t="shared" si="0"/>
        <v>22000</v>
      </c>
      <c r="G18" s="295"/>
      <c r="H18" s="291">
        <f t="shared" si="1"/>
        <v>469.03</v>
      </c>
      <c r="I18" s="291">
        <f t="shared" si="2"/>
        <v>21530.969999999998</v>
      </c>
      <c r="J18" s="292"/>
    </row>
    <row r="19" spans="1:10" s="275" customFormat="1" ht="12.75" customHeight="1" x14ac:dyDescent="0.25">
      <c r="A19" s="298"/>
      <c r="B19" s="287"/>
      <c r="C19" s="287"/>
      <c r="D19" s="297"/>
      <c r="E19" s="290"/>
      <c r="F19" s="290">
        <f t="shared" si="0"/>
        <v>22000</v>
      </c>
      <c r="G19" s="291"/>
      <c r="H19" s="291">
        <f t="shared" si="1"/>
        <v>469.03</v>
      </c>
      <c r="I19" s="291">
        <f t="shared" si="2"/>
        <v>21530.969999999998</v>
      </c>
      <c r="J19" s="292"/>
    </row>
    <row r="20" spans="1:10" s="275" customFormat="1" ht="12.75" customHeight="1" x14ac:dyDescent="0.25">
      <c r="A20" s="298"/>
      <c r="B20" s="287"/>
      <c r="C20" s="287"/>
      <c r="D20" s="297"/>
      <c r="E20" s="290"/>
      <c r="F20" s="290">
        <f t="shared" si="0"/>
        <v>22000</v>
      </c>
      <c r="G20" s="291"/>
      <c r="H20" s="291">
        <f t="shared" si="1"/>
        <v>469.03</v>
      </c>
      <c r="I20" s="291">
        <f t="shared" si="2"/>
        <v>21530.969999999998</v>
      </c>
      <c r="J20" s="292"/>
    </row>
    <row r="21" spans="1:10" s="275" customFormat="1" ht="12.75" customHeight="1" x14ac:dyDescent="0.25">
      <c r="A21" s="298"/>
      <c r="B21" s="287"/>
      <c r="C21" s="287"/>
      <c r="D21" s="318"/>
      <c r="E21" s="290"/>
      <c r="F21" s="290">
        <f t="shared" si="0"/>
        <v>22000</v>
      </c>
      <c r="G21" s="291"/>
      <c r="H21" s="291">
        <f t="shared" si="1"/>
        <v>469.03</v>
      </c>
      <c r="I21" s="291">
        <f t="shared" si="2"/>
        <v>21530.969999999998</v>
      </c>
      <c r="J21" s="292"/>
    </row>
    <row r="22" spans="1:10" s="275" customFormat="1" ht="12.75" customHeight="1" x14ac:dyDescent="0.25">
      <c r="A22" s="286"/>
      <c r="B22" s="288"/>
      <c r="C22" s="288"/>
      <c r="D22" s="297"/>
      <c r="E22" s="291"/>
      <c r="F22" s="291"/>
      <c r="G22" s="291"/>
      <c r="H22" s="291"/>
      <c r="I22" s="291"/>
      <c r="J22" s="292"/>
    </row>
    <row r="23" spans="1:10" s="275" customFormat="1" ht="12.75" customHeight="1" thickBot="1" x14ac:dyDescent="0.3">
      <c r="A23" s="286"/>
      <c r="B23" s="300"/>
      <c r="C23" s="300"/>
      <c r="D23" s="301" t="s">
        <v>24</v>
      </c>
      <c r="E23" s="302">
        <f>SUM(E9:E22)</f>
        <v>22000</v>
      </c>
      <c r="F23" s="302"/>
      <c r="G23" s="302">
        <f>SUM(G9:G22)</f>
        <v>469.03</v>
      </c>
      <c r="H23" s="302"/>
      <c r="I23" s="302">
        <f>E23-G23</f>
        <v>21530.97</v>
      </c>
      <c r="J23" s="292"/>
    </row>
    <row r="24" spans="1:10" s="275" customFormat="1" ht="12.75" customHeight="1" thickTop="1" x14ac:dyDescent="0.25"/>
    <row r="25" spans="1:10" s="275"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D11F-1AC0-4FD6-A13D-FCFC94DE26E0}">
  <sheetPr>
    <tabColor indexed="30"/>
    <pageSetUpPr fitToPage="1"/>
  </sheetPr>
  <dimension ref="A1:H23"/>
  <sheetViews>
    <sheetView zoomScaleNormal="100" workbookViewId="0">
      <selection activeCell="L28" sqref="L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#9529.00'!B1</f>
        <v>HHS CHMHI Wirth Hall Tunnel Repairs</v>
      </c>
      <c r="B1" s="3"/>
      <c r="C1" s="3"/>
      <c r="D1" s="3"/>
      <c r="E1" s="4"/>
      <c r="F1" s="4"/>
      <c r="G1" s="4"/>
      <c r="H1" s="33"/>
    </row>
    <row r="2" spans="1:8" ht="15.75" x14ac:dyDescent="0.25">
      <c r="A2" s="6" t="str">
        <f>'RECAP #9529.00'!B2</f>
        <v>Project # 9529.00</v>
      </c>
      <c r="B2" s="5"/>
      <c r="C2" s="5"/>
      <c r="D2" s="5"/>
      <c r="E2" s="4"/>
      <c r="F2" s="4"/>
      <c r="G2" s="4"/>
      <c r="H2" s="33"/>
    </row>
    <row r="3" spans="1:8" ht="15.75" x14ac:dyDescent="0.25">
      <c r="A3" s="7" t="str">
        <f>'RECAP #9529.00'!B3</f>
        <v>Program code 952900</v>
      </c>
      <c r="B3" s="5"/>
      <c r="C3" s="5"/>
      <c r="D3" s="5"/>
      <c r="E3" s="8" t="str">
        <f>'RECAP #9529.00'!E3</f>
        <v>Major Program 4G01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#9529.00'!B6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F6523-86B2-4CB5-91F5-D99033718A46}">
  <sheetPr>
    <pageSetUpPr fitToPage="1"/>
  </sheetPr>
  <dimension ref="A1:G15"/>
  <sheetViews>
    <sheetView zoomScaleNormal="100" workbookViewId="0">
      <selection activeCell="B22" sqref="B2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513</v>
      </c>
      <c r="C1" s="3"/>
      <c r="D1" s="4"/>
      <c r="E1" s="4"/>
      <c r="F1" s="4"/>
      <c r="G1" s="4"/>
    </row>
    <row r="2" spans="1:7" ht="15.75" x14ac:dyDescent="0.25">
      <c r="A2" s="1"/>
      <c r="B2" s="6" t="s">
        <v>528</v>
      </c>
      <c r="C2" s="5"/>
      <c r="D2" s="4"/>
      <c r="E2" s="4"/>
      <c r="F2" s="4"/>
      <c r="G2" s="4"/>
    </row>
    <row r="3" spans="1:7" ht="15.75" x14ac:dyDescent="0.25">
      <c r="A3" s="1"/>
      <c r="B3" s="7" t="s">
        <v>529</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472</v>
      </c>
      <c r="C6" s="14"/>
      <c r="D6" s="15" t="s">
        <v>2</v>
      </c>
      <c r="E6" s="16"/>
      <c r="F6" s="16"/>
      <c r="G6" s="16"/>
    </row>
    <row r="7" spans="1:7" ht="35.25" customHeight="1" thickBot="1" x14ac:dyDescent="0.3">
      <c r="A7" s="1"/>
      <c r="B7" s="18" t="s">
        <v>2</v>
      </c>
      <c r="C7" s="19" t="s">
        <v>3</v>
      </c>
      <c r="D7" s="20" t="s">
        <v>4</v>
      </c>
      <c r="E7" s="21" t="s">
        <v>5</v>
      </c>
      <c r="F7" s="22" t="s">
        <v>6</v>
      </c>
      <c r="G7" s="22" t="s">
        <v>7</v>
      </c>
    </row>
    <row r="8" spans="1:7" ht="28.35" customHeight="1" x14ac:dyDescent="0.25">
      <c r="A8" s="1"/>
      <c r="B8" s="1" t="s">
        <v>8</v>
      </c>
      <c r="C8" s="23">
        <f>FINANCIAL!G47</f>
        <v>213300</v>
      </c>
      <c r="D8" s="24"/>
      <c r="E8" s="24"/>
      <c r="F8" s="24"/>
      <c r="G8" s="25"/>
    </row>
    <row r="9" spans="1:7" s="275" customFormat="1" ht="12.75" customHeight="1" x14ac:dyDescent="0.25">
      <c r="A9" s="303"/>
      <c r="B9" s="304"/>
      <c r="C9" s="331"/>
      <c r="D9" s="306"/>
      <c r="E9" s="306"/>
      <c r="F9" s="306"/>
      <c r="G9" s="307"/>
    </row>
    <row r="10" spans="1:7" s="275" customFormat="1" ht="12.75" customHeight="1" x14ac:dyDescent="0.25">
      <c r="A10" s="303"/>
      <c r="B10" s="304" t="s">
        <v>286</v>
      </c>
      <c r="C10" s="305"/>
      <c r="D10" s="308">
        <f>'#9530.00 Story Construction'!D23</f>
        <v>25832.29</v>
      </c>
      <c r="E10" s="308">
        <f>'#9530.00 Story Construction'!F23</f>
        <v>0</v>
      </c>
      <c r="F10" s="308">
        <f>'#9530.00 Story Construction'!H23</f>
        <v>25832.29</v>
      </c>
      <c r="G10" s="307"/>
    </row>
    <row r="11" spans="1:7" s="275" customFormat="1" ht="12.75" customHeight="1" x14ac:dyDescent="0.25">
      <c r="A11" s="303"/>
      <c r="B11" s="304" t="s">
        <v>10</v>
      </c>
      <c r="C11" s="305"/>
      <c r="D11" s="308">
        <f>'#9530.00 PM TIME'!E23</f>
        <v>7500</v>
      </c>
      <c r="E11" s="308">
        <f>'#9530.00 PM TIME'!G23</f>
        <v>626.46999999999991</v>
      </c>
      <c r="F11" s="308">
        <f>'#9530.00 PM TIME'!I23</f>
        <v>6873.53</v>
      </c>
      <c r="G11" s="307"/>
    </row>
    <row r="12" spans="1:7" s="275" customFormat="1" ht="12.75" customHeight="1" x14ac:dyDescent="0.25">
      <c r="A12" s="303"/>
      <c r="B12" s="304" t="s">
        <v>11</v>
      </c>
      <c r="C12" s="306"/>
      <c r="D12" s="309">
        <f>'#9530.00 Misc'!G22</f>
        <v>0</v>
      </c>
      <c r="E12" s="309">
        <f>'#9530.00 Misc'!G22</f>
        <v>0</v>
      </c>
      <c r="F12" s="308">
        <f>D12-E12</f>
        <v>0</v>
      </c>
      <c r="G12" s="307"/>
    </row>
    <row r="13" spans="1:7" s="275" customFormat="1" ht="12.75" customHeight="1" x14ac:dyDescent="0.25">
      <c r="A13" s="310"/>
      <c r="B13" s="304"/>
      <c r="C13" s="306"/>
      <c r="D13" s="309"/>
      <c r="E13" s="309"/>
      <c r="F13" s="308"/>
      <c r="G13" s="311"/>
    </row>
    <row r="14" spans="1:7" ht="24" customHeight="1" thickBot="1" x14ac:dyDescent="0.3">
      <c r="A14" s="30"/>
      <c r="B14" s="31" t="s">
        <v>12</v>
      </c>
      <c r="C14" s="32">
        <f>SUM(C8:C13)</f>
        <v>213300</v>
      </c>
      <c r="D14" s="32">
        <f>SUM(D8:D13)</f>
        <v>33332.29</v>
      </c>
      <c r="E14" s="32">
        <f>SUM(E8:E13)</f>
        <v>626.46999999999991</v>
      </c>
      <c r="F14" s="32">
        <f>SUM(D14-E14)</f>
        <v>32705.82</v>
      </c>
      <c r="G14" s="32">
        <f>C8-D14</f>
        <v>179967.71</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817C1-CD0B-4BCA-B71E-514651A0EAF3}">
  <sheetPr>
    <pageSetUpPr fitToPage="1"/>
  </sheetPr>
  <dimension ref="A1:I29"/>
  <sheetViews>
    <sheetView zoomScaleNormal="100" workbookViewId="0">
      <selection activeCell="F32" sqref="F3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#9530.00'!B1</f>
        <v>DOC FDCF Unit L Pre-Cast Sealant &amp; Warehouse W Freezer Floor Repair</v>
      </c>
      <c r="B1" s="3"/>
      <c r="C1" s="4"/>
      <c r="D1" s="4"/>
      <c r="E1" s="4"/>
      <c r="F1" s="33"/>
      <c r="G1" s="33"/>
      <c r="H1" s="34"/>
      <c r="I1" s="34"/>
    </row>
    <row r="2" spans="1:9" ht="15.75" x14ac:dyDescent="0.25">
      <c r="A2" s="6" t="str">
        <f>'RECAP #9530.00'!B2</f>
        <v>Project # 9530.00</v>
      </c>
      <c r="B2" s="5"/>
      <c r="C2" s="4"/>
      <c r="D2" s="4"/>
      <c r="E2" s="4"/>
      <c r="F2" s="33"/>
      <c r="G2" s="33"/>
      <c r="H2" s="34"/>
      <c r="I2" s="34"/>
    </row>
    <row r="3" spans="1:9" ht="15.75" x14ac:dyDescent="0.25">
      <c r="A3" s="7" t="str">
        <f>'RECAP #9530.00'!B3</f>
        <v>Program code 953000</v>
      </c>
      <c r="B3" s="5"/>
      <c r="C3" s="4"/>
      <c r="D3" s="8" t="str">
        <f>'RECAP #9530.00'!E3</f>
        <v>Major Program 4E01</v>
      </c>
      <c r="E3" s="4"/>
      <c r="F3" s="33"/>
      <c r="G3" s="33"/>
      <c r="H3" s="34"/>
      <c r="I3" s="34"/>
    </row>
    <row r="4" spans="1:9" ht="15.75" x14ac:dyDescent="0.25">
      <c r="A4" s="35" t="s">
        <v>286</v>
      </c>
      <c r="B4" s="36"/>
      <c r="C4" s="37"/>
      <c r="D4" s="38" t="s">
        <v>287</v>
      </c>
      <c r="E4" s="39"/>
      <c r="F4" s="33"/>
      <c r="G4" s="33"/>
      <c r="H4" s="34"/>
      <c r="I4" s="34"/>
    </row>
    <row r="5" spans="1:9" ht="15.75" x14ac:dyDescent="0.25">
      <c r="A5" s="40" t="s">
        <v>106</v>
      </c>
      <c r="B5" s="41"/>
      <c r="C5" s="42"/>
      <c r="D5" s="43" t="s">
        <v>288</v>
      </c>
      <c r="E5" s="44"/>
      <c r="F5" s="45"/>
      <c r="G5" s="46"/>
      <c r="H5" s="41"/>
      <c r="I5" s="34"/>
    </row>
    <row r="6" spans="1:9" ht="15.75" x14ac:dyDescent="0.25">
      <c r="A6" s="13" t="str">
        <f>'RECAP #9530.00'!B6</f>
        <v>Project Manager - Jennie 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683</v>
      </c>
      <c r="B9" s="287">
        <v>46100</v>
      </c>
      <c r="C9" s="288" t="s">
        <v>111</v>
      </c>
      <c r="D9" s="289">
        <v>25832.29</v>
      </c>
      <c r="E9" s="290">
        <f>D9</f>
        <v>25832.29</v>
      </c>
      <c r="F9" s="291"/>
      <c r="G9" s="291"/>
      <c r="H9" s="291">
        <f>E9</f>
        <v>25832.29</v>
      </c>
      <c r="I9" s="292"/>
    </row>
    <row r="10" spans="1:9" s="275" customFormat="1" ht="12.75" customHeight="1" x14ac:dyDescent="0.25">
      <c r="A10" s="286"/>
      <c r="B10" s="293"/>
      <c r="C10" s="288"/>
      <c r="D10" s="290"/>
      <c r="E10" s="290">
        <f t="shared" ref="E10:E21" si="0">E9+D10</f>
        <v>25832.29</v>
      </c>
      <c r="F10" s="295"/>
      <c r="G10" s="291">
        <f t="shared" ref="G10:G21" si="1">G9+F10</f>
        <v>0</v>
      </c>
      <c r="H10" s="291">
        <f t="shared" ref="H10:H21" si="2">H9-F10+D10</f>
        <v>25832.29</v>
      </c>
      <c r="I10" s="292"/>
    </row>
    <row r="11" spans="1:9" s="275" customFormat="1" ht="12.75" customHeight="1" x14ac:dyDescent="0.25">
      <c r="A11" s="286"/>
      <c r="B11" s="287"/>
      <c r="C11" s="288"/>
      <c r="D11" s="290"/>
      <c r="E11" s="290">
        <f t="shared" si="0"/>
        <v>25832.29</v>
      </c>
      <c r="F11" s="295"/>
      <c r="G11" s="291">
        <f t="shared" si="1"/>
        <v>0</v>
      </c>
      <c r="H11" s="291">
        <f t="shared" si="2"/>
        <v>25832.29</v>
      </c>
      <c r="I11" s="292"/>
    </row>
    <row r="12" spans="1:9" s="275" customFormat="1" ht="12.75" customHeight="1" x14ac:dyDescent="0.25">
      <c r="A12" s="286"/>
      <c r="B12" s="287"/>
      <c r="C12" s="288"/>
      <c r="D12" s="290"/>
      <c r="E12" s="290">
        <f t="shared" si="0"/>
        <v>25832.29</v>
      </c>
      <c r="F12" s="295"/>
      <c r="G12" s="291">
        <f t="shared" si="1"/>
        <v>0</v>
      </c>
      <c r="H12" s="291">
        <f t="shared" si="2"/>
        <v>25832.29</v>
      </c>
      <c r="I12" s="292"/>
    </row>
    <row r="13" spans="1:9" s="275" customFormat="1" ht="12.75" customHeight="1" x14ac:dyDescent="0.25">
      <c r="A13" s="286"/>
      <c r="B13" s="287"/>
      <c r="C13" s="288"/>
      <c r="D13" s="290"/>
      <c r="E13" s="290">
        <f t="shared" si="0"/>
        <v>25832.29</v>
      </c>
      <c r="F13" s="295"/>
      <c r="G13" s="291">
        <f t="shared" si="1"/>
        <v>0</v>
      </c>
      <c r="H13" s="291">
        <f t="shared" si="2"/>
        <v>25832.29</v>
      </c>
      <c r="I13" s="292"/>
    </row>
    <row r="14" spans="1:9" s="275" customFormat="1" ht="12.75" customHeight="1" x14ac:dyDescent="0.25">
      <c r="A14" s="286"/>
      <c r="B14" s="287"/>
      <c r="C14" s="288"/>
      <c r="D14" s="290"/>
      <c r="E14" s="290">
        <f t="shared" si="0"/>
        <v>25832.29</v>
      </c>
      <c r="F14" s="291"/>
      <c r="G14" s="291">
        <f t="shared" si="1"/>
        <v>0</v>
      </c>
      <c r="H14" s="291">
        <f t="shared" si="2"/>
        <v>25832.29</v>
      </c>
      <c r="I14" s="292"/>
    </row>
    <row r="15" spans="1:9" s="275" customFormat="1" ht="12.75" customHeight="1" x14ac:dyDescent="0.25">
      <c r="A15" s="286"/>
      <c r="B15" s="287"/>
      <c r="C15" s="288"/>
      <c r="D15" s="290"/>
      <c r="E15" s="290">
        <f t="shared" si="0"/>
        <v>25832.29</v>
      </c>
      <c r="F15" s="295"/>
      <c r="G15" s="291">
        <f t="shared" si="1"/>
        <v>0</v>
      </c>
      <c r="H15" s="291">
        <f t="shared" si="2"/>
        <v>25832.29</v>
      </c>
      <c r="I15" s="292"/>
    </row>
    <row r="16" spans="1:9" s="275" customFormat="1" ht="12.75" customHeight="1" x14ac:dyDescent="0.25">
      <c r="A16" s="286"/>
      <c r="B16" s="287"/>
      <c r="C16" s="288"/>
      <c r="D16" s="290"/>
      <c r="E16" s="290">
        <f t="shared" si="0"/>
        <v>25832.29</v>
      </c>
      <c r="F16" s="295"/>
      <c r="G16" s="291">
        <f t="shared" si="1"/>
        <v>0</v>
      </c>
      <c r="H16" s="291">
        <f t="shared" si="2"/>
        <v>25832.29</v>
      </c>
      <c r="I16" s="292"/>
    </row>
    <row r="17" spans="1:9" s="275" customFormat="1" ht="12.75" customHeight="1" x14ac:dyDescent="0.25">
      <c r="A17" s="286"/>
      <c r="B17" s="287"/>
      <c r="C17" s="288"/>
      <c r="D17" s="290"/>
      <c r="E17" s="290">
        <f t="shared" si="0"/>
        <v>25832.29</v>
      </c>
      <c r="F17" s="295"/>
      <c r="G17" s="291">
        <f t="shared" si="1"/>
        <v>0</v>
      </c>
      <c r="H17" s="291">
        <f t="shared" si="2"/>
        <v>25832.29</v>
      </c>
      <c r="I17" s="292"/>
    </row>
    <row r="18" spans="1:9" s="275" customFormat="1" ht="12.75" customHeight="1" x14ac:dyDescent="0.25">
      <c r="A18" s="286"/>
      <c r="B18" s="287"/>
      <c r="C18" s="288"/>
      <c r="D18" s="290"/>
      <c r="E18" s="290">
        <f t="shared" si="0"/>
        <v>25832.29</v>
      </c>
      <c r="F18" s="295"/>
      <c r="G18" s="291">
        <f t="shared" si="1"/>
        <v>0</v>
      </c>
      <c r="H18" s="291">
        <f t="shared" si="2"/>
        <v>25832.29</v>
      </c>
      <c r="I18" s="292"/>
    </row>
    <row r="19" spans="1:9" s="275" customFormat="1" ht="12.75" customHeight="1" x14ac:dyDescent="0.25">
      <c r="A19" s="286"/>
      <c r="B19" s="287"/>
      <c r="C19" s="288"/>
      <c r="D19" s="290"/>
      <c r="E19" s="290">
        <f t="shared" si="0"/>
        <v>25832.29</v>
      </c>
      <c r="F19" s="291"/>
      <c r="G19" s="291">
        <f t="shared" si="1"/>
        <v>0</v>
      </c>
      <c r="H19" s="291">
        <f t="shared" si="2"/>
        <v>25832.29</v>
      </c>
      <c r="I19" s="292"/>
    </row>
    <row r="20" spans="1:9" s="275" customFormat="1" ht="12.75" customHeight="1" x14ac:dyDescent="0.25">
      <c r="A20" s="286"/>
      <c r="B20" s="287"/>
      <c r="C20" s="288"/>
      <c r="D20" s="290"/>
      <c r="E20" s="290">
        <f t="shared" si="0"/>
        <v>25832.29</v>
      </c>
      <c r="F20" s="291"/>
      <c r="G20" s="291">
        <f t="shared" si="1"/>
        <v>0</v>
      </c>
      <c r="H20" s="291">
        <f t="shared" si="2"/>
        <v>25832.29</v>
      </c>
      <c r="I20" s="292"/>
    </row>
    <row r="21" spans="1:9" s="275" customFormat="1" ht="12.75" customHeight="1" x14ac:dyDescent="0.25">
      <c r="A21" s="286"/>
      <c r="B21" s="287"/>
      <c r="C21" s="296"/>
      <c r="D21" s="290"/>
      <c r="E21" s="290">
        <f t="shared" si="0"/>
        <v>25832.29</v>
      </c>
      <c r="F21" s="291"/>
      <c r="G21" s="291">
        <f t="shared" si="1"/>
        <v>0</v>
      </c>
      <c r="H21" s="291">
        <f t="shared" si="2"/>
        <v>25832.29</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25832.29</v>
      </c>
      <c r="E23" s="302"/>
      <c r="F23" s="302">
        <f>SUM(F9:F22)</f>
        <v>0</v>
      </c>
      <c r="G23" s="302"/>
      <c r="H23" s="302">
        <f>D23-F23</f>
        <v>25832.29</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25562.29</v>
      </c>
      <c r="E26" s="313"/>
      <c r="F26" s="313"/>
      <c r="G26" s="313"/>
      <c r="H26" s="313">
        <f>D26-F26</f>
        <v>25562.29</v>
      </c>
      <c r="I26" s="292"/>
    </row>
    <row r="27" spans="1:9" s="275" customFormat="1" ht="12.75" customHeight="1" x14ac:dyDescent="0.25">
      <c r="A27" s="286"/>
      <c r="B27" s="288"/>
      <c r="C27" s="312" t="s">
        <v>113</v>
      </c>
      <c r="D27" s="313">
        <v>270</v>
      </c>
      <c r="E27" s="313"/>
      <c r="F27" s="313"/>
      <c r="G27" s="313"/>
      <c r="H27" s="313">
        <f>D27-F27</f>
        <v>270</v>
      </c>
      <c r="I27" s="292"/>
    </row>
    <row r="28" spans="1:9" s="275" customFormat="1" ht="12.75" customHeight="1" thickBot="1" x14ac:dyDescent="0.3">
      <c r="A28" s="286"/>
      <c r="B28" s="288"/>
      <c r="C28" s="314" t="s">
        <v>67</v>
      </c>
      <c r="D28" s="315">
        <f>SUM(D26:D27)</f>
        <v>25832.29</v>
      </c>
      <c r="E28" s="316"/>
      <c r="F28" s="315">
        <f>SUM(F26:F27)</f>
        <v>0</v>
      </c>
      <c r="G28" s="316"/>
      <c r="H28" s="315">
        <f>SUM(H26:H27)</f>
        <v>25832.29</v>
      </c>
      <c r="I28" s="292"/>
    </row>
    <row r="29" spans="1:9" s="275" customFormat="1" ht="12.75" customHeight="1" thickTop="1" x14ac:dyDescent="0.25"/>
  </sheetData>
  <conditionalFormatting sqref="I8:I23">
    <cfRule type="cellIs" dxfId="1"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C698-269F-45B8-8A44-3FB623D459F9}">
  <sheetPr>
    <pageSetUpPr fitToPage="1"/>
  </sheetPr>
  <dimension ref="A1:I29"/>
  <sheetViews>
    <sheetView topLeftCell="A3" zoomScaleNormal="100" workbookViewId="0">
      <selection activeCell="K34" sqref="K3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#9483.00'!B1</f>
        <v>DVA IVH Dack and Malloy Building Roof Replacements</v>
      </c>
      <c r="B1" s="3"/>
      <c r="C1" s="4"/>
      <c r="D1" s="4"/>
      <c r="E1" s="4"/>
      <c r="F1" s="33"/>
      <c r="G1" s="33"/>
      <c r="H1" s="34"/>
      <c r="I1" s="34"/>
    </row>
    <row r="2" spans="1:9" ht="15.75" x14ac:dyDescent="0.25">
      <c r="A2" s="6" t="str">
        <f>'RECAP #9483.00'!B2</f>
        <v>Project # 9483.00</v>
      </c>
      <c r="B2" s="5"/>
      <c r="C2" s="4"/>
      <c r="D2" s="4"/>
      <c r="E2" s="4"/>
      <c r="F2" s="33"/>
      <c r="G2" s="33"/>
      <c r="H2" s="34"/>
      <c r="I2" s="34"/>
    </row>
    <row r="3" spans="1:9" ht="15.75" x14ac:dyDescent="0.25">
      <c r="A3" s="7" t="str">
        <f>'RECAP #9483.00'!B3</f>
        <v>Program code 948300</v>
      </c>
      <c r="B3" s="5"/>
      <c r="C3" s="4"/>
      <c r="D3" s="8" t="str">
        <f>'RECAP #9483.00'!E3</f>
        <v>Major Program 4D02</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108</v>
      </c>
      <c r="E5" s="44"/>
      <c r="F5" s="45"/>
      <c r="G5" s="46"/>
      <c r="H5" s="41"/>
      <c r="I5" s="34"/>
    </row>
    <row r="6" spans="1:9" ht="15.75" x14ac:dyDescent="0.25">
      <c r="A6" s="13" t="str">
        <f>'RECAP #9483.00'!B6</f>
        <v>Project Manager - Brad T.</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114</v>
      </c>
      <c r="B9" s="287">
        <v>45916</v>
      </c>
      <c r="C9" s="288" t="s">
        <v>111</v>
      </c>
      <c r="D9" s="289">
        <v>28802.14</v>
      </c>
      <c r="E9" s="290">
        <f>D9</f>
        <v>28802.14</v>
      </c>
      <c r="F9" s="291"/>
      <c r="G9" s="291"/>
      <c r="H9" s="291">
        <f>E9</f>
        <v>28802.14</v>
      </c>
      <c r="I9" s="292"/>
    </row>
    <row r="10" spans="1:9" s="275" customFormat="1" ht="12.75" customHeight="1" x14ac:dyDescent="0.25">
      <c r="A10" s="286" t="s">
        <v>298</v>
      </c>
      <c r="B10" s="293">
        <v>45947</v>
      </c>
      <c r="C10" s="288" t="s">
        <v>299</v>
      </c>
      <c r="D10" s="290"/>
      <c r="E10" s="290">
        <f t="shared" ref="E10:E21" si="0">E9+D10</f>
        <v>28802.14</v>
      </c>
      <c r="F10" s="294">
        <v>2681.52</v>
      </c>
      <c r="G10" s="291">
        <f t="shared" ref="G10:G21" si="1">G9+F10</f>
        <v>2681.52</v>
      </c>
      <c r="H10" s="291">
        <f t="shared" ref="H10:H21" si="2">H9-F10+D10</f>
        <v>26120.62</v>
      </c>
      <c r="I10" s="292"/>
    </row>
    <row r="11" spans="1:9" s="275" customFormat="1" ht="12.75" customHeight="1" x14ac:dyDescent="0.25">
      <c r="A11" s="286" t="s">
        <v>347</v>
      </c>
      <c r="B11" s="287">
        <v>45994</v>
      </c>
      <c r="C11" s="288" t="s">
        <v>348</v>
      </c>
      <c r="D11" s="290"/>
      <c r="E11" s="290">
        <f t="shared" si="0"/>
        <v>28802.14</v>
      </c>
      <c r="F11" s="294">
        <v>1660.86</v>
      </c>
      <c r="G11" s="291">
        <f t="shared" si="1"/>
        <v>4342.38</v>
      </c>
      <c r="H11" s="291">
        <f t="shared" si="2"/>
        <v>24459.759999999998</v>
      </c>
      <c r="I11" s="292"/>
    </row>
    <row r="12" spans="1:9" s="275" customFormat="1" ht="12.75" customHeight="1" x14ac:dyDescent="0.25">
      <c r="A12" s="286" t="s">
        <v>381</v>
      </c>
      <c r="B12" s="287">
        <v>46013</v>
      </c>
      <c r="C12" s="288" t="s">
        <v>382</v>
      </c>
      <c r="D12" s="290"/>
      <c r="E12" s="290">
        <f t="shared" si="0"/>
        <v>28802.14</v>
      </c>
      <c r="F12" s="294">
        <v>2057.7600000000002</v>
      </c>
      <c r="G12" s="291">
        <f t="shared" si="1"/>
        <v>6400.14</v>
      </c>
      <c r="H12" s="291">
        <f t="shared" si="2"/>
        <v>22402</v>
      </c>
      <c r="I12" s="292"/>
    </row>
    <row r="13" spans="1:9" s="275" customFormat="1" ht="12.75" customHeight="1" x14ac:dyDescent="0.25">
      <c r="A13" s="286" t="s">
        <v>476</v>
      </c>
      <c r="B13" s="287">
        <v>46048</v>
      </c>
      <c r="C13" s="288" t="s">
        <v>477</v>
      </c>
      <c r="D13" s="290"/>
      <c r="E13" s="290">
        <f t="shared" si="0"/>
        <v>28802.14</v>
      </c>
      <c r="F13" s="294">
        <v>3636.54</v>
      </c>
      <c r="G13" s="291">
        <f t="shared" si="1"/>
        <v>10036.68</v>
      </c>
      <c r="H13" s="291">
        <f t="shared" si="2"/>
        <v>18765.46</v>
      </c>
      <c r="I13" s="292"/>
    </row>
    <row r="14" spans="1:9" s="275" customFormat="1" ht="12.75" customHeight="1" x14ac:dyDescent="0.25">
      <c r="A14" s="286" t="s">
        <v>602</v>
      </c>
      <c r="B14" s="287">
        <v>46077</v>
      </c>
      <c r="C14" s="288" t="s">
        <v>603</v>
      </c>
      <c r="D14" s="290"/>
      <c r="E14" s="290">
        <f t="shared" si="0"/>
        <v>28802.14</v>
      </c>
      <c r="F14" s="294">
        <v>4439.1099999999997</v>
      </c>
      <c r="G14" s="291">
        <f t="shared" si="1"/>
        <v>14475.79</v>
      </c>
      <c r="H14" s="291">
        <f t="shared" si="2"/>
        <v>14326.349999999999</v>
      </c>
      <c r="I14" s="292"/>
    </row>
    <row r="15" spans="1:9" s="275" customFormat="1" ht="12.75" customHeight="1" x14ac:dyDescent="0.25">
      <c r="A15" s="286" t="s">
        <v>698</v>
      </c>
      <c r="B15" s="287">
        <v>46101</v>
      </c>
      <c r="C15" s="288" t="s">
        <v>699</v>
      </c>
      <c r="D15" s="290"/>
      <c r="E15" s="290">
        <f t="shared" si="0"/>
        <v>28802.14</v>
      </c>
      <c r="F15" s="294">
        <v>6508.76</v>
      </c>
      <c r="G15" s="291">
        <f t="shared" si="1"/>
        <v>20984.550000000003</v>
      </c>
      <c r="H15" s="291">
        <f t="shared" si="2"/>
        <v>7817.5899999999983</v>
      </c>
      <c r="I15" s="292"/>
    </row>
    <row r="16" spans="1:9" s="275" customFormat="1" ht="12.75" customHeight="1" x14ac:dyDescent="0.25">
      <c r="A16" s="286"/>
      <c r="B16" s="287"/>
      <c r="C16" s="288"/>
      <c r="D16" s="290"/>
      <c r="E16" s="290">
        <f t="shared" si="0"/>
        <v>28802.14</v>
      </c>
      <c r="F16" s="295"/>
      <c r="G16" s="291">
        <f t="shared" si="1"/>
        <v>20984.550000000003</v>
      </c>
      <c r="H16" s="291">
        <f t="shared" si="2"/>
        <v>7817.5899999999983</v>
      </c>
      <c r="I16" s="292"/>
    </row>
    <row r="17" spans="1:9" s="275" customFormat="1" ht="12.75" customHeight="1" x14ac:dyDescent="0.25">
      <c r="A17" s="286"/>
      <c r="B17" s="287"/>
      <c r="C17" s="288"/>
      <c r="D17" s="290"/>
      <c r="E17" s="290">
        <f t="shared" si="0"/>
        <v>28802.14</v>
      </c>
      <c r="F17" s="295"/>
      <c r="G17" s="291">
        <f t="shared" si="1"/>
        <v>20984.550000000003</v>
      </c>
      <c r="H17" s="291">
        <f t="shared" si="2"/>
        <v>7817.5899999999983</v>
      </c>
      <c r="I17" s="292"/>
    </row>
    <row r="18" spans="1:9" s="275" customFormat="1" ht="12.75" customHeight="1" x14ac:dyDescent="0.25">
      <c r="A18" s="286"/>
      <c r="B18" s="287"/>
      <c r="C18" s="288"/>
      <c r="D18" s="290"/>
      <c r="E18" s="290">
        <f t="shared" si="0"/>
        <v>28802.14</v>
      </c>
      <c r="F18" s="295"/>
      <c r="G18" s="291">
        <f t="shared" si="1"/>
        <v>20984.550000000003</v>
      </c>
      <c r="H18" s="291">
        <f t="shared" si="2"/>
        <v>7817.5899999999983</v>
      </c>
      <c r="I18" s="292"/>
    </row>
    <row r="19" spans="1:9" s="275" customFormat="1" ht="12.75" customHeight="1" x14ac:dyDescent="0.25">
      <c r="A19" s="286"/>
      <c r="B19" s="287"/>
      <c r="C19" s="288"/>
      <c r="D19" s="290"/>
      <c r="E19" s="290">
        <f t="shared" si="0"/>
        <v>28802.14</v>
      </c>
      <c r="F19" s="291"/>
      <c r="G19" s="291">
        <f t="shared" si="1"/>
        <v>20984.550000000003</v>
      </c>
      <c r="H19" s="291">
        <f t="shared" si="2"/>
        <v>7817.5899999999983</v>
      </c>
      <c r="I19" s="292"/>
    </row>
    <row r="20" spans="1:9" s="275" customFormat="1" ht="12.75" customHeight="1" x14ac:dyDescent="0.25">
      <c r="A20" s="286"/>
      <c r="B20" s="287"/>
      <c r="C20" s="288"/>
      <c r="D20" s="290"/>
      <c r="E20" s="290">
        <f t="shared" si="0"/>
        <v>28802.14</v>
      </c>
      <c r="F20" s="291"/>
      <c r="G20" s="291">
        <f t="shared" si="1"/>
        <v>20984.550000000003</v>
      </c>
      <c r="H20" s="291">
        <f t="shared" si="2"/>
        <v>7817.5899999999983</v>
      </c>
      <c r="I20" s="292"/>
    </row>
    <row r="21" spans="1:9" s="275" customFormat="1" ht="12.75" customHeight="1" x14ac:dyDescent="0.25">
      <c r="A21" s="286"/>
      <c r="B21" s="287"/>
      <c r="C21" s="296"/>
      <c r="D21" s="290"/>
      <c r="E21" s="290">
        <f t="shared" si="0"/>
        <v>28802.14</v>
      </c>
      <c r="F21" s="291"/>
      <c r="G21" s="291">
        <f t="shared" si="1"/>
        <v>20984.550000000003</v>
      </c>
      <c r="H21" s="291">
        <f t="shared" si="2"/>
        <v>7817.5899999999983</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28802.14</v>
      </c>
      <c r="E23" s="302"/>
      <c r="F23" s="302">
        <f>SUM(F9:F22)</f>
        <v>20984.550000000003</v>
      </c>
      <c r="G23" s="302"/>
      <c r="H23" s="302">
        <f>D23-F23</f>
        <v>7817.5899999999965</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27302.14</v>
      </c>
      <c r="E26" s="313"/>
      <c r="F26" s="313">
        <f>2681.52+1609.36+2057.76+3636.54+4439.11+6405.76</f>
        <v>20830.050000000003</v>
      </c>
      <c r="G26" s="313"/>
      <c r="H26" s="313">
        <f>D26-F26</f>
        <v>6472.0899999999965</v>
      </c>
      <c r="I26" s="292"/>
    </row>
    <row r="27" spans="1:9" s="275" customFormat="1" ht="12.75" customHeight="1" x14ac:dyDescent="0.25">
      <c r="A27" s="286"/>
      <c r="B27" s="288"/>
      <c r="C27" s="312" t="s">
        <v>113</v>
      </c>
      <c r="D27" s="313">
        <v>1500</v>
      </c>
      <c r="E27" s="313"/>
      <c r="F27" s="313">
        <f>51.5+103</f>
        <v>154.5</v>
      </c>
      <c r="G27" s="313"/>
      <c r="H27" s="313">
        <f>D27-F27</f>
        <v>1345.5</v>
      </c>
      <c r="I27" s="292"/>
    </row>
    <row r="28" spans="1:9" s="275" customFormat="1" ht="12.75" customHeight="1" thickBot="1" x14ac:dyDescent="0.3">
      <c r="A28" s="286"/>
      <c r="B28" s="288"/>
      <c r="C28" s="314" t="s">
        <v>67</v>
      </c>
      <c r="D28" s="315">
        <f>SUM(D26:D27)</f>
        <v>28802.14</v>
      </c>
      <c r="E28" s="316"/>
      <c r="F28" s="315">
        <f>SUM(F26:F27)</f>
        <v>20984.550000000003</v>
      </c>
      <c r="G28" s="316"/>
      <c r="H28" s="315">
        <f>SUM(H26:H27)</f>
        <v>7817.5899999999965</v>
      </c>
      <c r="I28" s="292"/>
    </row>
    <row r="29" spans="1:9" s="275" customFormat="1" ht="12.75" customHeight="1" thickTop="1" x14ac:dyDescent="0.25"/>
  </sheetData>
  <conditionalFormatting sqref="I8:I23">
    <cfRule type="cellIs" dxfId="52"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FC11A-AB24-4F04-B6F1-6D479013E1C9}">
  <sheetPr>
    <pageSetUpPr fitToPage="1"/>
  </sheetPr>
  <dimension ref="A1:J25"/>
  <sheetViews>
    <sheetView zoomScaleNormal="100" workbookViewId="0">
      <selection activeCell="P15" sqref="P15:P16"/>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#9530.00'!B1</f>
        <v>DOC FDCF Unit L Pre-Cast Sealant &amp; Warehouse W Freezer Floor Repair</v>
      </c>
      <c r="B1" s="3"/>
      <c r="C1" s="3"/>
      <c r="D1" s="4"/>
      <c r="E1" s="4"/>
      <c r="F1" s="4"/>
      <c r="G1" s="33"/>
      <c r="H1" s="33"/>
      <c r="I1" s="34"/>
      <c r="J1" s="34"/>
    </row>
    <row r="2" spans="1:10" ht="15.75" x14ac:dyDescent="0.25">
      <c r="A2" s="6" t="str">
        <f>'RECAP #9530.00'!B2</f>
        <v>Project # 9530.00</v>
      </c>
      <c r="B2" s="5"/>
      <c r="C2" s="5"/>
      <c r="D2" s="4"/>
      <c r="E2" s="4"/>
      <c r="F2" s="4"/>
      <c r="G2" s="33"/>
      <c r="H2" s="33"/>
      <c r="I2" s="34"/>
      <c r="J2" s="34"/>
    </row>
    <row r="3" spans="1:10" ht="15.75" x14ac:dyDescent="0.25">
      <c r="A3" s="7" t="str">
        <f>'RECAP #9530.00'!B3</f>
        <v>Program code 953000</v>
      </c>
      <c r="B3" s="5"/>
      <c r="C3" s="5"/>
      <c r="D3" s="4"/>
      <c r="E3" s="8" t="str">
        <f>'RECAP #9530.00'!E3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536</v>
      </c>
      <c r="F6" s="49"/>
      <c r="G6" s="50"/>
      <c r="H6" s="46"/>
      <c r="I6" s="41"/>
      <c r="J6" s="34"/>
    </row>
    <row r="7" spans="1:10" ht="15.75" x14ac:dyDescent="0.25">
      <c r="A7" s="13" t="str">
        <f>'RECAP #9530.00'!B6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7500</v>
      </c>
      <c r="F9" s="290">
        <f>E9</f>
        <v>7500</v>
      </c>
      <c r="G9" s="291"/>
      <c r="H9" s="291"/>
      <c r="I9" s="291">
        <f>F9</f>
        <v>7500</v>
      </c>
      <c r="J9" s="292"/>
    </row>
    <row r="10" spans="1:10" s="275" customFormat="1" ht="12.75" customHeight="1" x14ac:dyDescent="0.2">
      <c r="A10" s="213" t="s">
        <v>663</v>
      </c>
      <c r="B10" s="214">
        <v>46090</v>
      </c>
      <c r="C10" s="332" t="s">
        <v>269</v>
      </c>
      <c r="D10" s="175" t="s">
        <v>664</v>
      </c>
      <c r="E10" s="290"/>
      <c r="F10" s="290">
        <f t="shared" ref="F10:F21" si="0">F9+E10</f>
        <v>7500</v>
      </c>
      <c r="G10" s="294">
        <v>49.67</v>
      </c>
      <c r="H10" s="291">
        <f t="shared" ref="H10:H21" si="1">H9+G10</f>
        <v>49.67</v>
      </c>
      <c r="I10" s="291">
        <f t="shared" ref="I10:I21" si="2">I9-G10+E10</f>
        <v>7450.33</v>
      </c>
      <c r="J10" s="292"/>
    </row>
    <row r="11" spans="1:10" s="275" customFormat="1" ht="12.75" customHeight="1" x14ac:dyDescent="0.2">
      <c r="A11" s="213" t="s">
        <v>663</v>
      </c>
      <c r="B11" s="214">
        <v>46090</v>
      </c>
      <c r="C11" s="333">
        <v>9500</v>
      </c>
      <c r="D11" s="78" t="s">
        <v>665</v>
      </c>
      <c r="E11" s="290"/>
      <c r="F11" s="290">
        <f t="shared" si="0"/>
        <v>7500</v>
      </c>
      <c r="G11" s="294">
        <v>576.79999999999995</v>
      </c>
      <c r="H11" s="291">
        <f t="shared" si="1"/>
        <v>626.46999999999991</v>
      </c>
      <c r="I11" s="291">
        <f t="shared" si="2"/>
        <v>6873.53</v>
      </c>
      <c r="J11" s="292"/>
    </row>
    <row r="12" spans="1:10" s="275" customFormat="1" ht="12.75" customHeight="1" x14ac:dyDescent="0.25">
      <c r="A12" s="317"/>
      <c r="B12" s="287"/>
      <c r="C12" s="287"/>
      <c r="D12" s="297"/>
      <c r="E12" s="290"/>
      <c r="F12" s="290">
        <f t="shared" si="0"/>
        <v>7500</v>
      </c>
      <c r="G12" s="295"/>
      <c r="H12" s="291">
        <f t="shared" si="1"/>
        <v>626.46999999999991</v>
      </c>
      <c r="I12" s="291">
        <f t="shared" si="2"/>
        <v>6873.53</v>
      </c>
      <c r="J12" s="292"/>
    </row>
    <row r="13" spans="1:10" s="275" customFormat="1" ht="12.75" customHeight="1" x14ac:dyDescent="0.25">
      <c r="A13" s="317"/>
      <c r="B13" s="287"/>
      <c r="C13" s="287"/>
      <c r="D13" s="297"/>
      <c r="E13" s="290"/>
      <c r="F13" s="290">
        <f t="shared" si="0"/>
        <v>7500</v>
      </c>
      <c r="G13" s="295"/>
      <c r="H13" s="291">
        <f t="shared" si="1"/>
        <v>626.46999999999991</v>
      </c>
      <c r="I13" s="291">
        <f t="shared" si="2"/>
        <v>6873.53</v>
      </c>
      <c r="J13" s="292"/>
    </row>
    <row r="14" spans="1:10" s="275" customFormat="1" ht="12.75" customHeight="1" x14ac:dyDescent="0.25">
      <c r="A14" s="317"/>
      <c r="B14" s="287"/>
      <c r="C14" s="287"/>
      <c r="D14" s="297"/>
      <c r="E14" s="290"/>
      <c r="F14" s="290">
        <f t="shared" si="0"/>
        <v>7500</v>
      </c>
      <c r="G14" s="291"/>
      <c r="H14" s="291">
        <f t="shared" si="1"/>
        <v>626.46999999999991</v>
      </c>
      <c r="I14" s="291">
        <f t="shared" si="2"/>
        <v>6873.53</v>
      </c>
      <c r="J14" s="292"/>
    </row>
    <row r="15" spans="1:10" s="275" customFormat="1" ht="12.75" customHeight="1" x14ac:dyDescent="0.25">
      <c r="A15" s="317"/>
      <c r="B15" s="287"/>
      <c r="C15" s="287"/>
      <c r="D15" s="297"/>
      <c r="E15" s="290"/>
      <c r="F15" s="290">
        <f t="shared" si="0"/>
        <v>7500</v>
      </c>
      <c r="G15" s="295"/>
      <c r="H15" s="291">
        <f t="shared" si="1"/>
        <v>626.46999999999991</v>
      </c>
      <c r="I15" s="291">
        <f t="shared" si="2"/>
        <v>6873.53</v>
      </c>
      <c r="J15" s="292"/>
    </row>
    <row r="16" spans="1:10" s="275" customFormat="1" ht="12.75" customHeight="1" x14ac:dyDescent="0.25">
      <c r="A16" s="317"/>
      <c r="B16" s="287"/>
      <c r="C16" s="287"/>
      <c r="D16" s="297"/>
      <c r="E16" s="290"/>
      <c r="F16" s="290">
        <f t="shared" si="0"/>
        <v>7500</v>
      </c>
      <c r="G16" s="295"/>
      <c r="H16" s="291">
        <f t="shared" si="1"/>
        <v>626.46999999999991</v>
      </c>
      <c r="I16" s="291">
        <f t="shared" si="2"/>
        <v>6873.53</v>
      </c>
      <c r="J16" s="292"/>
    </row>
    <row r="17" spans="1:10" s="275" customFormat="1" ht="12.75" customHeight="1" x14ac:dyDescent="0.25">
      <c r="A17" s="317"/>
      <c r="B17" s="287"/>
      <c r="C17" s="287"/>
      <c r="D17" s="297"/>
      <c r="E17" s="290"/>
      <c r="F17" s="290">
        <f t="shared" si="0"/>
        <v>7500</v>
      </c>
      <c r="G17" s="295"/>
      <c r="H17" s="291">
        <f t="shared" si="1"/>
        <v>626.46999999999991</v>
      </c>
      <c r="I17" s="291">
        <f t="shared" si="2"/>
        <v>6873.53</v>
      </c>
      <c r="J17" s="292"/>
    </row>
    <row r="18" spans="1:10" s="275" customFormat="1" ht="12.75" customHeight="1" x14ac:dyDescent="0.25">
      <c r="A18" s="317"/>
      <c r="B18" s="287"/>
      <c r="C18" s="287"/>
      <c r="D18" s="297"/>
      <c r="E18" s="290"/>
      <c r="F18" s="290">
        <f t="shared" si="0"/>
        <v>7500</v>
      </c>
      <c r="G18" s="295"/>
      <c r="H18" s="291">
        <f t="shared" si="1"/>
        <v>626.46999999999991</v>
      </c>
      <c r="I18" s="291">
        <f t="shared" si="2"/>
        <v>6873.53</v>
      </c>
      <c r="J18" s="292"/>
    </row>
    <row r="19" spans="1:10" s="275" customFormat="1" ht="12.75" customHeight="1" x14ac:dyDescent="0.25">
      <c r="A19" s="298"/>
      <c r="B19" s="287"/>
      <c r="C19" s="287"/>
      <c r="D19" s="297"/>
      <c r="E19" s="290"/>
      <c r="F19" s="290">
        <f t="shared" si="0"/>
        <v>7500</v>
      </c>
      <c r="G19" s="291"/>
      <c r="H19" s="291">
        <f t="shared" si="1"/>
        <v>626.46999999999991</v>
      </c>
      <c r="I19" s="291">
        <f t="shared" si="2"/>
        <v>6873.53</v>
      </c>
      <c r="J19" s="292"/>
    </row>
    <row r="20" spans="1:10" s="275" customFormat="1" ht="12.75" customHeight="1" x14ac:dyDescent="0.25">
      <c r="A20" s="298"/>
      <c r="B20" s="287"/>
      <c r="C20" s="287"/>
      <c r="D20" s="297"/>
      <c r="E20" s="290"/>
      <c r="F20" s="290">
        <f t="shared" si="0"/>
        <v>7500</v>
      </c>
      <c r="G20" s="291"/>
      <c r="H20" s="291">
        <f t="shared" si="1"/>
        <v>626.46999999999991</v>
      </c>
      <c r="I20" s="291">
        <f t="shared" si="2"/>
        <v>6873.53</v>
      </c>
      <c r="J20" s="292"/>
    </row>
    <row r="21" spans="1:10" s="275" customFormat="1" ht="12.75" customHeight="1" x14ac:dyDescent="0.25">
      <c r="A21" s="298"/>
      <c r="B21" s="287"/>
      <c r="C21" s="287"/>
      <c r="D21" s="318"/>
      <c r="E21" s="290"/>
      <c r="F21" s="290">
        <f t="shared" si="0"/>
        <v>7500</v>
      </c>
      <c r="G21" s="291"/>
      <c r="H21" s="291">
        <f t="shared" si="1"/>
        <v>626.46999999999991</v>
      </c>
      <c r="I21" s="291">
        <f t="shared" si="2"/>
        <v>6873.53</v>
      </c>
      <c r="J21" s="292"/>
    </row>
    <row r="22" spans="1:10" s="275" customFormat="1" ht="12.75" customHeight="1" x14ac:dyDescent="0.25">
      <c r="A22" s="286"/>
      <c r="B22" s="288"/>
      <c r="C22" s="288"/>
      <c r="D22" s="297"/>
      <c r="E22" s="291"/>
      <c r="F22" s="291"/>
      <c r="G22" s="291"/>
      <c r="H22" s="291"/>
      <c r="I22" s="291"/>
      <c r="J22" s="292"/>
    </row>
    <row r="23" spans="1:10" s="275" customFormat="1" ht="12.75" customHeight="1" thickBot="1" x14ac:dyDescent="0.3">
      <c r="A23" s="286"/>
      <c r="B23" s="300"/>
      <c r="C23" s="300"/>
      <c r="D23" s="301" t="s">
        <v>24</v>
      </c>
      <c r="E23" s="302">
        <f>SUM(E9:E22)</f>
        <v>7500</v>
      </c>
      <c r="F23" s="302"/>
      <c r="G23" s="302">
        <f>SUM(G9:G22)</f>
        <v>626.46999999999991</v>
      </c>
      <c r="H23" s="302"/>
      <c r="I23" s="302">
        <f>E23-G23</f>
        <v>6873.53</v>
      </c>
      <c r="J23" s="292"/>
    </row>
    <row r="24" spans="1:10" s="275" customFormat="1" ht="12.75" customHeight="1" thickTop="1" x14ac:dyDescent="0.25"/>
    <row r="25" spans="1:10" s="275"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DC9A-CC41-4753-A4B7-6717B22E629B}">
  <sheetPr>
    <tabColor indexed="30"/>
    <pageSetUpPr fitToPage="1"/>
  </sheetPr>
  <dimension ref="A1:H23"/>
  <sheetViews>
    <sheetView zoomScaleNormal="100" workbookViewId="0">
      <selection activeCell="L28" sqref="L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#9530.00'!B1</f>
        <v>DOC FDCF Unit L Pre-Cast Sealant &amp; Warehouse W Freezer Floor Repair</v>
      </c>
      <c r="B1" s="3"/>
      <c r="C1" s="3"/>
      <c r="D1" s="3"/>
      <c r="E1" s="4"/>
      <c r="F1" s="4"/>
      <c r="G1" s="4"/>
      <c r="H1" s="33"/>
    </row>
    <row r="2" spans="1:8" ht="15.75" x14ac:dyDescent="0.25">
      <c r="A2" s="6" t="str">
        <f>'RECAP #9530.00'!B2</f>
        <v>Project # 9530.00</v>
      </c>
      <c r="B2" s="5"/>
      <c r="C2" s="5"/>
      <c r="D2" s="5"/>
      <c r="E2" s="4"/>
      <c r="F2" s="4"/>
      <c r="G2" s="4"/>
      <c r="H2" s="33"/>
    </row>
    <row r="3" spans="1:8" ht="15.75" x14ac:dyDescent="0.25">
      <c r="A3" s="7" t="str">
        <f>'RECAP #9530.00'!B3</f>
        <v>Program code 953000</v>
      </c>
      <c r="B3" s="5"/>
      <c r="C3" s="5"/>
      <c r="D3" s="5"/>
      <c r="E3" s="8" t="str">
        <f>'RECAP #9530.00'!E3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#9530.00'!B6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8F197-273E-489B-B992-24C776CEDD97}">
  <sheetPr>
    <tabColor rgb="FF0070C0"/>
    <pageSetUpPr fitToPage="1"/>
  </sheetPr>
  <dimension ref="A1:G15"/>
  <sheetViews>
    <sheetView zoomScaleNormal="100" workbookViewId="0">
      <selection activeCell="L28" sqref="L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356</v>
      </c>
      <c r="C1" s="3"/>
      <c r="D1" s="4"/>
      <c r="E1" s="4"/>
      <c r="F1" s="4"/>
      <c r="G1" s="4"/>
    </row>
    <row r="2" spans="1:7" ht="15.75" x14ac:dyDescent="0.25">
      <c r="A2" s="1"/>
      <c r="B2" s="6" t="s">
        <v>276</v>
      </c>
      <c r="C2" s="5"/>
      <c r="D2" s="4"/>
      <c r="E2" s="4"/>
      <c r="F2" s="4"/>
      <c r="G2" s="4"/>
    </row>
    <row r="3" spans="1:7" ht="15.75" x14ac:dyDescent="0.25">
      <c r="A3" s="1"/>
      <c r="B3" s="7" t="s">
        <v>277</v>
      </c>
      <c r="C3" s="5"/>
      <c r="D3" s="4"/>
      <c r="E3" s="8" t="s">
        <v>279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278</v>
      </c>
      <c r="C6" s="14"/>
      <c r="D6" s="15" t="s">
        <v>2</v>
      </c>
      <c r="E6" s="16"/>
      <c r="F6" s="16"/>
      <c r="G6" s="16"/>
    </row>
    <row r="7" spans="1:7" ht="39" customHeight="1" thickBot="1" x14ac:dyDescent="0.3">
      <c r="A7" s="1"/>
      <c r="B7" s="18" t="s">
        <v>2</v>
      </c>
      <c r="C7" s="19" t="s">
        <v>3</v>
      </c>
      <c r="D7" s="20" t="s">
        <v>4</v>
      </c>
      <c r="E7" s="21" t="s">
        <v>5</v>
      </c>
      <c r="F7" s="22" t="s">
        <v>6</v>
      </c>
      <c r="G7" s="22" t="s">
        <v>7</v>
      </c>
    </row>
    <row r="8" spans="1:7" ht="28.35" customHeight="1" x14ac:dyDescent="0.25">
      <c r="A8" s="1"/>
      <c r="B8" s="1" t="s">
        <v>8</v>
      </c>
      <c r="C8" s="23"/>
      <c r="D8" s="24"/>
      <c r="E8" s="24"/>
      <c r="F8" s="24"/>
      <c r="G8" s="25"/>
    </row>
    <row r="9" spans="1:7" s="275" customFormat="1" ht="12.75" customHeight="1" x14ac:dyDescent="0.25">
      <c r="A9" s="303"/>
      <c r="B9" s="304"/>
      <c r="C9" s="331"/>
      <c r="D9" s="306"/>
      <c r="E9" s="306"/>
      <c r="F9" s="306"/>
      <c r="G9" s="307"/>
    </row>
    <row r="10" spans="1:7" s="275" customFormat="1" ht="12.75" customHeight="1" x14ac:dyDescent="0.25">
      <c r="A10" s="303"/>
      <c r="B10" s="304" t="s">
        <v>9</v>
      </c>
      <c r="C10" s="305"/>
      <c r="D10" s="308">
        <f>'#XXXX.XX Vendor A'!D23</f>
        <v>0</v>
      </c>
      <c r="E10" s="308">
        <f>'#XXXX.XX Vendor A'!F23</f>
        <v>0</v>
      </c>
      <c r="F10" s="308">
        <f>'#XXXX.XX Vendor A'!H23</f>
        <v>0</v>
      </c>
      <c r="G10" s="307"/>
    </row>
    <row r="11" spans="1:7" s="275" customFormat="1" ht="12.75" customHeight="1" x14ac:dyDescent="0.25">
      <c r="A11" s="303"/>
      <c r="B11" s="304" t="s">
        <v>10</v>
      </c>
      <c r="C11" s="305"/>
      <c r="D11" s="308">
        <f>'#XXXX.XX PM TIME'!E23</f>
        <v>0</v>
      </c>
      <c r="E11" s="308">
        <f>'#XXXX.XX PM TIME'!G23</f>
        <v>0</v>
      </c>
      <c r="F11" s="308">
        <f>'#XXXX.XX PM TIME'!I23</f>
        <v>0</v>
      </c>
      <c r="G11" s="307"/>
    </row>
    <row r="12" spans="1:7" s="275" customFormat="1" ht="12.75" customHeight="1" x14ac:dyDescent="0.25">
      <c r="A12" s="303"/>
      <c r="B12" s="304" t="s">
        <v>11</v>
      </c>
      <c r="C12" s="306"/>
      <c r="D12" s="309">
        <f>'#XXXX.XX Misc'!G22</f>
        <v>0</v>
      </c>
      <c r="E12" s="309">
        <f>'#XXXX.XX Misc'!G22</f>
        <v>0</v>
      </c>
      <c r="F12" s="308">
        <f>D12-E12</f>
        <v>0</v>
      </c>
      <c r="G12" s="307"/>
    </row>
    <row r="13" spans="1:7" s="275" customFormat="1" ht="12.75" customHeight="1" x14ac:dyDescent="0.25">
      <c r="A13" s="310"/>
      <c r="B13" s="304"/>
      <c r="C13" s="306"/>
      <c r="D13" s="309"/>
      <c r="E13" s="309"/>
      <c r="F13" s="308"/>
      <c r="G13" s="311"/>
    </row>
    <row r="14" spans="1:7" ht="24" customHeight="1" thickBot="1" x14ac:dyDescent="0.3">
      <c r="A14" s="30"/>
      <c r="B14" s="31" t="s">
        <v>12</v>
      </c>
      <c r="C14" s="32">
        <f>SUM(C8:C13)</f>
        <v>0</v>
      </c>
      <c r="D14" s="32">
        <f>SUM(D8:D13)</f>
        <v>0</v>
      </c>
      <c r="E14" s="32">
        <f>SUM(E8:E13)</f>
        <v>0</v>
      </c>
      <c r="F14" s="32">
        <f>SUM(D14-E14)</f>
        <v>0</v>
      </c>
      <c r="G14" s="32">
        <f>C8-D14</f>
        <v>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1024-895B-4305-970E-4844208FBF57}">
  <sheetPr>
    <tabColor rgb="FF0070C0"/>
    <pageSetUpPr fitToPage="1"/>
  </sheetPr>
  <dimension ref="A1:I29"/>
  <sheetViews>
    <sheetView zoomScaleNormal="100" workbookViewId="0">
      <selection activeCell="L28" sqref="L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#XXXX.XX '!B1</f>
        <v>Project Title</v>
      </c>
      <c r="B1" s="3"/>
      <c r="C1" s="4"/>
      <c r="D1" s="4"/>
      <c r="E1" s="4"/>
      <c r="F1" s="33"/>
      <c r="G1" s="33"/>
      <c r="H1" s="34"/>
      <c r="I1" s="34"/>
    </row>
    <row r="2" spans="1:9" ht="15.75" x14ac:dyDescent="0.25">
      <c r="A2" s="6" t="str">
        <f>'RECAP #XXXX.XX '!B2</f>
        <v>Project # XXXX.XX</v>
      </c>
      <c r="B2" s="5"/>
      <c r="C2" s="4"/>
      <c r="D2" s="4"/>
      <c r="E2" s="4"/>
      <c r="F2" s="33"/>
      <c r="G2" s="33"/>
      <c r="H2" s="34"/>
      <c r="I2" s="34"/>
    </row>
    <row r="3" spans="1:9" ht="15.75" x14ac:dyDescent="0.25">
      <c r="A3" s="7" t="str">
        <f>'RECAP #XXXX.XX '!B3</f>
        <v>Program code XXXXXX</v>
      </c>
      <c r="B3" s="5"/>
      <c r="C3" s="4"/>
      <c r="D3" s="8" t="str">
        <f>'RECAP #XXXX.XX '!E3</f>
        <v xml:space="preserve">Major Program </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#XXXX.XX '!B6</f>
        <v xml:space="preserve">Project Manager - </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c r="B9" s="287"/>
      <c r="C9" s="288"/>
      <c r="D9" s="330"/>
      <c r="E9" s="290">
        <f>D9</f>
        <v>0</v>
      </c>
      <c r="F9" s="291"/>
      <c r="G9" s="291"/>
      <c r="H9" s="291">
        <f>E9</f>
        <v>0</v>
      </c>
      <c r="I9" s="292"/>
    </row>
    <row r="10" spans="1:9" s="275" customFormat="1" ht="12.75" customHeight="1" x14ac:dyDescent="0.25">
      <c r="A10" s="286"/>
      <c r="B10" s="293"/>
      <c r="C10" s="288"/>
      <c r="D10" s="290"/>
      <c r="E10" s="290">
        <f t="shared" ref="E10:E21" si="0">E9+D10</f>
        <v>0</v>
      </c>
      <c r="F10" s="295"/>
      <c r="G10" s="291">
        <f t="shared" ref="G10:G21" si="1">G9+F10</f>
        <v>0</v>
      </c>
      <c r="H10" s="291">
        <f t="shared" ref="H10:H21" si="2">H9-F10+D10</f>
        <v>0</v>
      </c>
      <c r="I10" s="292"/>
    </row>
    <row r="11" spans="1:9" s="275" customFormat="1" ht="12.75" customHeight="1" x14ac:dyDescent="0.25">
      <c r="A11" s="286"/>
      <c r="B11" s="287"/>
      <c r="C11" s="288"/>
      <c r="D11" s="290"/>
      <c r="E11" s="290">
        <f t="shared" si="0"/>
        <v>0</v>
      </c>
      <c r="F11" s="295"/>
      <c r="G11" s="291">
        <f t="shared" si="1"/>
        <v>0</v>
      </c>
      <c r="H11" s="291">
        <f t="shared" si="2"/>
        <v>0</v>
      </c>
      <c r="I11" s="292"/>
    </row>
    <row r="12" spans="1:9" s="275" customFormat="1" ht="12.75" customHeight="1" x14ac:dyDescent="0.25">
      <c r="A12" s="286"/>
      <c r="B12" s="287"/>
      <c r="C12" s="288"/>
      <c r="D12" s="290"/>
      <c r="E12" s="290">
        <f t="shared" si="0"/>
        <v>0</v>
      </c>
      <c r="F12" s="295"/>
      <c r="G12" s="291">
        <f t="shared" si="1"/>
        <v>0</v>
      </c>
      <c r="H12" s="291">
        <f t="shared" si="2"/>
        <v>0</v>
      </c>
      <c r="I12" s="292"/>
    </row>
    <row r="13" spans="1:9" s="275" customFormat="1" ht="12.75" customHeight="1" x14ac:dyDescent="0.25">
      <c r="A13" s="286"/>
      <c r="B13" s="287"/>
      <c r="C13" s="288"/>
      <c r="D13" s="290"/>
      <c r="E13" s="290">
        <f t="shared" si="0"/>
        <v>0</v>
      </c>
      <c r="F13" s="295"/>
      <c r="G13" s="291">
        <f t="shared" si="1"/>
        <v>0</v>
      </c>
      <c r="H13" s="291">
        <f t="shared" si="2"/>
        <v>0</v>
      </c>
      <c r="I13" s="292"/>
    </row>
    <row r="14" spans="1:9" s="275" customFormat="1" ht="12.75" customHeight="1" x14ac:dyDescent="0.25">
      <c r="A14" s="286"/>
      <c r="B14" s="287"/>
      <c r="C14" s="288"/>
      <c r="D14" s="290"/>
      <c r="E14" s="290">
        <f t="shared" si="0"/>
        <v>0</v>
      </c>
      <c r="F14" s="291"/>
      <c r="G14" s="291">
        <f t="shared" si="1"/>
        <v>0</v>
      </c>
      <c r="H14" s="291">
        <f t="shared" si="2"/>
        <v>0</v>
      </c>
      <c r="I14" s="292"/>
    </row>
    <row r="15" spans="1:9" s="275" customFormat="1" ht="12.75" customHeight="1" x14ac:dyDescent="0.25">
      <c r="A15" s="286"/>
      <c r="B15" s="287"/>
      <c r="C15" s="288"/>
      <c r="D15" s="290"/>
      <c r="E15" s="290">
        <f t="shared" si="0"/>
        <v>0</v>
      </c>
      <c r="F15" s="295"/>
      <c r="G15" s="291">
        <f t="shared" si="1"/>
        <v>0</v>
      </c>
      <c r="H15" s="291">
        <f t="shared" si="2"/>
        <v>0</v>
      </c>
      <c r="I15" s="292"/>
    </row>
    <row r="16" spans="1:9" s="275" customFormat="1" ht="12.75" customHeight="1" x14ac:dyDescent="0.25">
      <c r="A16" s="286"/>
      <c r="B16" s="287"/>
      <c r="C16" s="288"/>
      <c r="D16" s="290"/>
      <c r="E16" s="290">
        <f t="shared" si="0"/>
        <v>0</v>
      </c>
      <c r="F16" s="295"/>
      <c r="G16" s="291">
        <f t="shared" si="1"/>
        <v>0</v>
      </c>
      <c r="H16" s="291">
        <f t="shared" si="2"/>
        <v>0</v>
      </c>
      <c r="I16" s="292"/>
    </row>
    <row r="17" spans="1:9" s="275" customFormat="1" ht="12.75" customHeight="1" x14ac:dyDescent="0.25">
      <c r="A17" s="286"/>
      <c r="B17" s="287"/>
      <c r="C17" s="288"/>
      <c r="D17" s="290"/>
      <c r="E17" s="290">
        <f t="shared" si="0"/>
        <v>0</v>
      </c>
      <c r="F17" s="295"/>
      <c r="G17" s="291">
        <f t="shared" si="1"/>
        <v>0</v>
      </c>
      <c r="H17" s="291">
        <f t="shared" si="2"/>
        <v>0</v>
      </c>
      <c r="I17" s="292"/>
    </row>
    <row r="18" spans="1:9" s="275" customFormat="1" ht="12.75" customHeight="1" x14ac:dyDescent="0.25">
      <c r="A18" s="286"/>
      <c r="B18" s="287"/>
      <c r="C18" s="288"/>
      <c r="D18" s="290"/>
      <c r="E18" s="290">
        <f t="shared" si="0"/>
        <v>0</v>
      </c>
      <c r="F18" s="295"/>
      <c r="G18" s="291">
        <f t="shared" si="1"/>
        <v>0</v>
      </c>
      <c r="H18" s="291">
        <f t="shared" si="2"/>
        <v>0</v>
      </c>
      <c r="I18" s="292"/>
    </row>
    <row r="19" spans="1:9" s="275" customFormat="1" ht="12.75" customHeight="1" x14ac:dyDescent="0.25">
      <c r="A19" s="286"/>
      <c r="B19" s="287"/>
      <c r="C19" s="288"/>
      <c r="D19" s="290"/>
      <c r="E19" s="290">
        <f t="shared" si="0"/>
        <v>0</v>
      </c>
      <c r="F19" s="291"/>
      <c r="G19" s="291">
        <f t="shared" si="1"/>
        <v>0</v>
      </c>
      <c r="H19" s="291">
        <f t="shared" si="2"/>
        <v>0</v>
      </c>
      <c r="I19" s="292"/>
    </row>
    <row r="20" spans="1:9" s="275" customFormat="1" ht="12.75" customHeight="1" x14ac:dyDescent="0.25">
      <c r="A20" s="286"/>
      <c r="B20" s="287"/>
      <c r="C20" s="288"/>
      <c r="D20" s="290"/>
      <c r="E20" s="290">
        <f t="shared" si="0"/>
        <v>0</v>
      </c>
      <c r="F20" s="291"/>
      <c r="G20" s="291">
        <f t="shared" si="1"/>
        <v>0</v>
      </c>
      <c r="H20" s="291">
        <f t="shared" si="2"/>
        <v>0</v>
      </c>
      <c r="I20" s="292"/>
    </row>
    <row r="21" spans="1:9" s="275" customFormat="1" ht="12.75" customHeight="1" x14ac:dyDescent="0.25">
      <c r="A21" s="286"/>
      <c r="B21" s="287"/>
      <c r="C21" s="296"/>
      <c r="D21" s="290"/>
      <c r="E21" s="290">
        <f t="shared" si="0"/>
        <v>0</v>
      </c>
      <c r="F21" s="291"/>
      <c r="G21" s="291">
        <f t="shared" si="1"/>
        <v>0</v>
      </c>
      <c r="H21" s="291">
        <f t="shared" si="2"/>
        <v>0</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0</v>
      </c>
      <c r="E23" s="302"/>
      <c r="F23" s="302">
        <f>SUM(F9:F22)</f>
        <v>0</v>
      </c>
      <c r="G23" s="302"/>
      <c r="H23" s="302">
        <f>D23-F23</f>
        <v>0</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0</v>
      </c>
      <c r="E26" s="313"/>
      <c r="F26" s="313"/>
      <c r="G26" s="313"/>
      <c r="H26" s="313">
        <f>D26-F26</f>
        <v>0</v>
      </c>
      <c r="I26" s="292"/>
    </row>
    <row r="27" spans="1:9" s="275" customFormat="1" ht="12.75" customHeight="1" x14ac:dyDescent="0.25">
      <c r="A27" s="286"/>
      <c r="B27" s="288"/>
      <c r="C27" s="312" t="s">
        <v>113</v>
      </c>
      <c r="D27" s="313">
        <v>0</v>
      </c>
      <c r="E27" s="313"/>
      <c r="F27" s="313"/>
      <c r="G27" s="313"/>
      <c r="H27" s="313">
        <f>D27-F27</f>
        <v>0</v>
      </c>
      <c r="I27" s="292"/>
    </row>
    <row r="28" spans="1:9" s="275" customFormat="1" ht="12.75" customHeight="1" thickBot="1" x14ac:dyDescent="0.3">
      <c r="A28" s="286"/>
      <c r="B28" s="288"/>
      <c r="C28" s="314" t="s">
        <v>67</v>
      </c>
      <c r="D28" s="315">
        <f>SUM(D26:D27)</f>
        <v>0</v>
      </c>
      <c r="E28" s="316"/>
      <c r="F28" s="315">
        <f>SUM(F26:F27)</f>
        <v>0</v>
      </c>
      <c r="G28" s="316"/>
      <c r="H28" s="315">
        <f>SUM(H26:H27)</f>
        <v>0</v>
      </c>
      <c r="I28" s="292"/>
    </row>
    <row r="29" spans="1:9" s="275" customFormat="1" ht="12.75" customHeight="1" thickTop="1" x14ac:dyDescent="0.25"/>
  </sheetData>
  <conditionalFormatting sqref="I8:I23">
    <cfRule type="cellIs" dxfId="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13BBE-8EEB-4D31-AB0B-BDC0F5D55EB5}">
  <sheetPr>
    <tabColor indexed="30"/>
    <pageSetUpPr fitToPage="1"/>
  </sheetPr>
  <dimension ref="A1:J25"/>
  <sheetViews>
    <sheetView zoomScaleNormal="100" workbookViewId="0">
      <selection activeCell="L28" sqref="L28"/>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#XXXX.XX '!B1</f>
        <v>Project Title</v>
      </c>
      <c r="B1" s="3"/>
      <c r="C1" s="3"/>
      <c r="D1" s="4"/>
      <c r="E1" s="4"/>
      <c r="F1" s="4"/>
      <c r="G1" s="33"/>
      <c r="H1" s="33"/>
      <c r="I1" s="34"/>
      <c r="J1" s="34"/>
    </row>
    <row r="2" spans="1:10" ht="15.75" x14ac:dyDescent="0.25">
      <c r="A2" s="6" t="str">
        <f>'RECAP #XXXX.XX '!B2</f>
        <v>Project # XXXX.XX</v>
      </c>
      <c r="B2" s="5"/>
      <c r="C2" s="5"/>
      <c r="D2" s="4"/>
      <c r="E2" s="4"/>
      <c r="F2" s="4"/>
      <c r="G2" s="33"/>
      <c r="H2" s="33"/>
      <c r="I2" s="34"/>
      <c r="J2" s="34"/>
    </row>
    <row r="3" spans="1:10" ht="15.75" x14ac:dyDescent="0.25">
      <c r="A3" s="7" t="str">
        <f>'RECAP #XXXX.XX '!B3</f>
        <v>Program code XXXXXX</v>
      </c>
      <c r="B3" s="5"/>
      <c r="C3" s="5"/>
      <c r="D3" s="4"/>
      <c r="E3" s="8" t="str">
        <f>'RECAP #XXXX.XX '!E3</f>
        <v xml:space="preserve">Major Program </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26</v>
      </c>
      <c r="F6" s="49"/>
      <c r="G6" s="50"/>
      <c r="H6" s="46"/>
      <c r="I6" s="41"/>
      <c r="J6" s="34"/>
    </row>
    <row r="7" spans="1:10" ht="15.75" x14ac:dyDescent="0.25">
      <c r="A7" s="13" t="str">
        <f>'RECAP #XXXX.XX '!B6</f>
        <v xml:space="preserve">Project Manager - </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330"/>
      <c r="F9" s="290">
        <f>E9</f>
        <v>0</v>
      </c>
      <c r="G9" s="291"/>
      <c r="H9" s="291"/>
      <c r="I9" s="291">
        <f>F9</f>
        <v>0</v>
      </c>
      <c r="J9" s="292"/>
    </row>
    <row r="10" spans="1:10" s="275" customFormat="1" ht="12.75" customHeight="1" x14ac:dyDescent="0.25">
      <c r="A10" s="222"/>
      <c r="B10" s="293"/>
      <c r="C10" s="293"/>
      <c r="D10" s="297"/>
      <c r="E10" s="290"/>
      <c r="F10" s="290">
        <f t="shared" ref="F10:F21" si="0">F9+E10</f>
        <v>0</v>
      </c>
      <c r="G10" s="295"/>
      <c r="H10" s="291">
        <f t="shared" ref="H10:H21" si="1">H9+G10</f>
        <v>0</v>
      </c>
      <c r="I10" s="291">
        <f t="shared" ref="I10:I21" si="2">I9-G10+E10</f>
        <v>0</v>
      </c>
      <c r="J10" s="292"/>
    </row>
    <row r="11" spans="1:10" s="275" customFormat="1" ht="12.75" customHeight="1" x14ac:dyDescent="0.25">
      <c r="A11" s="317"/>
      <c r="B11" s="287"/>
      <c r="C11" s="287"/>
      <c r="D11" s="297"/>
      <c r="E11" s="290"/>
      <c r="F11" s="290">
        <f t="shared" si="0"/>
        <v>0</v>
      </c>
      <c r="G11" s="295"/>
      <c r="H11" s="291">
        <f t="shared" si="1"/>
        <v>0</v>
      </c>
      <c r="I11" s="291">
        <f t="shared" si="2"/>
        <v>0</v>
      </c>
      <c r="J11" s="292"/>
    </row>
    <row r="12" spans="1:10" s="275" customFormat="1" ht="12.75" customHeight="1" x14ac:dyDescent="0.25">
      <c r="A12" s="317"/>
      <c r="B12" s="287"/>
      <c r="C12" s="287"/>
      <c r="D12" s="297"/>
      <c r="E12" s="290"/>
      <c r="F12" s="290">
        <f t="shared" si="0"/>
        <v>0</v>
      </c>
      <c r="G12" s="295"/>
      <c r="H12" s="291">
        <f t="shared" si="1"/>
        <v>0</v>
      </c>
      <c r="I12" s="291">
        <f t="shared" si="2"/>
        <v>0</v>
      </c>
      <c r="J12" s="292"/>
    </row>
    <row r="13" spans="1:10" s="275" customFormat="1" ht="12.75" customHeight="1" x14ac:dyDescent="0.25">
      <c r="A13" s="317"/>
      <c r="B13" s="287"/>
      <c r="C13" s="287"/>
      <c r="D13" s="297"/>
      <c r="E13" s="290"/>
      <c r="F13" s="290">
        <f t="shared" si="0"/>
        <v>0</v>
      </c>
      <c r="G13" s="295"/>
      <c r="H13" s="291">
        <f t="shared" si="1"/>
        <v>0</v>
      </c>
      <c r="I13" s="291">
        <f t="shared" si="2"/>
        <v>0</v>
      </c>
      <c r="J13" s="292"/>
    </row>
    <row r="14" spans="1:10" s="275" customFormat="1" ht="12.75" customHeight="1" x14ac:dyDescent="0.25">
      <c r="A14" s="317"/>
      <c r="B14" s="287"/>
      <c r="C14" s="287"/>
      <c r="D14" s="297"/>
      <c r="E14" s="290"/>
      <c r="F14" s="290">
        <f t="shared" si="0"/>
        <v>0</v>
      </c>
      <c r="G14" s="291"/>
      <c r="H14" s="291">
        <f t="shared" si="1"/>
        <v>0</v>
      </c>
      <c r="I14" s="291">
        <f t="shared" si="2"/>
        <v>0</v>
      </c>
      <c r="J14" s="292"/>
    </row>
    <row r="15" spans="1:10" s="275" customFormat="1" ht="12.75" customHeight="1" x14ac:dyDescent="0.25">
      <c r="A15" s="317"/>
      <c r="B15" s="287"/>
      <c r="C15" s="287"/>
      <c r="D15" s="297"/>
      <c r="E15" s="290"/>
      <c r="F15" s="290">
        <f t="shared" si="0"/>
        <v>0</v>
      </c>
      <c r="G15" s="295"/>
      <c r="H15" s="291">
        <f t="shared" si="1"/>
        <v>0</v>
      </c>
      <c r="I15" s="291">
        <f t="shared" si="2"/>
        <v>0</v>
      </c>
      <c r="J15" s="292"/>
    </row>
    <row r="16" spans="1:10" s="275" customFormat="1" ht="12.75" customHeight="1" x14ac:dyDescent="0.25">
      <c r="A16" s="317"/>
      <c r="B16" s="287"/>
      <c r="C16" s="287"/>
      <c r="D16" s="297"/>
      <c r="E16" s="290"/>
      <c r="F16" s="290">
        <f t="shared" si="0"/>
        <v>0</v>
      </c>
      <c r="G16" s="295"/>
      <c r="H16" s="291">
        <f t="shared" si="1"/>
        <v>0</v>
      </c>
      <c r="I16" s="291">
        <f t="shared" si="2"/>
        <v>0</v>
      </c>
      <c r="J16" s="292"/>
    </row>
    <row r="17" spans="1:10" s="275" customFormat="1" ht="12.75" customHeight="1" x14ac:dyDescent="0.25">
      <c r="A17" s="317"/>
      <c r="B17" s="287"/>
      <c r="C17" s="287"/>
      <c r="D17" s="297"/>
      <c r="E17" s="290"/>
      <c r="F17" s="290">
        <f t="shared" si="0"/>
        <v>0</v>
      </c>
      <c r="G17" s="295"/>
      <c r="H17" s="291">
        <f t="shared" si="1"/>
        <v>0</v>
      </c>
      <c r="I17" s="291">
        <f t="shared" si="2"/>
        <v>0</v>
      </c>
      <c r="J17" s="292"/>
    </row>
    <row r="18" spans="1:10" s="275" customFormat="1" ht="12.75" customHeight="1" x14ac:dyDescent="0.25">
      <c r="A18" s="317"/>
      <c r="B18" s="287"/>
      <c r="C18" s="287"/>
      <c r="D18" s="297"/>
      <c r="E18" s="290"/>
      <c r="F18" s="290">
        <f t="shared" si="0"/>
        <v>0</v>
      </c>
      <c r="G18" s="295"/>
      <c r="H18" s="291">
        <f t="shared" si="1"/>
        <v>0</v>
      </c>
      <c r="I18" s="291">
        <f t="shared" si="2"/>
        <v>0</v>
      </c>
      <c r="J18" s="292"/>
    </row>
    <row r="19" spans="1:10" s="275" customFormat="1" ht="12.75" customHeight="1" x14ac:dyDescent="0.25">
      <c r="A19" s="298"/>
      <c r="B19" s="287"/>
      <c r="C19" s="287"/>
      <c r="D19" s="297"/>
      <c r="E19" s="290"/>
      <c r="F19" s="290">
        <f t="shared" si="0"/>
        <v>0</v>
      </c>
      <c r="G19" s="291"/>
      <c r="H19" s="291">
        <f t="shared" si="1"/>
        <v>0</v>
      </c>
      <c r="I19" s="291">
        <f t="shared" si="2"/>
        <v>0</v>
      </c>
      <c r="J19" s="292"/>
    </row>
    <row r="20" spans="1:10" s="275" customFormat="1" ht="12.75" customHeight="1" x14ac:dyDescent="0.25">
      <c r="A20" s="298"/>
      <c r="B20" s="287"/>
      <c r="C20" s="287"/>
      <c r="D20" s="297"/>
      <c r="E20" s="290"/>
      <c r="F20" s="290">
        <f t="shared" si="0"/>
        <v>0</v>
      </c>
      <c r="G20" s="291"/>
      <c r="H20" s="291">
        <f t="shared" si="1"/>
        <v>0</v>
      </c>
      <c r="I20" s="291">
        <f t="shared" si="2"/>
        <v>0</v>
      </c>
      <c r="J20" s="292"/>
    </row>
    <row r="21" spans="1:10" s="275" customFormat="1" ht="12.75" customHeight="1" x14ac:dyDescent="0.25">
      <c r="A21" s="298"/>
      <c r="B21" s="287"/>
      <c r="C21" s="287"/>
      <c r="D21" s="318"/>
      <c r="E21" s="290"/>
      <c r="F21" s="290">
        <f t="shared" si="0"/>
        <v>0</v>
      </c>
      <c r="G21" s="291"/>
      <c r="H21" s="291">
        <f t="shared" si="1"/>
        <v>0</v>
      </c>
      <c r="I21" s="291">
        <f t="shared" si="2"/>
        <v>0</v>
      </c>
      <c r="J21" s="292"/>
    </row>
    <row r="22" spans="1:10" s="275" customFormat="1" ht="12.75" customHeight="1" x14ac:dyDescent="0.25">
      <c r="A22" s="286"/>
      <c r="B22" s="288"/>
      <c r="C22" s="288"/>
      <c r="D22" s="297"/>
      <c r="E22" s="291"/>
      <c r="F22" s="291"/>
      <c r="G22" s="291"/>
      <c r="H22" s="291"/>
      <c r="I22" s="291"/>
      <c r="J22" s="292"/>
    </row>
    <row r="23" spans="1:10" s="275" customFormat="1" ht="12.75" customHeight="1" thickBot="1" x14ac:dyDescent="0.3">
      <c r="A23" s="286"/>
      <c r="B23" s="300"/>
      <c r="C23" s="300"/>
      <c r="D23" s="301" t="s">
        <v>24</v>
      </c>
      <c r="E23" s="302">
        <f>SUM(E9:E22)</f>
        <v>0</v>
      </c>
      <c r="F23" s="302"/>
      <c r="G23" s="302">
        <f>SUM(G9:G22)</f>
        <v>0</v>
      </c>
      <c r="H23" s="302"/>
      <c r="I23" s="302">
        <f>E23-G23</f>
        <v>0</v>
      </c>
      <c r="J23" s="292"/>
    </row>
    <row r="24" spans="1:10" s="275" customFormat="1" ht="12.75" customHeight="1" thickTop="1" x14ac:dyDescent="0.25"/>
    <row r="25" spans="1:10" s="275"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21F03-740F-42DE-B3B0-7969A5911F52}">
  <sheetPr>
    <tabColor indexed="30"/>
    <pageSetUpPr fitToPage="1"/>
  </sheetPr>
  <dimension ref="A1:H23"/>
  <sheetViews>
    <sheetView zoomScaleNormal="100" workbookViewId="0">
      <selection activeCell="P19" sqref="P1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#XXXX.XX '!B1</f>
        <v>Project Title</v>
      </c>
      <c r="B1" s="3"/>
      <c r="C1" s="3"/>
      <c r="D1" s="3"/>
      <c r="E1" s="4"/>
      <c r="F1" s="4"/>
      <c r="G1" s="4"/>
      <c r="H1" s="33"/>
    </row>
    <row r="2" spans="1:8" ht="15.75" x14ac:dyDescent="0.25">
      <c r="A2" s="6" t="str">
        <f>'RECAP #XXXX.XX '!B2</f>
        <v>Project # XXXX.XX</v>
      </c>
      <c r="B2" s="5"/>
      <c r="C2" s="5"/>
      <c r="D2" s="5"/>
      <c r="E2" s="4"/>
      <c r="F2" s="4"/>
      <c r="G2" s="4"/>
      <c r="H2" s="33"/>
    </row>
    <row r="3" spans="1:8" ht="15.75" x14ac:dyDescent="0.25">
      <c r="A3" s="7" t="str">
        <f>'RECAP #XXXX.XX '!B3</f>
        <v>Program code XXXXXX</v>
      </c>
      <c r="B3" s="5"/>
      <c r="C3" s="5"/>
      <c r="D3" s="5"/>
      <c r="E3" s="8" t="str">
        <f>'RECAP #XXXX.XX '!E3</f>
        <v xml:space="preserve">Major Program </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#XXXX.XX '!B6</f>
        <v xml:space="preserve">Project Manager - </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E33A-0DFA-408E-85AB-BA0EE084B577}">
  <sheetPr>
    <pageSetUpPr fitToPage="1"/>
  </sheetPr>
  <dimension ref="A1:J32"/>
  <sheetViews>
    <sheetView zoomScaleNormal="100" workbookViewId="0">
      <selection activeCell="K27" sqref="K27"/>
    </sheetView>
  </sheetViews>
  <sheetFormatPr defaultColWidth="11.42578125" defaultRowHeight="15" customHeight="1" x14ac:dyDescent="0.25"/>
  <cols>
    <col min="1" max="1" width="24.5703125" customWidth="1"/>
    <col min="2" max="3" width="9.42578125" customWidth="1"/>
    <col min="4" max="4" width="38" bestFit="1" customWidth="1"/>
    <col min="5" max="5" width="12.5703125" customWidth="1"/>
    <col min="6" max="6" width="13.5703125" customWidth="1"/>
    <col min="7" max="7" width="12.42578125" customWidth="1"/>
    <col min="8" max="8" width="10.5703125" customWidth="1"/>
    <col min="9" max="9" width="12"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#9483.00'!B1</f>
        <v>DVA IVH Dack and Malloy Building Roof Replacements</v>
      </c>
      <c r="B1" s="3"/>
      <c r="C1" s="3"/>
      <c r="D1" s="4"/>
      <c r="E1" s="4"/>
      <c r="F1" s="4"/>
      <c r="G1" s="33"/>
      <c r="H1" s="33"/>
      <c r="I1" s="34"/>
      <c r="J1" s="34"/>
    </row>
    <row r="2" spans="1:10" ht="15.75" x14ac:dyDescent="0.25">
      <c r="A2" s="6" t="str">
        <f>'RECAP #9483.00'!B2</f>
        <v>Project # 9483.00</v>
      </c>
      <c r="B2" s="5"/>
      <c r="C2" s="5"/>
      <c r="D2" s="4"/>
      <c r="E2" s="4"/>
      <c r="F2" s="4"/>
      <c r="G2" s="33"/>
      <c r="H2" s="33"/>
      <c r="I2" s="34"/>
      <c r="J2" s="34"/>
    </row>
    <row r="3" spans="1:10" ht="15.75" x14ac:dyDescent="0.25">
      <c r="A3" s="7" t="str">
        <f>'RECAP #9483.00'!B3</f>
        <v>Program code 948300</v>
      </c>
      <c r="B3" s="5"/>
      <c r="C3" s="5"/>
      <c r="D3" s="4"/>
      <c r="E3" s="8" t="str">
        <f>'RECAP #9483.00'!E3</f>
        <v>Major Program 4D02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83</v>
      </c>
      <c r="F6" s="49"/>
      <c r="G6" s="50"/>
      <c r="H6" s="46"/>
      <c r="I6" s="41"/>
      <c r="J6" s="34"/>
    </row>
    <row r="7" spans="1:10" ht="15.75" x14ac:dyDescent="0.25">
      <c r="A7" s="13" t="str">
        <f>'RECAP #9483.00'!B6</f>
        <v>Project Manager - Brad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75000</v>
      </c>
      <c r="F9" s="290">
        <f>E9</f>
        <v>75000</v>
      </c>
      <c r="G9" s="291"/>
      <c r="H9" s="291"/>
      <c r="I9" s="291">
        <f>F9</f>
        <v>75000</v>
      </c>
      <c r="J9" s="292"/>
    </row>
    <row r="10" spans="1:10" s="275" customFormat="1" ht="12.75" customHeight="1" x14ac:dyDescent="0.25">
      <c r="A10" s="217" t="s">
        <v>87</v>
      </c>
      <c r="B10" s="218">
        <v>45876</v>
      </c>
      <c r="C10" s="219">
        <v>2507</v>
      </c>
      <c r="D10" s="179" t="s">
        <v>88</v>
      </c>
      <c r="E10" s="290"/>
      <c r="F10" s="290">
        <f t="shared" ref="F10:F28" si="0">F9+E10</f>
        <v>75000</v>
      </c>
      <c r="G10" s="294">
        <f>19.58+28.31</f>
        <v>47.89</v>
      </c>
      <c r="H10" s="291">
        <f t="shared" ref="H10:H28" si="1">H9+G10</f>
        <v>47.89</v>
      </c>
      <c r="I10" s="291">
        <f t="shared" ref="I10:I28" si="2">I9-G10+E10</f>
        <v>74952.11</v>
      </c>
      <c r="J10" s="292"/>
    </row>
    <row r="11" spans="1:10" s="275" customFormat="1" ht="12.75" customHeight="1" x14ac:dyDescent="0.25">
      <c r="A11" s="217" t="s">
        <v>87</v>
      </c>
      <c r="B11" s="218">
        <v>45876</v>
      </c>
      <c r="C11" s="219">
        <v>9500</v>
      </c>
      <c r="D11" s="180" t="s">
        <v>89</v>
      </c>
      <c r="E11" s="290"/>
      <c r="F11" s="290">
        <f t="shared" si="0"/>
        <v>75000</v>
      </c>
      <c r="G11" s="294">
        <f>35+497.2</f>
        <v>532.20000000000005</v>
      </c>
      <c r="H11" s="291">
        <f t="shared" si="1"/>
        <v>580.09</v>
      </c>
      <c r="I11" s="291">
        <f t="shared" si="2"/>
        <v>74419.91</v>
      </c>
      <c r="J11" s="292"/>
    </row>
    <row r="12" spans="1:10" s="275" customFormat="1" ht="12.75" customHeight="1" x14ac:dyDescent="0.25">
      <c r="A12" s="217" t="s">
        <v>126</v>
      </c>
      <c r="B12" s="218">
        <v>45908</v>
      </c>
      <c r="C12" s="219">
        <v>2507</v>
      </c>
      <c r="D12" s="179" t="s">
        <v>127</v>
      </c>
      <c r="E12" s="290"/>
      <c r="F12" s="290">
        <f t="shared" si="0"/>
        <v>75000</v>
      </c>
      <c r="G12" s="294">
        <v>94.58</v>
      </c>
      <c r="H12" s="291">
        <f t="shared" si="1"/>
        <v>674.67000000000007</v>
      </c>
      <c r="I12" s="291">
        <f t="shared" si="2"/>
        <v>74325.33</v>
      </c>
      <c r="J12" s="292"/>
    </row>
    <row r="13" spans="1:10" s="275" customFormat="1" ht="12.75" customHeight="1" x14ac:dyDescent="0.25">
      <c r="A13" s="217" t="s">
        <v>126</v>
      </c>
      <c r="B13" s="218">
        <v>45908</v>
      </c>
      <c r="C13" s="219">
        <v>9500</v>
      </c>
      <c r="D13" s="180" t="s">
        <v>128</v>
      </c>
      <c r="E13" s="290"/>
      <c r="F13" s="290">
        <f t="shared" si="0"/>
        <v>75000</v>
      </c>
      <c r="G13" s="294">
        <v>732.6</v>
      </c>
      <c r="H13" s="291">
        <f t="shared" si="1"/>
        <v>1407.27</v>
      </c>
      <c r="I13" s="291">
        <f t="shared" si="2"/>
        <v>73592.73</v>
      </c>
      <c r="J13" s="292"/>
    </row>
    <row r="14" spans="1:10" s="275" customFormat="1" ht="12.75" customHeight="1" x14ac:dyDescent="0.25">
      <c r="A14" s="220" t="s">
        <v>268</v>
      </c>
      <c r="B14" s="221">
        <v>45937</v>
      </c>
      <c r="C14" s="219" t="s">
        <v>269</v>
      </c>
      <c r="D14" s="179" t="s">
        <v>270</v>
      </c>
      <c r="E14" s="290"/>
      <c r="F14" s="290">
        <f t="shared" si="0"/>
        <v>75000</v>
      </c>
      <c r="G14" s="294">
        <v>100.03</v>
      </c>
      <c r="H14" s="291">
        <f t="shared" si="1"/>
        <v>1507.3</v>
      </c>
      <c r="I14" s="291">
        <f t="shared" si="2"/>
        <v>73492.7</v>
      </c>
      <c r="J14" s="292"/>
    </row>
    <row r="15" spans="1:10" s="275" customFormat="1" ht="12.75" customHeight="1" x14ac:dyDescent="0.25">
      <c r="A15" s="220" t="s">
        <v>268</v>
      </c>
      <c r="B15" s="221">
        <v>45937</v>
      </c>
      <c r="C15" s="219">
        <v>9500</v>
      </c>
      <c r="D15" s="222" t="s">
        <v>271</v>
      </c>
      <c r="E15" s="290"/>
      <c r="F15" s="290">
        <f t="shared" si="0"/>
        <v>75000</v>
      </c>
      <c r="G15" s="294">
        <v>522.79999999999995</v>
      </c>
      <c r="H15" s="291">
        <f t="shared" si="1"/>
        <v>2030.1</v>
      </c>
      <c r="I15" s="291">
        <f t="shared" si="2"/>
        <v>72969.899999999994</v>
      </c>
      <c r="J15" s="292"/>
    </row>
    <row r="16" spans="1:10" s="275" customFormat="1" ht="12.75" customHeight="1" x14ac:dyDescent="0.25">
      <c r="A16" s="220" t="s">
        <v>322</v>
      </c>
      <c r="B16" s="221">
        <v>45968</v>
      </c>
      <c r="C16" s="219" t="s">
        <v>269</v>
      </c>
      <c r="D16" s="179" t="s">
        <v>323</v>
      </c>
      <c r="E16" s="290"/>
      <c r="F16" s="290">
        <f t="shared" si="0"/>
        <v>75000</v>
      </c>
      <c r="G16" s="294">
        <v>42.41</v>
      </c>
      <c r="H16" s="291">
        <f t="shared" si="1"/>
        <v>2072.5099999999998</v>
      </c>
      <c r="I16" s="291">
        <f t="shared" si="2"/>
        <v>72927.489999999991</v>
      </c>
      <c r="J16" s="292"/>
    </row>
    <row r="17" spans="1:10" s="275" customFormat="1" ht="12.75" customHeight="1" x14ac:dyDescent="0.25">
      <c r="A17" s="220" t="s">
        <v>322</v>
      </c>
      <c r="B17" s="221">
        <v>45968</v>
      </c>
      <c r="C17" s="219">
        <v>9500</v>
      </c>
      <c r="D17" s="222" t="s">
        <v>324</v>
      </c>
      <c r="E17" s="290"/>
      <c r="F17" s="290">
        <f t="shared" si="0"/>
        <v>75000</v>
      </c>
      <c r="G17" s="294">
        <v>417.3</v>
      </c>
      <c r="H17" s="291">
        <f t="shared" si="1"/>
        <v>2489.81</v>
      </c>
      <c r="I17" s="291">
        <f t="shared" si="2"/>
        <v>72510.189999999988</v>
      </c>
      <c r="J17" s="292"/>
    </row>
    <row r="18" spans="1:10" s="275" customFormat="1" ht="12.75" customHeight="1" x14ac:dyDescent="0.2">
      <c r="A18" s="213" t="s">
        <v>373</v>
      </c>
      <c r="B18" s="214">
        <v>45996</v>
      </c>
      <c r="C18" s="332" t="s">
        <v>269</v>
      </c>
      <c r="D18" s="175" t="s">
        <v>374</v>
      </c>
      <c r="E18" s="290"/>
      <c r="F18" s="290">
        <f t="shared" si="0"/>
        <v>75000</v>
      </c>
      <c r="G18" s="294">
        <v>131.63999999999999</v>
      </c>
      <c r="H18" s="291">
        <f t="shared" si="1"/>
        <v>2621.45</v>
      </c>
      <c r="I18" s="291">
        <f t="shared" si="2"/>
        <v>72378.549999999988</v>
      </c>
      <c r="J18" s="292"/>
    </row>
    <row r="19" spans="1:10" s="275" customFormat="1" ht="12.75" customHeight="1" x14ac:dyDescent="0.2">
      <c r="A19" s="213" t="s">
        <v>373</v>
      </c>
      <c r="B19" s="214">
        <v>45996</v>
      </c>
      <c r="C19" s="333">
        <v>9500</v>
      </c>
      <c r="D19" s="78" t="s">
        <v>375</v>
      </c>
      <c r="E19" s="290"/>
      <c r="F19" s="290">
        <f t="shared" si="0"/>
        <v>75000</v>
      </c>
      <c r="G19" s="294">
        <v>838.8</v>
      </c>
      <c r="H19" s="291">
        <f t="shared" si="1"/>
        <v>3460.25</v>
      </c>
      <c r="I19" s="291">
        <f t="shared" si="2"/>
        <v>71539.749999999985</v>
      </c>
      <c r="J19" s="292"/>
    </row>
    <row r="20" spans="1:10" s="275" customFormat="1" ht="12.75" customHeight="1" x14ac:dyDescent="0.2">
      <c r="A20" s="213" t="s">
        <v>433</v>
      </c>
      <c r="B20" s="214">
        <v>46030</v>
      </c>
      <c r="C20" s="332" t="s">
        <v>269</v>
      </c>
      <c r="D20" s="175" t="s">
        <v>434</v>
      </c>
      <c r="E20" s="290"/>
      <c r="F20" s="290">
        <f t="shared" si="0"/>
        <v>75000</v>
      </c>
      <c r="G20" s="294">
        <v>84.69</v>
      </c>
      <c r="H20" s="291">
        <f t="shared" si="1"/>
        <v>3544.94</v>
      </c>
      <c r="I20" s="291">
        <f t="shared" si="2"/>
        <v>71455.059999999983</v>
      </c>
      <c r="J20" s="292"/>
    </row>
    <row r="21" spans="1:10" s="275" customFormat="1" ht="12.75" customHeight="1" x14ac:dyDescent="0.2">
      <c r="A21" s="213" t="s">
        <v>433</v>
      </c>
      <c r="B21" s="214">
        <v>46030</v>
      </c>
      <c r="C21" s="333">
        <v>9500</v>
      </c>
      <c r="D21" s="78" t="s">
        <v>435</v>
      </c>
      <c r="E21" s="290"/>
      <c r="F21" s="290">
        <f t="shared" si="0"/>
        <v>75000</v>
      </c>
      <c r="G21" s="294">
        <v>961.7</v>
      </c>
      <c r="H21" s="291">
        <f t="shared" si="1"/>
        <v>4506.6400000000003</v>
      </c>
      <c r="I21" s="291">
        <f t="shared" si="2"/>
        <v>70493.359999999986</v>
      </c>
      <c r="J21" s="292"/>
    </row>
    <row r="22" spans="1:10" s="275" customFormat="1" ht="12.75" customHeight="1" x14ac:dyDescent="0.2">
      <c r="A22" s="213" t="s">
        <v>559</v>
      </c>
      <c r="B22" s="214">
        <v>46062</v>
      </c>
      <c r="C22" s="332" t="s">
        <v>269</v>
      </c>
      <c r="D22" s="175" t="s">
        <v>560</v>
      </c>
      <c r="E22" s="290"/>
      <c r="F22" s="290">
        <f t="shared" si="0"/>
        <v>75000</v>
      </c>
      <c r="G22" s="294">
        <v>114.24</v>
      </c>
      <c r="H22" s="291">
        <f t="shared" si="1"/>
        <v>4620.88</v>
      </c>
      <c r="I22" s="291">
        <f t="shared" si="2"/>
        <v>70379.119999999981</v>
      </c>
      <c r="J22" s="292"/>
    </row>
    <row r="23" spans="1:10" s="275" customFormat="1" ht="12.75" customHeight="1" x14ac:dyDescent="0.2">
      <c r="A23" s="213" t="s">
        <v>559</v>
      </c>
      <c r="B23" s="214">
        <v>46062</v>
      </c>
      <c r="C23" s="333">
        <v>9500</v>
      </c>
      <c r="D23" s="78" t="s">
        <v>561</v>
      </c>
      <c r="E23" s="290"/>
      <c r="F23" s="290">
        <f t="shared" si="0"/>
        <v>75000</v>
      </c>
      <c r="G23" s="294">
        <v>1416.7</v>
      </c>
      <c r="H23" s="291">
        <f t="shared" si="1"/>
        <v>6037.58</v>
      </c>
      <c r="I23" s="291">
        <f t="shared" si="2"/>
        <v>68962.419999999984</v>
      </c>
      <c r="J23" s="292"/>
    </row>
    <row r="24" spans="1:10" s="275" customFormat="1" ht="12.75" customHeight="1" x14ac:dyDescent="0.2">
      <c r="A24" s="213" t="s">
        <v>663</v>
      </c>
      <c r="B24" s="214">
        <v>46090</v>
      </c>
      <c r="C24" s="332" t="s">
        <v>269</v>
      </c>
      <c r="D24" s="175" t="s">
        <v>664</v>
      </c>
      <c r="E24" s="290"/>
      <c r="F24" s="290">
        <f t="shared" si="0"/>
        <v>75000</v>
      </c>
      <c r="G24" s="294">
        <v>97.23</v>
      </c>
      <c r="H24" s="291">
        <f t="shared" si="1"/>
        <v>6134.8099999999995</v>
      </c>
      <c r="I24" s="291">
        <f t="shared" si="2"/>
        <v>68865.189999999988</v>
      </c>
      <c r="J24" s="292"/>
    </row>
    <row r="25" spans="1:10" s="275" customFormat="1" ht="12.75" customHeight="1" x14ac:dyDescent="0.2">
      <c r="A25" s="213" t="s">
        <v>663</v>
      </c>
      <c r="B25" s="214">
        <v>46090</v>
      </c>
      <c r="C25" s="333">
        <v>9500</v>
      </c>
      <c r="D25" s="78" t="s">
        <v>665</v>
      </c>
      <c r="E25" s="290"/>
      <c r="F25" s="290">
        <f t="shared" si="0"/>
        <v>75000</v>
      </c>
      <c r="G25" s="294">
        <v>1120.8</v>
      </c>
      <c r="H25" s="291">
        <f t="shared" si="1"/>
        <v>7255.61</v>
      </c>
      <c r="I25" s="291">
        <f t="shared" si="2"/>
        <v>67744.389999999985</v>
      </c>
      <c r="J25" s="292"/>
    </row>
    <row r="26" spans="1:10" s="275" customFormat="1" ht="12.75" customHeight="1" x14ac:dyDescent="0.2">
      <c r="A26" s="213"/>
      <c r="B26" s="214"/>
      <c r="C26" s="333"/>
      <c r="D26" s="78"/>
      <c r="E26" s="290"/>
      <c r="F26" s="290">
        <f t="shared" si="0"/>
        <v>75000</v>
      </c>
      <c r="G26" s="294"/>
      <c r="H26" s="291">
        <f t="shared" si="1"/>
        <v>7255.61</v>
      </c>
      <c r="I26" s="291">
        <f t="shared" si="2"/>
        <v>67744.389999999985</v>
      </c>
      <c r="J26" s="292"/>
    </row>
    <row r="27" spans="1:10" s="275" customFormat="1" ht="12.75" customHeight="1" x14ac:dyDescent="0.2">
      <c r="A27" s="213"/>
      <c r="B27" s="214"/>
      <c r="C27" s="333"/>
      <c r="D27" s="78"/>
      <c r="E27" s="290"/>
      <c r="F27" s="290">
        <f t="shared" si="0"/>
        <v>75000</v>
      </c>
      <c r="G27" s="294"/>
      <c r="H27" s="291">
        <f t="shared" si="1"/>
        <v>7255.61</v>
      </c>
      <c r="I27" s="291">
        <f t="shared" si="2"/>
        <v>67744.389999999985</v>
      </c>
      <c r="J27" s="292"/>
    </row>
    <row r="28" spans="1:10" s="275" customFormat="1" ht="12.75" customHeight="1" x14ac:dyDescent="0.25">
      <c r="A28" s="298"/>
      <c r="B28" s="287"/>
      <c r="C28" s="219"/>
      <c r="D28" s="318"/>
      <c r="E28" s="290"/>
      <c r="F28" s="290">
        <f t="shared" si="0"/>
        <v>75000</v>
      </c>
      <c r="G28" s="291"/>
      <c r="H28" s="291">
        <f t="shared" si="1"/>
        <v>7255.61</v>
      </c>
      <c r="I28" s="291">
        <f t="shared" si="2"/>
        <v>67744.389999999985</v>
      </c>
      <c r="J28" s="292"/>
    </row>
    <row r="29" spans="1:10" s="275" customFormat="1" ht="12.75" customHeight="1" x14ac:dyDescent="0.25">
      <c r="A29" s="286"/>
      <c r="B29" s="288"/>
      <c r="C29" s="219"/>
      <c r="D29" s="297"/>
      <c r="E29" s="291"/>
      <c r="F29" s="291"/>
      <c r="G29" s="291"/>
      <c r="H29" s="291"/>
      <c r="I29" s="291"/>
      <c r="J29" s="292"/>
    </row>
    <row r="30" spans="1:10" s="275" customFormat="1" ht="12.75" customHeight="1" thickBot="1" x14ac:dyDescent="0.3">
      <c r="A30" s="286"/>
      <c r="B30" s="300"/>
      <c r="C30" s="219"/>
      <c r="D30" s="301" t="s">
        <v>24</v>
      </c>
      <c r="E30" s="302">
        <f>SUM(E9:E29)</f>
        <v>75000</v>
      </c>
      <c r="F30" s="302"/>
      <c r="G30" s="302">
        <f>SUM(G9:G29)</f>
        <v>7255.61</v>
      </c>
      <c r="H30" s="302"/>
      <c r="I30" s="302">
        <f>E30-G30</f>
        <v>67744.39</v>
      </c>
      <c r="J30" s="292"/>
    </row>
    <row r="31" spans="1:10" s="275" customFormat="1" ht="12.75" customHeight="1" thickTop="1" x14ac:dyDescent="0.25"/>
    <row r="32" spans="1:10" s="275"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FF836-0520-4C24-97ED-8EDAF4C462D5}">
  <sheetPr>
    <pageSetUpPr fitToPage="1"/>
  </sheetPr>
  <dimension ref="A1:H89"/>
  <sheetViews>
    <sheetView zoomScaleNormal="100" workbookViewId="0">
      <selection activeCell="B32" sqref="B3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0.85546875" customWidth="1"/>
    <col min="6" max="6" width="14.4257812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#9483.00'!B1</f>
        <v>DVA IVH Dack and Malloy Building Roof Replacements</v>
      </c>
      <c r="B1" s="3"/>
      <c r="C1" s="3"/>
      <c r="D1" s="3"/>
      <c r="E1" s="4"/>
      <c r="F1" s="4"/>
      <c r="G1" s="4"/>
      <c r="H1" s="33"/>
    </row>
    <row r="2" spans="1:8" ht="15.75" x14ac:dyDescent="0.25">
      <c r="A2" s="6" t="str">
        <f>'RECAP #9483.00'!B2</f>
        <v>Project # 9483.00</v>
      </c>
      <c r="B2" s="5"/>
      <c r="C2" s="5"/>
      <c r="D2" s="5"/>
      <c r="E2" s="4"/>
      <c r="F2" s="4"/>
      <c r="G2" s="4"/>
      <c r="H2" s="33"/>
    </row>
    <row r="3" spans="1:8" ht="15.75" x14ac:dyDescent="0.25">
      <c r="A3" s="7" t="str">
        <f>'RECAP #9483.00'!B3</f>
        <v>Program code 948300</v>
      </c>
      <c r="B3" s="5"/>
      <c r="C3" s="5"/>
      <c r="D3" s="5"/>
      <c r="E3" s="8" t="str">
        <f>'RECAP #9483.00'!E3</f>
        <v>Major Program 4D02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115</v>
      </c>
      <c r="F6" s="41"/>
      <c r="G6" s="44"/>
      <c r="H6" s="45"/>
    </row>
    <row r="7" spans="1:8" ht="15.75" x14ac:dyDescent="0.25">
      <c r="A7" s="13" t="str">
        <f>'RECAP #9483.00'!B6</f>
        <v>Project Manager - Brad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
      <c r="A9" s="296" t="s">
        <v>674</v>
      </c>
      <c r="B9" s="287">
        <v>46098</v>
      </c>
      <c r="C9" s="323" t="s">
        <v>370</v>
      </c>
      <c r="D9" s="323" t="s">
        <v>371</v>
      </c>
      <c r="E9" s="85" t="s">
        <v>672</v>
      </c>
      <c r="F9" s="321" t="s">
        <v>673</v>
      </c>
      <c r="G9" s="294">
        <v>2712.5</v>
      </c>
      <c r="H9" s="322">
        <f>G9</f>
        <v>2712.5</v>
      </c>
    </row>
    <row r="10" spans="1:8" s="275" customFormat="1" ht="12.75" customHeight="1" x14ac:dyDescent="0.25">
      <c r="A10" s="320" t="s">
        <v>721</v>
      </c>
      <c r="B10" s="287">
        <v>46105</v>
      </c>
      <c r="C10" s="323" t="s">
        <v>370</v>
      </c>
      <c r="D10" s="323" t="s">
        <v>371</v>
      </c>
      <c r="E10" s="318" t="s">
        <v>720</v>
      </c>
      <c r="F10" s="349" t="s">
        <v>719</v>
      </c>
      <c r="G10" s="294">
        <v>2100.15</v>
      </c>
      <c r="H10" s="322">
        <f>H9+G10</f>
        <v>4812.6499999999996</v>
      </c>
    </row>
    <row r="11" spans="1:8" s="275" customFormat="1" ht="12.75" customHeight="1" x14ac:dyDescent="0.25">
      <c r="A11" s="323"/>
      <c r="B11" s="287"/>
      <c r="C11" s="287"/>
      <c r="D11" s="287"/>
      <c r="E11" s="318"/>
      <c r="F11" s="309"/>
      <c r="G11" s="322"/>
      <c r="H11" s="322">
        <f t="shared" ref="H11:H20" si="0">H10+G11</f>
        <v>4812.6499999999996</v>
      </c>
    </row>
    <row r="12" spans="1:8" s="275" customFormat="1" ht="12.75" customHeight="1" x14ac:dyDescent="0.25">
      <c r="A12" s="323" t="s">
        <v>2</v>
      </c>
      <c r="B12" s="287" t="s">
        <v>2</v>
      </c>
      <c r="C12" s="287"/>
      <c r="D12" s="287"/>
      <c r="E12" s="318" t="s">
        <v>2</v>
      </c>
      <c r="F12" s="309"/>
      <c r="G12" s="322"/>
      <c r="H12" s="322">
        <f t="shared" si="0"/>
        <v>4812.6499999999996</v>
      </c>
    </row>
    <row r="13" spans="1:8" s="275" customFormat="1" ht="12.75" customHeight="1" x14ac:dyDescent="0.25">
      <c r="A13" s="323" t="s">
        <v>2</v>
      </c>
      <c r="B13" s="287" t="s">
        <v>2</v>
      </c>
      <c r="C13" s="287"/>
      <c r="D13" s="287"/>
      <c r="E13" s="318" t="s">
        <v>2</v>
      </c>
      <c r="F13" s="309"/>
      <c r="G13" s="322"/>
      <c r="H13" s="322">
        <f t="shared" si="0"/>
        <v>4812.6499999999996</v>
      </c>
    </row>
    <row r="14" spans="1:8" s="275" customFormat="1" ht="12.75" customHeight="1" x14ac:dyDescent="0.25">
      <c r="A14" s="323"/>
      <c r="B14" s="287"/>
      <c r="C14" s="287"/>
      <c r="D14" s="287"/>
      <c r="E14" s="318"/>
      <c r="F14" s="309"/>
      <c r="G14" s="322"/>
      <c r="H14" s="322">
        <f t="shared" si="0"/>
        <v>4812.6499999999996</v>
      </c>
    </row>
    <row r="15" spans="1:8" s="275" customFormat="1" ht="12.75" customHeight="1" x14ac:dyDescent="0.25">
      <c r="A15" s="323"/>
      <c r="B15" s="287"/>
      <c r="C15" s="287"/>
      <c r="D15" s="287"/>
      <c r="E15" s="324"/>
      <c r="F15" s="309"/>
      <c r="G15" s="322"/>
      <c r="H15" s="322">
        <f t="shared" si="0"/>
        <v>4812.6499999999996</v>
      </c>
    </row>
    <row r="16" spans="1:8" s="275" customFormat="1" ht="12.75" customHeight="1" x14ac:dyDescent="0.25">
      <c r="A16" s="323"/>
      <c r="B16" s="287"/>
      <c r="C16" s="287"/>
      <c r="D16" s="287"/>
      <c r="E16" s="318"/>
      <c r="F16" s="309"/>
      <c r="G16" s="322"/>
      <c r="H16" s="322">
        <f t="shared" si="0"/>
        <v>4812.6499999999996</v>
      </c>
    </row>
    <row r="17" spans="1:8" s="275" customFormat="1" ht="12.75" customHeight="1" x14ac:dyDescent="0.25">
      <c r="A17" s="319"/>
      <c r="B17" s="287"/>
      <c r="C17" s="287"/>
      <c r="D17" s="287"/>
      <c r="E17" s="318"/>
      <c r="F17" s="309"/>
      <c r="G17" s="322"/>
      <c r="H17" s="322">
        <f t="shared" si="0"/>
        <v>4812.6499999999996</v>
      </c>
    </row>
    <row r="18" spans="1:8" s="275" customFormat="1" ht="12.75" customHeight="1" x14ac:dyDescent="0.25">
      <c r="A18" s="319"/>
      <c r="B18" s="287"/>
      <c r="C18" s="287"/>
      <c r="D18" s="287"/>
      <c r="E18" s="318"/>
      <c r="F18" s="309"/>
      <c r="G18" s="322"/>
      <c r="H18" s="322">
        <f t="shared" si="0"/>
        <v>4812.6499999999996</v>
      </c>
    </row>
    <row r="19" spans="1:8" s="275" customFormat="1" ht="12.75" customHeight="1" x14ac:dyDescent="0.25">
      <c r="A19" s="319"/>
      <c r="B19" s="287"/>
      <c r="C19" s="287"/>
      <c r="D19" s="287"/>
      <c r="E19" s="318"/>
      <c r="F19" s="309"/>
      <c r="G19" s="322"/>
      <c r="H19" s="322">
        <f t="shared" si="0"/>
        <v>4812.6499999999996</v>
      </c>
    </row>
    <row r="20" spans="1:8" s="275" customFormat="1" ht="12.75" customHeight="1" x14ac:dyDescent="0.25">
      <c r="A20" s="319"/>
      <c r="B20" s="287"/>
      <c r="C20" s="287"/>
      <c r="D20" s="287"/>
      <c r="E20" s="318"/>
      <c r="F20" s="309"/>
      <c r="G20" s="322"/>
      <c r="H20" s="322">
        <f t="shared" si="0"/>
        <v>4812.6499999999996</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4812.6499999999996</v>
      </c>
      <c r="H22" s="328"/>
    </row>
    <row r="23" spans="1:8" s="275" customFormat="1" ht="12.75" customHeight="1" thickTop="1" x14ac:dyDescent="0.25"/>
    <row r="24" spans="1:8" s="275" customFormat="1" ht="12.75" customHeight="1" x14ac:dyDescent="0.25"/>
    <row r="25" spans="1:8" s="275" customFormat="1" ht="12.75" customHeight="1" x14ac:dyDescent="0.25"/>
    <row r="26" spans="1:8" s="275" customFormat="1" ht="12.75" customHeight="1" x14ac:dyDescent="0.25"/>
    <row r="27" spans="1:8" s="275" customFormat="1" ht="12.75" customHeight="1" x14ac:dyDescent="0.25"/>
    <row r="28" spans="1:8" s="275" customFormat="1" ht="12.75" customHeight="1" x14ac:dyDescent="0.25"/>
    <row r="29" spans="1:8" s="275" customFormat="1" ht="12.75" customHeight="1" x14ac:dyDescent="0.25"/>
    <row r="30" spans="1:8" s="275" customFormat="1" ht="12.75" customHeight="1" x14ac:dyDescent="0.25"/>
    <row r="31" spans="1:8" s="275" customFormat="1" ht="12.75" customHeight="1" x14ac:dyDescent="0.25"/>
    <row r="32" spans="1:8" s="275" customFormat="1" ht="12.75" customHeight="1" x14ac:dyDescent="0.25"/>
    <row r="33" s="275" customFormat="1" ht="12.75" customHeight="1" x14ac:dyDescent="0.25"/>
    <row r="34" s="275" customFormat="1" ht="12.75" customHeight="1" x14ac:dyDescent="0.25"/>
    <row r="35" s="275" customFormat="1" ht="12.75" customHeight="1" x14ac:dyDescent="0.25"/>
    <row r="36" s="275" customFormat="1" ht="12.75" customHeight="1" x14ac:dyDescent="0.25"/>
    <row r="37" s="275" customFormat="1" ht="12.75" customHeight="1" x14ac:dyDescent="0.25"/>
    <row r="38" s="275" customFormat="1" ht="12.75" customHeight="1" x14ac:dyDescent="0.25"/>
    <row r="39" s="275" customFormat="1" ht="12.75" customHeight="1" x14ac:dyDescent="0.25"/>
    <row r="40" s="275" customFormat="1" ht="12.75" customHeight="1" x14ac:dyDescent="0.25"/>
    <row r="41" s="275" customFormat="1" ht="12.75" customHeight="1" x14ac:dyDescent="0.25"/>
    <row r="42" s="275" customFormat="1" ht="12.75" customHeight="1" x14ac:dyDescent="0.25"/>
    <row r="43" s="275" customFormat="1" ht="12.75" customHeight="1" x14ac:dyDescent="0.25"/>
    <row r="44" s="275" customFormat="1" ht="12.75" customHeight="1" x14ac:dyDescent="0.25"/>
    <row r="45" s="275" customFormat="1" ht="12.75" customHeight="1" x14ac:dyDescent="0.25"/>
    <row r="46" s="275" customFormat="1" ht="12.75" customHeight="1" x14ac:dyDescent="0.25"/>
    <row r="47" s="275" customFormat="1" ht="12.75" customHeight="1" x14ac:dyDescent="0.25"/>
    <row r="48" s="275" customFormat="1" ht="12.75" customHeight="1" x14ac:dyDescent="0.25"/>
    <row r="49" s="275" customFormat="1" ht="12.75" customHeight="1" x14ac:dyDescent="0.25"/>
    <row r="50" s="275" customFormat="1" ht="12.75" customHeight="1" x14ac:dyDescent="0.25"/>
    <row r="51" s="275" customFormat="1" ht="12.75" customHeight="1" x14ac:dyDescent="0.25"/>
    <row r="52" s="275" customFormat="1" ht="12.75" customHeight="1" x14ac:dyDescent="0.25"/>
    <row r="53" s="275" customFormat="1" ht="12.75" customHeight="1" x14ac:dyDescent="0.25"/>
    <row r="54" s="275" customFormat="1" ht="12.75" customHeight="1" x14ac:dyDescent="0.25"/>
    <row r="55" s="275" customFormat="1" ht="12.75" customHeight="1" x14ac:dyDescent="0.25"/>
    <row r="56" s="275" customFormat="1" ht="12.75" customHeight="1" x14ac:dyDescent="0.25"/>
    <row r="57" s="275" customFormat="1" ht="12.75" customHeight="1" x14ac:dyDescent="0.25"/>
    <row r="58" s="275" customFormat="1" ht="12.75" customHeight="1" x14ac:dyDescent="0.25"/>
    <row r="59" s="275" customFormat="1" ht="12.75" customHeight="1" x14ac:dyDescent="0.25"/>
    <row r="60" s="275" customFormat="1" ht="12.75" customHeight="1" x14ac:dyDescent="0.25"/>
    <row r="61" s="275" customFormat="1" ht="12.75" customHeight="1" x14ac:dyDescent="0.25"/>
    <row r="62" s="275" customFormat="1" ht="12.75" customHeight="1" x14ac:dyDescent="0.25"/>
    <row r="63" s="275" customFormat="1" ht="12.75" customHeight="1" x14ac:dyDescent="0.25"/>
    <row r="64" s="275" customFormat="1" ht="12.75" customHeight="1" x14ac:dyDescent="0.25"/>
    <row r="65" s="275" customFormat="1" ht="12.75" customHeight="1" x14ac:dyDescent="0.25"/>
    <row r="66" s="275" customFormat="1" ht="12.75" customHeight="1" x14ac:dyDescent="0.25"/>
    <row r="67" s="275" customFormat="1" ht="12.75" customHeight="1" x14ac:dyDescent="0.25"/>
    <row r="68" s="275" customFormat="1" ht="12.75" customHeight="1" x14ac:dyDescent="0.25"/>
    <row r="69" s="275" customFormat="1" ht="12.75" customHeight="1" x14ac:dyDescent="0.25"/>
    <row r="70" s="275" customFormat="1" ht="12.75" customHeight="1" x14ac:dyDescent="0.25"/>
    <row r="71" s="275" customFormat="1" ht="12.75" customHeight="1" x14ac:dyDescent="0.25"/>
    <row r="72" s="275" customFormat="1" ht="12.75" customHeight="1" x14ac:dyDescent="0.25"/>
    <row r="73" s="275" customFormat="1" ht="12.75" customHeight="1" x14ac:dyDescent="0.25"/>
    <row r="74" s="275" customFormat="1" ht="12.75" customHeight="1" x14ac:dyDescent="0.25"/>
    <row r="75" s="275" customFormat="1" ht="12.75" customHeight="1" x14ac:dyDescent="0.25"/>
    <row r="76" s="275" customFormat="1" ht="12.75" customHeight="1" x14ac:dyDescent="0.25"/>
    <row r="77" s="275" customFormat="1" ht="12.75" customHeight="1" x14ac:dyDescent="0.25"/>
    <row r="78" s="275" customFormat="1" ht="12.75" customHeight="1" x14ac:dyDescent="0.25"/>
    <row r="79" s="275" customFormat="1" ht="12.75" customHeight="1" x14ac:dyDescent="0.25"/>
    <row r="80" s="275" customFormat="1" ht="12.75" customHeight="1" x14ac:dyDescent="0.25"/>
    <row r="81" s="275" customFormat="1" ht="12.75" customHeight="1" x14ac:dyDescent="0.25"/>
    <row r="82" s="275" customFormat="1" ht="12.75" customHeight="1" x14ac:dyDescent="0.25"/>
    <row r="83" s="275" customFormat="1" ht="12.75" customHeight="1" x14ac:dyDescent="0.25"/>
    <row r="84" s="275" customFormat="1" ht="12.75" customHeight="1" x14ac:dyDescent="0.25"/>
    <row r="85" s="275" customFormat="1" ht="12.75" customHeight="1" x14ac:dyDescent="0.25"/>
    <row r="86" s="275" customFormat="1" ht="12.75" customHeight="1" x14ac:dyDescent="0.25"/>
    <row r="87" s="275" customFormat="1" ht="12.75" customHeight="1" x14ac:dyDescent="0.25"/>
    <row r="88" s="275" customFormat="1" ht="12.75" customHeight="1" x14ac:dyDescent="0.25"/>
    <row r="89" s="275" customFormat="1" ht="12.75" customHeight="1" x14ac:dyDescent="0.25"/>
  </sheetData>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6B1A-9E0D-418C-B9CB-E4246D8A8F51}">
  <sheetPr>
    <pageSetUpPr fitToPage="1"/>
  </sheetPr>
  <dimension ref="A1:I31"/>
  <sheetViews>
    <sheetView zoomScaleNormal="100" workbookViewId="0">
      <selection activeCell="A33" sqref="A3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#9483.00'!B1</f>
        <v>DVA IVH Dack and Malloy Building Roof Replacements</v>
      </c>
      <c r="B1" s="3"/>
      <c r="C1" s="4"/>
      <c r="D1" s="4"/>
      <c r="E1" s="4"/>
      <c r="F1" s="33"/>
      <c r="G1" s="33"/>
      <c r="H1" s="34"/>
      <c r="I1" s="34"/>
    </row>
    <row r="2" spans="1:9" ht="15.75" x14ac:dyDescent="0.25">
      <c r="A2" s="6" t="str">
        <f>'RECAP #9483.00'!B2</f>
        <v>Project # 9483.00</v>
      </c>
      <c r="B2" s="5"/>
      <c r="C2" s="4"/>
      <c r="D2" s="4"/>
      <c r="E2" s="4"/>
      <c r="F2" s="33"/>
      <c r="G2" s="33"/>
      <c r="H2" s="34"/>
      <c r="I2" s="34"/>
    </row>
    <row r="3" spans="1:9" ht="15.75" x14ac:dyDescent="0.25">
      <c r="A3" s="7" t="str">
        <f>'RECAP #9483.00'!B3</f>
        <v>Program code 948300</v>
      </c>
      <c r="B3" s="5"/>
      <c r="C3" s="4"/>
      <c r="D3" s="8" t="str">
        <f>'RECAP #9483.00'!E3</f>
        <v>Major Program 4D02</v>
      </c>
      <c r="E3" s="4"/>
      <c r="F3" s="33"/>
      <c r="G3" s="33"/>
      <c r="H3" s="34"/>
      <c r="I3" s="34"/>
    </row>
    <row r="4" spans="1:9" ht="15.75" x14ac:dyDescent="0.25">
      <c r="A4" s="35" t="s">
        <v>336</v>
      </c>
      <c r="B4" s="36"/>
      <c r="C4" s="37"/>
      <c r="D4" s="38" t="s">
        <v>337</v>
      </c>
      <c r="E4" s="39"/>
      <c r="F4" s="33"/>
      <c r="G4" s="33"/>
      <c r="H4" s="34"/>
      <c r="I4" s="34"/>
    </row>
    <row r="5" spans="1:9" ht="15.75" x14ac:dyDescent="0.25">
      <c r="A5" s="40" t="s">
        <v>117</v>
      </c>
      <c r="B5" s="41"/>
      <c r="C5" s="42"/>
      <c r="D5" s="43" t="s">
        <v>338</v>
      </c>
      <c r="E5" s="44"/>
      <c r="F5" s="45"/>
      <c r="G5" s="46"/>
      <c r="H5" s="41"/>
      <c r="I5" s="34"/>
    </row>
    <row r="6" spans="1:9" ht="15.75" x14ac:dyDescent="0.25">
      <c r="A6" s="13" t="str">
        <f>'RECAP #9483.00'!B6</f>
        <v>Project Manager - Brad T.</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339</v>
      </c>
      <c r="B9" s="287">
        <v>45985</v>
      </c>
      <c r="C9" s="288" t="s">
        <v>111</v>
      </c>
      <c r="D9" s="289">
        <v>35000</v>
      </c>
      <c r="E9" s="290">
        <f>D9</f>
        <v>35000</v>
      </c>
      <c r="F9" s="291"/>
      <c r="G9" s="291"/>
      <c r="H9" s="291">
        <f>E9</f>
        <v>35000</v>
      </c>
      <c r="I9" s="292"/>
    </row>
    <row r="10" spans="1:9" s="275" customFormat="1" ht="12.75" customHeight="1" x14ac:dyDescent="0.25">
      <c r="A10" s="286"/>
      <c r="B10" s="293"/>
      <c r="C10" s="288"/>
      <c r="D10" s="290"/>
      <c r="E10" s="290">
        <f t="shared" ref="E10:E21" si="0">E9+D10</f>
        <v>35000</v>
      </c>
      <c r="F10" s="294"/>
      <c r="G10" s="291">
        <f t="shared" ref="G10:G21" si="1">G9+F10</f>
        <v>0</v>
      </c>
      <c r="H10" s="291">
        <f t="shared" ref="H10:H21" si="2">H9-F10+D10</f>
        <v>35000</v>
      </c>
      <c r="I10" s="292"/>
    </row>
    <row r="11" spans="1:9" s="275" customFormat="1" ht="12.75" customHeight="1" x14ac:dyDescent="0.25">
      <c r="A11" s="286"/>
      <c r="B11" s="287"/>
      <c r="C11" s="288"/>
      <c r="D11" s="290"/>
      <c r="E11" s="290">
        <f t="shared" si="0"/>
        <v>35000</v>
      </c>
      <c r="F11" s="295"/>
      <c r="G11" s="291">
        <f t="shared" si="1"/>
        <v>0</v>
      </c>
      <c r="H11" s="291">
        <f t="shared" si="2"/>
        <v>35000</v>
      </c>
      <c r="I11" s="292"/>
    </row>
    <row r="12" spans="1:9" s="275" customFormat="1" ht="12.75" customHeight="1" x14ac:dyDescent="0.25">
      <c r="A12" s="286"/>
      <c r="B12" s="287"/>
      <c r="C12" s="288"/>
      <c r="D12" s="290"/>
      <c r="E12" s="290">
        <f t="shared" si="0"/>
        <v>35000</v>
      </c>
      <c r="F12" s="295"/>
      <c r="G12" s="291">
        <f t="shared" si="1"/>
        <v>0</v>
      </c>
      <c r="H12" s="291">
        <f t="shared" si="2"/>
        <v>35000</v>
      </c>
      <c r="I12" s="292"/>
    </row>
    <row r="13" spans="1:9" s="275" customFormat="1" ht="12.75" customHeight="1" x14ac:dyDescent="0.25">
      <c r="A13" s="286"/>
      <c r="B13" s="287"/>
      <c r="C13" s="288"/>
      <c r="D13" s="290"/>
      <c r="E13" s="290">
        <f t="shared" si="0"/>
        <v>35000</v>
      </c>
      <c r="F13" s="295"/>
      <c r="G13" s="291">
        <f t="shared" si="1"/>
        <v>0</v>
      </c>
      <c r="H13" s="291">
        <f t="shared" si="2"/>
        <v>35000</v>
      </c>
      <c r="I13" s="292"/>
    </row>
    <row r="14" spans="1:9" s="275" customFormat="1" ht="12.75" customHeight="1" x14ac:dyDescent="0.25">
      <c r="A14" s="286"/>
      <c r="B14" s="287"/>
      <c r="C14" s="288"/>
      <c r="D14" s="290"/>
      <c r="E14" s="290">
        <f t="shared" si="0"/>
        <v>35000</v>
      </c>
      <c r="F14" s="291"/>
      <c r="G14" s="291">
        <f t="shared" si="1"/>
        <v>0</v>
      </c>
      <c r="H14" s="291">
        <f t="shared" si="2"/>
        <v>35000</v>
      </c>
      <c r="I14" s="292"/>
    </row>
    <row r="15" spans="1:9" s="275" customFormat="1" ht="12.75" customHeight="1" x14ac:dyDescent="0.25">
      <c r="A15" s="286"/>
      <c r="B15" s="287"/>
      <c r="C15" s="288"/>
      <c r="D15" s="290"/>
      <c r="E15" s="290">
        <f t="shared" si="0"/>
        <v>35000</v>
      </c>
      <c r="F15" s="295"/>
      <c r="G15" s="291">
        <f t="shared" si="1"/>
        <v>0</v>
      </c>
      <c r="H15" s="291">
        <f t="shared" si="2"/>
        <v>35000</v>
      </c>
      <c r="I15" s="292"/>
    </row>
    <row r="16" spans="1:9" s="275" customFormat="1" ht="12.75" customHeight="1" x14ac:dyDescent="0.25">
      <c r="A16" s="286"/>
      <c r="B16" s="287"/>
      <c r="C16" s="288"/>
      <c r="D16" s="290"/>
      <c r="E16" s="290">
        <f t="shared" si="0"/>
        <v>35000</v>
      </c>
      <c r="F16" s="295"/>
      <c r="G16" s="291">
        <f t="shared" si="1"/>
        <v>0</v>
      </c>
      <c r="H16" s="291">
        <f t="shared" si="2"/>
        <v>35000</v>
      </c>
      <c r="I16" s="292"/>
    </row>
    <row r="17" spans="1:9" s="275" customFormat="1" ht="12.75" customHeight="1" x14ac:dyDescent="0.25">
      <c r="A17" s="286"/>
      <c r="B17" s="287"/>
      <c r="C17" s="288"/>
      <c r="D17" s="290"/>
      <c r="E17" s="290">
        <f t="shared" si="0"/>
        <v>35000</v>
      </c>
      <c r="F17" s="295"/>
      <c r="G17" s="291">
        <f t="shared" si="1"/>
        <v>0</v>
      </c>
      <c r="H17" s="291">
        <f t="shared" si="2"/>
        <v>35000</v>
      </c>
      <c r="I17" s="292"/>
    </row>
    <row r="18" spans="1:9" s="275" customFormat="1" ht="12.75" customHeight="1" x14ac:dyDescent="0.25">
      <c r="A18" s="286"/>
      <c r="B18" s="287"/>
      <c r="C18" s="288"/>
      <c r="D18" s="290"/>
      <c r="E18" s="290">
        <f t="shared" si="0"/>
        <v>35000</v>
      </c>
      <c r="F18" s="295"/>
      <c r="G18" s="291">
        <f t="shared" si="1"/>
        <v>0</v>
      </c>
      <c r="H18" s="291">
        <f t="shared" si="2"/>
        <v>35000</v>
      </c>
      <c r="I18" s="292"/>
    </row>
    <row r="19" spans="1:9" s="275" customFormat="1" ht="12.75" customHeight="1" x14ac:dyDescent="0.25">
      <c r="A19" s="286"/>
      <c r="B19" s="287"/>
      <c r="C19" s="288"/>
      <c r="D19" s="290"/>
      <c r="E19" s="290">
        <f t="shared" si="0"/>
        <v>35000</v>
      </c>
      <c r="F19" s="291"/>
      <c r="G19" s="291">
        <f t="shared" si="1"/>
        <v>0</v>
      </c>
      <c r="H19" s="291">
        <f t="shared" si="2"/>
        <v>35000</v>
      </c>
      <c r="I19" s="292"/>
    </row>
    <row r="20" spans="1:9" s="275" customFormat="1" ht="12.75" customHeight="1" x14ac:dyDescent="0.25">
      <c r="A20" s="286"/>
      <c r="B20" s="287"/>
      <c r="C20" s="288"/>
      <c r="D20" s="290"/>
      <c r="E20" s="290">
        <f t="shared" si="0"/>
        <v>35000</v>
      </c>
      <c r="F20" s="291"/>
      <c r="G20" s="291">
        <f t="shared" si="1"/>
        <v>0</v>
      </c>
      <c r="H20" s="291">
        <f t="shared" si="2"/>
        <v>35000</v>
      </c>
      <c r="I20" s="292"/>
    </row>
    <row r="21" spans="1:9" s="275" customFormat="1" ht="12.75" customHeight="1" x14ac:dyDescent="0.25">
      <c r="A21" s="286"/>
      <c r="B21" s="287"/>
      <c r="C21" s="296"/>
      <c r="D21" s="290"/>
      <c r="E21" s="290">
        <f t="shared" si="0"/>
        <v>35000</v>
      </c>
      <c r="F21" s="291"/>
      <c r="G21" s="291">
        <f t="shared" si="1"/>
        <v>0</v>
      </c>
      <c r="H21" s="291">
        <f t="shared" si="2"/>
        <v>35000</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35000</v>
      </c>
      <c r="E23" s="302"/>
      <c r="F23" s="302">
        <f>SUM(F9:F22)</f>
        <v>0</v>
      </c>
      <c r="G23" s="302"/>
      <c r="H23" s="302">
        <f>D23-F23</f>
        <v>35000</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297" t="s">
        <v>340</v>
      </c>
      <c r="D26" s="291">
        <v>10000</v>
      </c>
      <c r="E26" s="291"/>
      <c r="F26" s="291"/>
      <c r="G26" s="291"/>
      <c r="H26" s="291">
        <f>D26-F26</f>
        <v>10000</v>
      </c>
      <c r="I26" s="292"/>
    </row>
    <row r="27" spans="1:9" s="275" customFormat="1" ht="12.75" customHeight="1" x14ac:dyDescent="0.25">
      <c r="A27" s="286"/>
      <c r="B27" s="288"/>
      <c r="C27" s="297" t="s">
        <v>341</v>
      </c>
      <c r="D27" s="291">
        <v>12000</v>
      </c>
      <c r="E27" s="291"/>
      <c r="F27" s="291"/>
      <c r="G27" s="291"/>
      <c r="H27" s="291">
        <f t="shared" ref="H27:H29" si="3">D27-F27</f>
        <v>12000</v>
      </c>
      <c r="I27" s="292"/>
    </row>
    <row r="28" spans="1:9" s="275" customFormat="1" ht="12.75" customHeight="1" x14ac:dyDescent="0.25">
      <c r="A28" s="286"/>
      <c r="B28" s="288"/>
      <c r="C28" s="312" t="s">
        <v>342</v>
      </c>
      <c r="D28" s="313">
        <v>1500</v>
      </c>
      <c r="E28" s="313"/>
      <c r="F28" s="313"/>
      <c r="G28" s="313"/>
      <c r="H28" s="291">
        <f t="shared" si="3"/>
        <v>1500</v>
      </c>
      <c r="I28" s="292"/>
    </row>
    <row r="29" spans="1:9" s="275" customFormat="1" ht="12.75" customHeight="1" x14ac:dyDescent="0.25">
      <c r="A29" s="286"/>
      <c r="B29" s="288"/>
      <c r="C29" s="312" t="s">
        <v>343</v>
      </c>
      <c r="D29" s="313">
        <v>11500</v>
      </c>
      <c r="E29" s="313"/>
      <c r="F29" s="313"/>
      <c r="G29" s="313"/>
      <c r="H29" s="291">
        <f t="shared" si="3"/>
        <v>11500</v>
      </c>
      <c r="I29" s="292"/>
    </row>
    <row r="30" spans="1:9" s="275" customFormat="1" ht="12.75" customHeight="1" thickBot="1" x14ac:dyDescent="0.3">
      <c r="A30" s="286"/>
      <c r="B30" s="288"/>
      <c r="C30" s="314" t="s">
        <v>67</v>
      </c>
      <c r="D30" s="315">
        <f>SUM(D26:D29)</f>
        <v>35000</v>
      </c>
      <c r="E30" s="316"/>
      <c r="F30" s="315">
        <f>SUM(F26:F29)</f>
        <v>0</v>
      </c>
      <c r="G30" s="316"/>
      <c r="H30" s="315">
        <f>SUM(H26:H29)</f>
        <v>35000</v>
      </c>
      <c r="I30" s="292"/>
    </row>
    <row r="31" spans="1:9" s="275" customFormat="1" ht="12.75" customHeight="1" thickTop="1" x14ac:dyDescent="0.25"/>
  </sheetData>
  <conditionalFormatting sqref="I8:I23">
    <cfRule type="cellIs" dxfId="51"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39CD2-D880-4FB3-B34B-0B4B732DD131}">
  <sheetPr codeName="Sheet1">
    <tabColor rgb="FFFF0000"/>
    <pageSetUpPr fitToPage="1"/>
  </sheetPr>
  <dimension ref="A1:O57"/>
  <sheetViews>
    <sheetView tabSelected="1" zoomScaleNormal="100" workbookViewId="0"/>
  </sheetViews>
  <sheetFormatPr defaultColWidth="11.42578125" defaultRowHeight="15" customHeight="1" x14ac:dyDescent="0.25"/>
  <cols>
    <col min="1" max="1" width="3.42578125" bestFit="1" customWidth="1"/>
    <col min="2" max="2" width="9.5703125" customWidth="1"/>
    <col min="3" max="3" width="68" customWidth="1"/>
    <col min="4" max="4" width="14.42578125" customWidth="1"/>
    <col min="5" max="5" width="15.42578125" customWidth="1"/>
    <col min="6" max="6" width="13.5703125" customWidth="1"/>
    <col min="7" max="7" width="15.5703125" bestFit="1" customWidth="1"/>
    <col min="8" max="8" width="14.5703125" customWidth="1"/>
    <col min="9" max="10" width="14.42578125" customWidth="1"/>
    <col min="11" max="11" width="17" bestFit="1" customWidth="1"/>
    <col min="12" max="12" width="4.140625" customWidth="1"/>
    <col min="13" max="13" width="2" customWidth="1"/>
    <col min="14" max="15" width="1" customWidth="1"/>
    <col min="16" max="23" width="11.42578125" customWidth="1"/>
    <col min="257" max="267" width="11.42578125" customWidth="1"/>
    <col min="513" max="523" width="11.42578125" customWidth="1"/>
    <col min="769" max="779" width="11.42578125" customWidth="1"/>
    <col min="1025" max="1035" width="11.42578125" customWidth="1"/>
    <col min="1281" max="1291" width="11.42578125" customWidth="1"/>
    <col min="1537" max="1547" width="11.42578125" customWidth="1"/>
    <col min="1793" max="1803" width="11.42578125" customWidth="1"/>
    <col min="2049" max="2059" width="11.42578125" customWidth="1"/>
    <col min="2305" max="2315" width="11.42578125" customWidth="1"/>
    <col min="2561" max="2571" width="11.42578125" customWidth="1"/>
    <col min="2817" max="2827" width="11.42578125" customWidth="1"/>
    <col min="3073" max="3083" width="11.42578125" customWidth="1"/>
    <col min="3329" max="3339" width="11.42578125" customWidth="1"/>
    <col min="3585" max="3595" width="11.42578125" customWidth="1"/>
    <col min="3841" max="3851" width="11.42578125" customWidth="1"/>
    <col min="4097" max="4107" width="11.42578125" customWidth="1"/>
    <col min="4353" max="4363" width="11.42578125" customWidth="1"/>
    <col min="4609" max="4619" width="11.42578125" customWidth="1"/>
    <col min="4865" max="4875" width="11.42578125" customWidth="1"/>
    <col min="5121" max="5131" width="11.42578125" customWidth="1"/>
    <col min="5377" max="5387" width="11.42578125" customWidth="1"/>
    <col min="5633" max="5643" width="11.42578125" customWidth="1"/>
    <col min="5889" max="5899" width="11.42578125" customWidth="1"/>
    <col min="6145" max="6155" width="11.42578125" customWidth="1"/>
    <col min="6401" max="6411" width="11.42578125" customWidth="1"/>
    <col min="6657" max="6667" width="11.42578125" customWidth="1"/>
    <col min="6913" max="6923" width="11.42578125" customWidth="1"/>
    <col min="7169" max="7179" width="11.42578125" customWidth="1"/>
    <col min="7425" max="7435" width="11.42578125" customWidth="1"/>
    <col min="7681" max="7691" width="11.42578125" customWidth="1"/>
    <col min="7937" max="7947" width="11.42578125" customWidth="1"/>
    <col min="8193" max="8203" width="11.42578125" customWidth="1"/>
    <col min="8449" max="8459" width="11.42578125" customWidth="1"/>
    <col min="8705" max="8715" width="11.42578125" customWidth="1"/>
    <col min="8961" max="8971" width="11.42578125" customWidth="1"/>
    <col min="9217" max="9227" width="11.42578125" customWidth="1"/>
    <col min="9473" max="9483" width="11.42578125" customWidth="1"/>
    <col min="9729" max="9739" width="11.42578125" customWidth="1"/>
    <col min="9985" max="9995" width="11.42578125" customWidth="1"/>
    <col min="10241" max="10251" width="11.42578125" customWidth="1"/>
    <col min="10497" max="10507" width="11.42578125" customWidth="1"/>
    <col min="10753" max="10763" width="11.42578125" customWidth="1"/>
    <col min="11009" max="11019" width="11.42578125" customWidth="1"/>
    <col min="11265" max="11275" width="11.42578125" customWidth="1"/>
    <col min="11521" max="11531" width="11.42578125" customWidth="1"/>
    <col min="11777" max="11787" width="11.42578125" customWidth="1"/>
    <col min="12033" max="12043" width="11.42578125" customWidth="1"/>
    <col min="12289" max="12299" width="11.42578125" customWidth="1"/>
    <col min="12545" max="12555" width="11.42578125" customWidth="1"/>
    <col min="12801" max="12811" width="11.42578125" customWidth="1"/>
    <col min="13057" max="13067" width="11.42578125" customWidth="1"/>
    <col min="13313" max="13323" width="11.42578125" customWidth="1"/>
    <col min="13569" max="13579" width="11.42578125" customWidth="1"/>
    <col min="13825" max="13835" width="11.42578125" customWidth="1"/>
    <col min="14081" max="14091" width="11.42578125" customWidth="1"/>
    <col min="14337" max="14347" width="11.42578125" customWidth="1"/>
    <col min="14593" max="14603" width="11.42578125" customWidth="1"/>
    <col min="14849" max="14859" width="11.42578125" customWidth="1"/>
    <col min="15105" max="15115" width="11.42578125" customWidth="1"/>
    <col min="15361" max="15371" width="11.42578125" customWidth="1"/>
    <col min="15617" max="15627" width="11.42578125" customWidth="1"/>
    <col min="15873" max="15883" width="11.42578125" customWidth="1"/>
    <col min="16129" max="16139" width="11.42578125" customWidth="1"/>
  </cols>
  <sheetData>
    <row r="1" spans="1:15" x14ac:dyDescent="0.25">
      <c r="A1" s="93"/>
      <c r="B1" s="94"/>
      <c r="C1" s="95" t="s">
        <v>2</v>
      </c>
      <c r="D1" s="96"/>
      <c r="E1" s="97" t="s">
        <v>2</v>
      </c>
      <c r="F1" s="97"/>
      <c r="G1" s="97"/>
      <c r="H1" s="98"/>
      <c r="I1" s="98"/>
      <c r="J1" s="99"/>
      <c r="K1" s="99"/>
      <c r="L1" s="99"/>
      <c r="M1" s="99"/>
      <c r="N1" s="99"/>
      <c r="O1" s="99"/>
    </row>
    <row r="2" spans="1:15" ht="54" customHeight="1" thickBot="1" x14ac:dyDescent="0.3">
      <c r="A2" s="100" t="s">
        <v>34</v>
      </c>
      <c r="B2" s="101" t="s">
        <v>35</v>
      </c>
      <c r="C2" s="102" t="s">
        <v>36</v>
      </c>
      <c r="D2" s="103" t="s">
        <v>37</v>
      </c>
      <c r="E2" s="104" t="s">
        <v>38</v>
      </c>
      <c r="F2" s="105" t="s">
        <v>39</v>
      </c>
      <c r="G2" s="106" t="s">
        <v>40</v>
      </c>
      <c r="H2" s="104" t="s">
        <v>41</v>
      </c>
      <c r="I2" s="104" t="s">
        <v>42</v>
      </c>
      <c r="J2" s="106" t="s">
        <v>43</v>
      </c>
      <c r="K2" s="104" t="s">
        <v>44</v>
      </c>
      <c r="L2" s="107"/>
      <c r="M2" s="107"/>
      <c r="N2" s="107"/>
      <c r="O2" s="107"/>
    </row>
    <row r="3" spans="1:15" x14ac:dyDescent="0.25">
      <c r="A3" s="108"/>
      <c r="B3" s="109"/>
      <c r="C3" s="110" t="s">
        <v>85</v>
      </c>
      <c r="D3" s="177">
        <v>22000000</v>
      </c>
      <c r="E3" s="111"/>
      <c r="F3" s="111"/>
      <c r="G3" s="111"/>
      <c r="H3" s="111"/>
      <c r="I3" s="98"/>
      <c r="J3" s="99"/>
      <c r="K3" s="99"/>
      <c r="L3" s="99"/>
      <c r="M3" s="99"/>
      <c r="N3" s="99"/>
      <c r="O3" s="99"/>
    </row>
    <row r="4" spans="1:15" x14ac:dyDescent="0.25">
      <c r="A4" s="108"/>
      <c r="B4" s="109"/>
      <c r="C4" s="110" t="s">
        <v>39</v>
      </c>
      <c r="D4" s="112"/>
      <c r="E4" s="111"/>
      <c r="F4" s="111"/>
      <c r="G4" s="111"/>
      <c r="H4" s="111"/>
      <c r="I4" s="98"/>
      <c r="J4" s="99"/>
      <c r="K4" s="99"/>
      <c r="L4" s="99"/>
      <c r="M4" s="99"/>
      <c r="N4" s="99"/>
      <c r="O4" s="99"/>
    </row>
    <row r="5" spans="1:15" x14ac:dyDescent="0.25">
      <c r="A5" s="108"/>
      <c r="B5" s="109"/>
      <c r="C5" s="110" t="s">
        <v>45</v>
      </c>
      <c r="D5" s="112"/>
      <c r="E5" s="113">
        <v>0</v>
      </c>
      <c r="F5" s="111"/>
      <c r="G5" s="111"/>
      <c r="H5" s="111"/>
      <c r="I5" s="98"/>
      <c r="J5" s="99"/>
      <c r="K5" s="99"/>
      <c r="L5" s="99"/>
      <c r="M5" s="99"/>
      <c r="N5" s="99"/>
      <c r="O5" s="99"/>
    </row>
    <row r="6" spans="1:15" ht="15.75" thickBot="1" x14ac:dyDescent="0.3">
      <c r="A6" s="108"/>
      <c r="B6" s="109"/>
      <c r="C6" s="110" t="s">
        <v>46</v>
      </c>
      <c r="D6" s="112"/>
      <c r="E6" s="114">
        <f>D3+D4-E5</f>
        <v>22000000</v>
      </c>
      <c r="F6" s="111"/>
      <c r="G6" s="111"/>
      <c r="H6" s="111"/>
      <c r="I6" s="98"/>
      <c r="J6" s="99"/>
      <c r="K6" s="99"/>
      <c r="L6" s="99"/>
      <c r="M6" s="99"/>
      <c r="N6" s="99"/>
      <c r="O6" s="99"/>
    </row>
    <row r="7" spans="1:15" ht="16.5" thickTop="1" thickBot="1" x14ac:dyDescent="0.3">
      <c r="A7" s="108"/>
      <c r="B7" s="109" t="s">
        <v>47</v>
      </c>
      <c r="C7" s="110" t="s">
        <v>48</v>
      </c>
      <c r="D7" s="112"/>
      <c r="E7" s="115">
        <f>G50</f>
        <v>21868312</v>
      </c>
      <c r="F7" s="111"/>
      <c r="G7" s="111"/>
      <c r="H7" s="111"/>
      <c r="I7" s="98"/>
      <c r="J7" s="99"/>
      <c r="K7" s="99"/>
      <c r="L7" s="99"/>
      <c r="M7" s="99"/>
      <c r="N7" s="99"/>
      <c r="O7" s="99"/>
    </row>
    <row r="8" spans="1:15" ht="15.75" thickBot="1" x14ac:dyDescent="0.3">
      <c r="A8" s="108"/>
      <c r="B8" s="109"/>
      <c r="C8" s="110" t="s">
        <v>49</v>
      </c>
      <c r="D8" s="112"/>
      <c r="E8" s="116">
        <f>E6-E7</f>
        <v>131688</v>
      </c>
      <c r="F8" s="111"/>
      <c r="G8" s="111"/>
      <c r="H8" s="111"/>
      <c r="I8" s="98"/>
      <c r="J8" s="99"/>
      <c r="K8" s="99"/>
      <c r="L8" s="99"/>
      <c r="M8" s="99"/>
      <c r="N8" s="99"/>
      <c r="O8" s="99"/>
    </row>
    <row r="9" spans="1:15" x14ac:dyDescent="0.25">
      <c r="A9" s="108"/>
      <c r="B9" s="109"/>
      <c r="C9" s="117"/>
      <c r="D9" s="112"/>
      <c r="E9" s="111"/>
      <c r="F9" s="111"/>
      <c r="G9" s="111"/>
      <c r="H9" s="111"/>
      <c r="I9" s="98"/>
      <c r="J9" s="99"/>
      <c r="K9" s="99"/>
      <c r="L9" s="99"/>
      <c r="M9" s="99"/>
      <c r="N9" s="99"/>
      <c r="O9" s="99"/>
    </row>
    <row r="10" spans="1:15" x14ac:dyDescent="0.25">
      <c r="A10" s="108"/>
      <c r="B10" s="109"/>
      <c r="C10" s="117"/>
      <c r="D10" s="112"/>
      <c r="E10" s="111"/>
      <c r="F10" s="111"/>
      <c r="G10" s="111"/>
      <c r="H10" s="111"/>
      <c r="I10" s="98"/>
      <c r="J10" s="99"/>
      <c r="K10" s="99"/>
      <c r="L10" s="99"/>
      <c r="M10" s="99"/>
      <c r="N10" s="99"/>
      <c r="O10" s="99"/>
    </row>
    <row r="11" spans="1:15" x14ac:dyDescent="0.25">
      <c r="A11" s="108"/>
      <c r="B11" s="109"/>
      <c r="C11" s="117"/>
      <c r="D11" s="112"/>
      <c r="E11" s="111"/>
      <c r="F11" s="111"/>
      <c r="G11" s="111"/>
      <c r="H11" s="111"/>
      <c r="I11" s="98"/>
      <c r="J11" s="99"/>
      <c r="K11" s="99"/>
      <c r="L11" s="99"/>
      <c r="M11" s="99"/>
      <c r="N11" s="99"/>
      <c r="O11" s="99"/>
    </row>
    <row r="12" spans="1:15" ht="15.75" x14ac:dyDescent="0.25">
      <c r="A12" s="118"/>
      <c r="B12" s="119"/>
      <c r="C12" s="120" t="s">
        <v>50</v>
      </c>
      <c r="D12" s="121"/>
      <c r="E12" s="122"/>
      <c r="F12" s="122"/>
      <c r="G12" s="122"/>
      <c r="H12" s="122"/>
      <c r="I12" s="122"/>
      <c r="J12" s="123"/>
      <c r="K12" s="123"/>
      <c r="L12" s="99"/>
      <c r="M12" s="99"/>
      <c r="N12" s="99"/>
      <c r="O12" s="99"/>
    </row>
    <row r="13" spans="1:15" ht="23.25" x14ac:dyDescent="0.25">
      <c r="A13" s="124"/>
      <c r="B13" s="125"/>
      <c r="C13" s="126"/>
      <c r="D13" s="127"/>
      <c r="E13" s="128" t="s">
        <v>51</v>
      </c>
      <c r="F13" s="129" t="s">
        <v>52</v>
      </c>
      <c r="G13" s="129" t="s">
        <v>53</v>
      </c>
      <c r="H13" s="129" t="s">
        <v>52</v>
      </c>
      <c r="I13" s="129" t="s">
        <v>52</v>
      </c>
      <c r="J13" s="129" t="s">
        <v>52</v>
      </c>
      <c r="K13" s="129" t="s">
        <v>52</v>
      </c>
      <c r="L13" s="130"/>
      <c r="M13" s="130"/>
      <c r="N13" s="130"/>
      <c r="O13" s="130"/>
    </row>
    <row r="14" spans="1:15" s="275" customFormat="1" ht="12.75" customHeight="1" x14ac:dyDescent="0.25">
      <c r="A14" s="268"/>
      <c r="B14" s="269"/>
      <c r="C14" s="270" t="s">
        <v>54</v>
      </c>
      <c r="D14" s="271"/>
      <c r="E14" s="128"/>
      <c r="F14" s="272"/>
      <c r="G14" s="273"/>
      <c r="H14" s="273"/>
      <c r="I14" s="273"/>
      <c r="J14" s="273"/>
      <c r="K14" s="273"/>
      <c r="L14" s="274"/>
      <c r="M14" s="274"/>
      <c r="N14" s="274"/>
      <c r="O14" s="274"/>
    </row>
    <row r="15" spans="1:15" s="275" customFormat="1" ht="12.75" customHeight="1" x14ac:dyDescent="0.25">
      <c r="A15" s="268"/>
      <c r="B15" s="269" t="s">
        <v>63</v>
      </c>
      <c r="C15" s="276" t="s">
        <v>55</v>
      </c>
      <c r="D15" s="271" t="s">
        <v>100</v>
      </c>
      <c r="E15" s="277">
        <v>75000</v>
      </c>
      <c r="F15" s="271"/>
      <c r="G15" s="277">
        <f t="shared" ref="G15:G47" si="0">E15+F15</f>
        <v>75000</v>
      </c>
      <c r="H15" s="271">
        <f>'RECAP #9997.26'!D14</f>
        <v>75000</v>
      </c>
      <c r="I15" s="271">
        <f>'RECAP #9997.26'!E14</f>
        <v>57658.729999999996</v>
      </c>
      <c r="J15" s="271">
        <f>'RECAP #9997.26'!F14</f>
        <v>17341.270000000004</v>
      </c>
      <c r="K15" s="271">
        <f>'RECAP #9997.26'!G14</f>
        <v>0</v>
      </c>
      <c r="L15" s="274"/>
      <c r="M15" s="274"/>
      <c r="N15" s="274"/>
      <c r="O15" s="278">
        <f>'#9997.26 PM TIME '!I39</f>
        <v>17341.270000000004</v>
      </c>
    </row>
    <row r="16" spans="1:15" s="275" customFormat="1" ht="12.75" customHeight="1" x14ac:dyDescent="0.25">
      <c r="A16" s="268"/>
      <c r="B16" s="269" t="s">
        <v>497</v>
      </c>
      <c r="C16" s="270" t="s">
        <v>498</v>
      </c>
      <c r="D16" s="271" t="s">
        <v>75</v>
      </c>
      <c r="E16" s="277">
        <v>1550000</v>
      </c>
      <c r="F16" s="271"/>
      <c r="G16" s="277">
        <f t="shared" si="0"/>
        <v>1550000</v>
      </c>
      <c r="H16" s="271">
        <f>'RECAP #9440.01'!D15</f>
        <v>191589.16</v>
      </c>
      <c r="I16" s="271">
        <f>'RECAP #9440.01'!E15</f>
        <v>610.28</v>
      </c>
      <c r="J16" s="271">
        <f>'RECAP #9440.01'!F15</f>
        <v>190978.88</v>
      </c>
      <c r="K16" s="271">
        <f>'RECAP #9440.01'!G15</f>
        <v>1358410.84</v>
      </c>
      <c r="L16" s="274"/>
      <c r="M16" s="274"/>
      <c r="N16" s="274"/>
      <c r="O16" s="278">
        <f>'#9440.01 PM TIME '!I23</f>
        <v>29389.72</v>
      </c>
    </row>
    <row r="17" spans="1:15" s="275" customFormat="1" ht="12.75" customHeight="1" x14ac:dyDescent="0.25">
      <c r="A17" s="268"/>
      <c r="B17" s="279" t="s">
        <v>353</v>
      </c>
      <c r="C17" s="280" t="s">
        <v>354</v>
      </c>
      <c r="D17" s="281" t="s">
        <v>355</v>
      </c>
      <c r="E17" s="277">
        <f>4600000-900000</f>
        <v>3700000</v>
      </c>
      <c r="F17" s="271"/>
      <c r="G17" s="277">
        <f t="shared" si="0"/>
        <v>3700000</v>
      </c>
      <c r="H17" s="271">
        <f>'RECAP #9455.00'!D15</f>
        <v>3211570.68</v>
      </c>
      <c r="I17" s="271">
        <f>'RECAP #9455.00'!E15</f>
        <v>11100.77</v>
      </c>
      <c r="J17" s="271">
        <f>'RECAP #9455.00'!F15</f>
        <v>3200469.91</v>
      </c>
      <c r="K17" s="271">
        <f>'RECAP #9455.00'!G15</f>
        <v>488429.31999999983</v>
      </c>
      <c r="L17" s="274"/>
      <c r="M17" s="274"/>
      <c r="N17" s="274"/>
      <c r="O17" s="278">
        <f>'#9455.00 PM TIME '!I23</f>
        <v>0</v>
      </c>
    </row>
    <row r="18" spans="1:15" s="275" customFormat="1" ht="12.75" customHeight="1" x14ac:dyDescent="0.25">
      <c r="A18" s="268"/>
      <c r="B18" s="269" t="s">
        <v>71</v>
      </c>
      <c r="C18" s="270" t="s">
        <v>73</v>
      </c>
      <c r="D18" s="271" t="s">
        <v>75</v>
      </c>
      <c r="E18" s="277">
        <v>2630000</v>
      </c>
      <c r="F18" s="271"/>
      <c r="G18" s="277">
        <f t="shared" si="0"/>
        <v>2630000</v>
      </c>
      <c r="H18" s="271">
        <f>'RECAP #9483.00'!D15</f>
        <v>143614.78999999998</v>
      </c>
      <c r="I18" s="271">
        <f>'RECAP #9483.00'!E15</f>
        <v>33052.810000000005</v>
      </c>
      <c r="J18" s="271">
        <f>'RECAP #9483.00'!F15</f>
        <v>110561.97999999998</v>
      </c>
      <c r="K18" s="271">
        <f>'RECAP #9483.00'!G15</f>
        <v>2486385.21</v>
      </c>
      <c r="L18" s="274"/>
      <c r="M18" s="274"/>
      <c r="N18" s="274"/>
      <c r="O18" s="278">
        <f>'#9483.00 PM TIME'!I30</f>
        <v>67744.39</v>
      </c>
    </row>
    <row r="19" spans="1:15" s="275" customFormat="1" ht="12.75" customHeight="1" x14ac:dyDescent="0.25">
      <c r="A19" s="268"/>
      <c r="B19" s="269" t="s">
        <v>72</v>
      </c>
      <c r="C19" s="270" t="s">
        <v>74</v>
      </c>
      <c r="D19" s="271" t="s">
        <v>75</v>
      </c>
      <c r="E19" s="277">
        <v>575000</v>
      </c>
      <c r="F19" s="271"/>
      <c r="G19" s="277">
        <f t="shared" si="0"/>
        <v>575000</v>
      </c>
      <c r="H19" s="271">
        <f>'RECAP #9484.00'!D18</f>
        <v>386608.61</v>
      </c>
      <c r="I19" s="271">
        <f>'RECAP #9484.00'!E18</f>
        <v>89627.1</v>
      </c>
      <c r="J19" s="271">
        <f>'RECAP #9484.00'!F18</f>
        <v>296981.51</v>
      </c>
      <c r="K19" s="271">
        <f>'RECAP #9484.00'!G18</f>
        <v>188391.39</v>
      </c>
      <c r="L19" s="274"/>
      <c r="M19" s="274"/>
      <c r="N19" s="274"/>
      <c r="O19" s="278">
        <f>'#9484.00 PM TIME'!I30</f>
        <v>12040.419999999998</v>
      </c>
    </row>
    <row r="20" spans="1:15" s="275" customFormat="1" ht="12.75" customHeight="1" x14ac:dyDescent="0.25">
      <c r="A20" s="268"/>
      <c r="B20" s="269" t="s">
        <v>90</v>
      </c>
      <c r="C20" s="270" t="s">
        <v>91</v>
      </c>
      <c r="D20" s="271" t="s">
        <v>92</v>
      </c>
      <c r="E20" s="277">
        <f>170000+300000-150000</f>
        <v>320000</v>
      </c>
      <c r="F20" s="271"/>
      <c r="G20" s="277">
        <f t="shared" si="0"/>
        <v>320000</v>
      </c>
      <c r="H20" s="271">
        <f>'RECAP #9491.00'!D16</f>
        <v>244087.53</v>
      </c>
      <c r="I20" s="271">
        <f>'RECAP #9491.00'!E16</f>
        <v>29210.28</v>
      </c>
      <c r="J20" s="271">
        <f>'RECAP #9491.00'!F16</f>
        <v>214877.25</v>
      </c>
      <c r="K20" s="271">
        <f>'RECAP #9491.00'!G16</f>
        <v>75912.47</v>
      </c>
      <c r="L20" s="274"/>
      <c r="M20" s="274"/>
      <c r="N20" s="274"/>
      <c r="O20" s="379">
        <f>'#9491.00 PM TIME '!I28</f>
        <v>4353.2500000000018</v>
      </c>
    </row>
    <row r="21" spans="1:15" s="275" customFormat="1" ht="12.75" customHeight="1" x14ac:dyDescent="0.25">
      <c r="A21" s="282" t="s">
        <v>258</v>
      </c>
      <c r="B21" s="269" t="s">
        <v>131</v>
      </c>
      <c r="C21" s="270" t="s">
        <v>151</v>
      </c>
      <c r="D21" s="271" t="s">
        <v>169</v>
      </c>
      <c r="E21" s="277">
        <f>4600000-4600000</f>
        <v>0</v>
      </c>
      <c r="F21" s="271"/>
      <c r="G21" s="277">
        <f t="shared" si="0"/>
        <v>0</v>
      </c>
      <c r="H21" s="271">
        <f>'RECAP #9494.00'!D14</f>
        <v>0</v>
      </c>
      <c r="I21" s="271">
        <f>'RECAP #9494.00'!E14</f>
        <v>0</v>
      </c>
      <c r="J21" s="271">
        <f>'RECAP #9494.00'!F14</f>
        <v>0</v>
      </c>
      <c r="K21" s="271">
        <f>'RECAP #9494.00'!G14</f>
        <v>0</v>
      </c>
      <c r="L21" s="274"/>
      <c r="M21" s="274"/>
      <c r="N21" s="274"/>
      <c r="O21" s="278"/>
    </row>
    <row r="22" spans="1:15" s="275" customFormat="1" ht="12.75" customHeight="1" x14ac:dyDescent="0.25">
      <c r="A22" s="282" t="s">
        <v>258</v>
      </c>
      <c r="B22" s="269" t="s">
        <v>132</v>
      </c>
      <c r="C22" s="270" t="s">
        <v>152</v>
      </c>
      <c r="D22" s="271" t="s">
        <v>170</v>
      </c>
      <c r="E22" s="277">
        <f>1400000-1400000</f>
        <v>0</v>
      </c>
      <c r="F22" s="271"/>
      <c r="G22" s="277">
        <f t="shared" si="0"/>
        <v>0</v>
      </c>
      <c r="H22" s="271">
        <f>'RECAP #9495.00'!D14</f>
        <v>0</v>
      </c>
      <c r="I22" s="271">
        <f>'RECAP #9495.00'!E14</f>
        <v>0</v>
      </c>
      <c r="J22" s="271">
        <f>'RECAP #9495.00'!F14</f>
        <v>0</v>
      </c>
      <c r="K22" s="271">
        <f>'RECAP #9495.00'!G14</f>
        <v>0</v>
      </c>
      <c r="L22" s="274"/>
      <c r="M22" s="274"/>
      <c r="N22" s="274"/>
      <c r="O22" s="278"/>
    </row>
    <row r="23" spans="1:15" s="275" customFormat="1" ht="12.75" customHeight="1" x14ac:dyDescent="0.25">
      <c r="A23" s="282"/>
      <c r="B23" s="269" t="s">
        <v>133</v>
      </c>
      <c r="C23" s="270" t="s">
        <v>153</v>
      </c>
      <c r="D23" s="271" t="s">
        <v>169</v>
      </c>
      <c r="E23" s="277">
        <v>250000</v>
      </c>
      <c r="F23" s="271"/>
      <c r="G23" s="277">
        <f t="shared" si="0"/>
        <v>250000</v>
      </c>
      <c r="H23" s="271">
        <f>'RECAP #9496.00'!D15</f>
        <v>65338.83</v>
      </c>
      <c r="I23" s="271">
        <f>'RECAP #9496.00'!E15</f>
        <v>7493.13</v>
      </c>
      <c r="J23" s="271">
        <f>'RECAP #9496.00'!F15</f>
        <v>57845.700000000004</v>
      </c>
      <c r="K23" s="271">
        <f>'RECAP #9496.00'!G15</f>
        <v>184661.16999999998</v>
      </c>
      <c r="L23" s="274"/>
      <c r="M23" s="274"/>
      <c r="N23" s="274"/>
      <c r="O23" s="278">
        <f>'#9496.00 PM TIME'!I23</f>
        <v>7533.68</v>
      </c>
    </row>
    <row r="24" spans="1:15" s="275" customFormat="1" ht="12.75" customHeight="1" x14ac:dyDescent="0.25">
      <c r="A24" s="268"/>
      <c r="B24" s="269" t="s">
        <v>134</v>
      </c>
      <c r="C24" s="270" t="s">
        <v>154</v>
      </c>
      <c r="D24" s="271" t="s">
        <v>92</v>
      </c>
      <c r="E24" s="277">
        <v>495000</v>
      </c>
      <c r="F24" s="271"/>
      <c r="G24" s="277">
        <f t="shared" si="0"/>
        <v>495000</v>
      </c>
      <c r="H24" s="271">
        <f>'RECAP #9497.00'!D15</f>
        <v>59199.079999999994</v>
      </c>
      <c r="I24" s="271">
        <f>'RECAP #9497.00'!E15</f>
        <v>32598.539999999997</v>
      </c>
      <c r="J24" s="271">
        <f>'RECAP #9497.00'!F15</f>
        <v>26600.539999999997</v>
      </c>
      <c r="K24" s="271">
        <f>'RECAP #9497.00'!G15</f>
        <v>435800.92</v>
      </c>
      <c r="L24" s="274"/>
      <c r="M24" s="274"/>
      <c r="N24" s="274"/>
      <c r="O24" s="278">
        <f>'#9497.00 PM TIME'!I23</f>
        <v>4542.7599999999993</v>
      </c>
    </row>
    <row r="25" spans="1:15" s="275" customFormat="1" ht="12.75" customHeight="1" x14ac:dyDescent="0.25">
      <c r="A25" s="268"/>
      <c r="B25" s="269" t="s">
        <v>135</v>
      </c>
      <c r="C25" s="270" t="s">
        <v>155</v>
      </c>
      <c r="D25" s="271" t="s">
        <v>171</v>
      </c>
      <c r="E25" s="277">
        <f>105000+35000</f>
        <v>140000</v>
      </c>
      <c r="F25" s="271"/>
      <c r="G25" s="277">
        <f t="shared" si="0"/>
        <v>140000</v>
      </c>
      <c r="H25" s="271">
        <f>'RECAP #9498.00'!D15</f>
        <v>57179.54</v>
      </c>
      <c r="I25" s="271">
        <f>'RECAP #9498.00'!E15</f>
        <v>14158.939999999999</v>
      </c>
      <c r="J25" s="271">
        <f>'RECAP #9498.00'!F15</f>
        <v>43020.600000000006</v>
      </c>
      <c r="K25" s="271">
        <f>'RECAP #9498.00'!G15</f>
        <v>82820.459999999992</v>
      </c>
      <c r="L25" s="274"/>
      <c r="M25" s="274"/>
      <c r="N25" s="274"/>
      <c r="O25" s="278">
        <f>'#9498.00 PM TIME'!I26</f>
        <v>4261.8599999999997</v>
      </c>
    </row>
    <row r="26" spans="1:15" s="275" customFormat="1" ht="12.75" customHeight="1" x14ac:dyDescent="0.25">
      <c r="A26" s="268"/>
      <c r="B26" s="269" t="s">
        <v>136</v>
      </c>
      <c r="C26" s="270" t="s">
        <v>156</v>
      </c>
      <c r="D26" s="271" t="s">
        <v>172</v>
      </c>
      <c r="E26" s="277">
        <v>640965</v>
      </c>
      <c r="F26" s="271"/>
      <c r="G26" s="277">
        <f t="shared" si="0"/>
        <v>640965</v>
      </c>
      <c r="H26" s="271">
        <f>'RECAP #9499.00'!D16</f>
        <v>95784.05</v>
      </c>
      <c r="I26" s="271">
        <f>'RECAP #9499.00'!E16</f>
        <v>41881.089999999997</v>
      </c>
      <c r="J26" s="271">
        <f>'RECAP #9499.00'!F16</f>
        <v>53902.960000000006</v>
      </c>
      <c r="K26" s="271">
        <f>'RECAP #9499.00'!G16</f>
        <v>545180.94999999995</v>
      </c>
      <c r="L26" s="274"/>
      <c r="M26" s="274"/>
      <c r="N26" s="274"/>
      <c r="O26" s="278">
        <f>'#9499.00 PM TIME '!I23</f>
        <v>8934.5999999999985</v>
      </c>
    </row>
    <row r="27" spans="1:15" s="275" customFormat="1" ht="12.75" customHeight="1" x14ac:dyDescent="0.25">
      <c r="A27" s="282"/>
      <c r="B27" s="269" t="s">
        <v>137</v>
      </c>
      <c r="C27" s="270" t="s">
        <v>157</v>
      </c>
      <c r="D27" s="271" t="s">
        <v>173</v>
      </c>
      <c r="E27" s="277">
        <v>400000</v>
      </c>
      <c r="F27" s="271"/>
      <c r="G27" s="277">
        <f t="shared" si="0"/>
        <v>400000</v>
      </c>
      <c r="H27" s="271">
        <f>'RECAP #9500.00'!D16</f>
        <v>68074.97</v>
      </c>
      <c r="I27" s="271">
        <f>'RECAP #9500.00'!E16</f>
        <v>24434.19</v>
      </c>
      <c r="J27" s="271">
        <f>'RECAP #9500.00'!F16</f>
        <v>43640.78</v>
      </c>
      <c r="K27" s="271">
        <f>'RECAP #9500.00'!G16</f>
        <v>331925.03000000003</v>
      </c>
      <c r="L27" s="274"/>
      <c r="M27" s="274"/>
      <c r="N27" s="274"/>
      <c r="O27" s="278">
        <f>'#9500.00 PM TIME'!I26</f>
        <v>3277.6500000000005</v>
      </c>
    </row>
    <row r="28" spans="1:15" s="275" customFormat="1" ht="12.75" customHeight="1" x14ac:dyDescent="0.25">
      <c r="A28" s="268"/>
      <c r="B28" s="269" t="s">
        <v>138</v>
      </c>
      <c r="C28" s="270" t="s">
        <v>158</v>
      </c>
      <c r="D28" s="271" t="s">
        <v>169</v>
      </c>
      <c r="E28" s="277">
        <v>275000</v>
      </c>
      <c r="F28" s="271"/>
      <c r="G28" s="277">
        <f t="shared" si="0"/>
        <v>275000</v>
      </c>
      <c r="H28" s="271">
        <f>'RECAP #9501.00'!D15</f>
        <v>62918.83</v>
      </c>
      <c r="I28" s="271">
        <f>'RECAP #9501.00'!E15</f>
        <v>5676.4699999999993</v>
      </c>
      <c r="J28" s="271">
        <f>'RECAP #9501.00'!F15</f>
        <v>57242.36</v>
      </c>
      <c r="K28" s="271">
        <f>'RECAP #9501.00'!G15</f>
        <v>212081.16999999998</v>
      </c>
      <c r="L28" s="274"/>
      <c r="M28" s="274"/>
      <c r="N28" s="274"/>
      <c r="O28" s="278">
        <f>'#9501.00 PM TIME'!I23</f>
        <v>7850.34</v>
      </c>
    </row>
    <row r="29" spans="1:15" s="275" customFormat="1" ht="12.75" customHeight="1" x14ac:dyDescent="0.25">
      <c r="A29" s="283"/>
      <c r="B29" s="269" t="s">
        <v>139</v>
      </c>
      <c r="C29" s="270" t="s">
        <v>177</v>
      </c>
      <c r="D29" s="271" t="s">
        <v>173</v>
      </c>
      <c r="E29" s="277">
        <f>505000+450000</f>
        <v>955000</v>
      </c>
      <c r="F29" s="271"/>
      <c r="G29" s="277">
        <f t="shared" si="0"/>
        <v>955000</v>
      </c>
      <c r="H29" s="271">
        <f>'RECAP #9502.00'!D17</f>
        <v>863057.66999999993</v>
      </c>
      <c r="I29" s="271">
        <f>'RECAP #9502.00'!E17</f>
        <v>53344.56</v>
      </c>
      <c r="J29" s="271">
        <f>'RECAP #9502.00'!F17</f>
        <v>809713.10999999987</v>
      </c>
      <c r="K29" s="271">
        <f>'RECAP #9502.00'!G17</f>
        <v>91942.330000000075</v>
      </c>
      <c r="L29" s="274"/>
      <c r="M29" s="284"/>
      <c r="N29" s="284"/>
      <c r="O29" s="285">
        <f>'#9502.00 PM TIME'!I26</f>
        <v>7039.82</v>
      </c>
    </row>
    <row r="30" spans="1:15" s="275" customFormat="1" ht="12.75" customHeight="1" x14ac:dyDescent="0.25">
      <c r="A30" s="283"/>
      <c r="B30" s="269" t="s">
        <v>140</v>
      </c>
      <c r="C30" s="270" t="s">
        <v>159</v>
      </c>
      <c r="D30" s="271" t="s">
        <v>174</v>
      </c>
      <c r="E30" s="277">
        <v>440000</v>
      </c>
      <c r="F30" s="271"/>
      <c r="G30" s="277">
        <f t="shared" si="0"/>
        <v>440000</v>
      </c>
      <c r="H30" s="271">
        <f>'RECAP #9503.00'!D15</f>
        <v>40768.589999999997</v>
      </c>
      <c r="I30" s="271">
        <f>'RECAP #9503.00'!E15</f>
        <v>10588.35</v>
      </c>
      <c r="J30" s="271">
        <f>'RECAP #9503.00'!F15</f>
        <v>30180.239999999998</v>
      </c>
      <c r="K30" s="271">
        <f>'RECAP #9503.00'!G15</f>
        <v>399231.41000000003</v>
      </c>
      <c r="L30" s="274"/>
      <c r="M30" s="284"/>
      <c r="N30" s="284"/>
      <c r="O30" s="285">
        <f>'#9503.00 PM TIME '!I23</f>
        <v>6390.27</v>
      </c>
    </row>
    <row r="31" spans="1:15" s="275" customFormat="1" ht="12.75" customHeight="1" x14ac:dyDescent="0.25">
      <c r="A31" s="283"/>
      <c r="B31" s="269" t="s">
        <v>141</v>
      </c>
      <c r="C31" s="270" t="s">
        <v>160</v>
      </c>
      <c r="D31" s="271" t="s">
        <v>174</v>
      </c>
      <c r="E31" s="277">
        <v>400000</v>
      </c>
      <c r="F31" s="271"/>
      <c r="G31" s="277">
        <f t="shared" si="0"/>
        <v>400000</v>
      </c>
      <c r="H31" s="271">
        <f>'RECAP #9504.00'!D15</f>
        <v>117109.62</v>
      </c>
      <c r="I31" s="271">
        <f>'RECAP #9504.00'!E15</f>
        <v>5534.38</v>
      </c>
      <c r="J31" s="271">
        <f>'RECAP #9504.00'!F15</f>
        <v>111575.23999999999</v>
      </c>
      <c r="K31" s="271">
        <f>'RECAP #9504.00'!G15</f>
        <v>282890.38</v>
      </c>
      <c r="L31" s="274"/>
      <c r="M31" s="284"/>
      <c r="N31" s="284"/>
      <c r="O31" s="285">
        <f>'#9504.00 PM TIME'!I23</f>
        <v>6081.4</v>
      </c>
    </row>
    <row r="32" spans="1:15" s="275" customFormat="1" ht="12.75" customHeight="1" x14ac:dyDescent="0.25">
      <c r="A32" s="283"/>
      <c r="B32" s="269" t="s">
        <v>142</v>
      </c>
      <c r="C32" s="270" t="s">
        <v>161</v>
      </c>
      <c r="D32" s="271" t="s">
        <v>169</v>
      </c>
      <c r="E32" s="277">
        <f>385000+106000</f>
        <v>491000</v>
      </c>
      <c r="F32" s="271"/>
      <c r="G32" s="277">
        <f t="shared" si="0"/>
        <v>491000</v>
      </c>
      <c r="H32" s="271">
        <f>'RECAP #9505.00'!D15</f>
        <v>73563.709999999992</v>
      </c>
      <c r="I32" s="271">
        <f>'RECAP #9505.00'!E15</f>
        <v>46638.720000000001</v>
      </c>
      <c r="J32" s="271">
        <f>'RECAP #9505.00'!F15</f>
        <v>26924.989999999991</v>
      </c>
      <c r="K32" s="271">
        <f>'RECAP #9505.00'!G15</f>
        <v>417436.29000000004</v>
      </c>
      <c r="L32" s="284"/>
      <c r="M32" s="284"/>
      <c r="N32" s="284"/>
      <c r="O32" s="285">
        <f>'#9505.00 PM TIME'!I23</f>
        <v>7240.8099999999995</v>
      </c>
    </row>
    <row r="33" spans="1:15" s="275" customFormat="1" ht="12.75" customHeight="1" x14ac:dyDescent="0.25">
      <c r="A33" s="283"/>
      <c r="B33" s="269" t="s">
        <v>143</v>
      </c>
      <c r="C33" s="270" t="s">
        <v>178</v>
      </c>
      <c r="D33" s="271" t="s">
        <v>173</v>
      </c>
      <c r="E33" s="277">
        <v>1680747</v>
      </c>
      <c r="F33" s="271"/>
      <c r="G33" s="277">
        <f t="shared" si="0"/>
        <v>1680747</v>
      </c>
      <c r="H33" s="271">
        <f>'RECAP #9506.00'!D15</f>
        <v>184989.12</v>
      </c>
      <c r="I33" s="271">
        <f>'RECAP #9506.00'!E15</f>
        <v>9172.23</v>
      </c>
      <c r="J33" s="271">
        <f>'RECAP #9506.00'!F15</f>
        <v>175816.88999999998</v>
      </c>
      <c r="K33" s="271">
        <f>'RECAP #9506.00'!G15</f>
        <v>1495757.88</v>
      </c>
      <c r="L33" s="284"/>
      <c r="M33" s="284"/>
      <c r="N33" s="284"/>
      <c r="O33" s="285">
        <f>'#9506.00 PM TIME'!I26</f>
        <v>11838.99</v>
      </c>
    </row>
    <row r="34" spans="1:15" s="275" customFormat="1" ht="12.75" customHeight="1" x14ac:dyDescent="0.25">
      <c r="A34" s="283"/>
      <c r="B34" s="269" t="s">
        <v>144</v>
      </c>
      <c r="C34" s="270" t="s">
        <v>162</v>
      </c>
      <c r="D34" s="271" t="s">
        <v>175</v>
      </c>
      <c r="E34" s="277">
        <v>700000</v>
      </c>
      <c r="F34" s="271"/>
      <c r="G34" s="277">
        <f t="shared" si="0"/>
        <v>700000</v>
      </c>
      <c r="H34" s="271">
        <f>'RECAP #9507.00'!D14</f>
        <v>15000</v>
      </c>
      <c r="I34" s="271">
        <f>'RECAP #9507.00'!E14</f>
        <v>734.36</v>
      </c>
      <c r="J34" s="271">
        <f>'RECAP #9507.00'!F14</f>
        <v>14265.64</v>
      </c>
      <c r="K34" s="271">
        <f>'RECAP #9507.00'!G14</f>
        <v>685000</v>
      </c>
      <c r="L34" s="284"/>
      <c r="M34" s="284"/>
      <c r="N34" s="284"/>
      <c r="O34" s="285">
        <f>'#9507.00 PM TIME'!I23</f>
        <v>14265.64</v>
      </c>
    </row>
    <row r="35" spans="1:15" s="275" customFormat="1" ht="12.75" customHeight="1" x14ac:dyDescent="0.25">
      <c r="A35" s="283"/>
      <c r="B35" s="269" t="s">
        <v>145</v>
      </c>
      <c r="C35" s="270" t="s">
        <v>163</v>
      </c>
      <c r="D35" s="271" t="s">
        <v>176</v>
      </c>
      <c r="E35" s="277">
        <f>440800+633500+633000</f>
        <v>1707300</v>
      </c>
      <c r="F35" s="271"/>
      <c r="G35" s="277">
        <f t="shared" si="0"/>
        <v>1707300</v>
      </c>
      <c r="H35" s="271">
        <f>'RECAP #9508.00'!D15</f>
        <v>114453.16</v>
      </c>
      <c r="I35" s="271">
        <f>'RECAP #9508.00'!E15</f>
        <v>36276.229999999996</v>
      </c>
      <c r="J35" s="271">
        <f>'RECAP #9508.00'!F15</f>
        <v>78176.930000000008</v>
      </c>
      <c r="K35" s="271">
        <f>'RECAP #9508.00'!G15</f>
        <v>1592846.84</v>
      </c>
      <c r="L35" s="284"/>
      <c r="M35" s="284"/>
      <c r="N35" s="284"/>
      <c r="O35" s="285">
        <f>'#9508.00 PM TIME'!I23</f>
        <v>30971.26</v>
      </c>
    </row>
    <row r="36" spans="1:15" s="275" customFormat="1" ht="12.75" customHeight="1" x14ac:dyDescent="0.25">
      <c r="A36" s="282" t="s">
        <v>258</v>
      </c>
      <c r="B36" s="269" t="s">
        <v>146</v>
      </c>
      <c r="C36" s="270" t="s">
        <v>164</v>
      </c>
      <c r="D36" s="271" t="s">
        <v>176</v>
      </c>
      <c r="E36" s="277">
        <f>633500-633500</f>
        <v>0</v>
      </c>
      <c r="F36" s="271"/>
      <c r="G36" s="277">
        <f t="shared" si="0"/>
        <v>0</v>
      </c>
      <c r="H36" s="271">
        <f>'RECAP #9509.00'!D14</f>
        <v>0</v>
      </c>
      <c r="I36" s="271">
        <f>'RECAP #9509.00'!E14</f>
        <v>0</v>
      </c>
      <c r="J36" s="271">
        <f>'RECAP #9509.00'!F14</f>
        <v>0</v>
      </c>
      <c r="K36" s="271">
        <f>'RECAP #9509.00'!G14</f>
        <v>0</v>
      </c>
      <c r="L36" s="284"/>
      <c r="M36" s="284"/>
      <c r="N36" s="284"/>
      <c r="O36" s="285"/>
    </row>
    <row r="37" spans="1:15" s="275" customFormat="1" ht="12.75" customHeight="1" x14ac:dyDescent="0.25">
      <c r="A37" s="282" t="s">
        <v>258</v>
      </c>
      <c r="B37" s="269" t="s">
        <v>147</v>
      </c>
      <c r="C37" s="270" t="s">
        <v>165</v>
      </c>
      <c r="D37" s="271" t="s">
        <v>176</v>
      </c>
      <c r="E37" s="277">
        <f>633000-633000</f>
        <v>0</v>
      </c>
      <c r="F37" s="271"/>
      <c r="G37" s="277">
        <f t="shared" si="0"/>
        <v>0</v>
      </c>
      <c r="H37" s="271">
        <f>'RECAP #9510.00'!D14</f>
        <v>0</v>
      </c>
      <c r="I37" s="271">
        <f>'RECAP #9510.00'!E14</f>
        <v>0</v>
      </c>
      <c r="J37" s="271">
        <f>'RECAP #9510.00'!F14</f>
        <v>0</v>
      </c>
      <c r="K37" s="271">
        <f>'RECAP #9510.00'!G14</f>
        <v>0</v>
      </c>
      <c r="L37" s="284"/>
      <c r="M37" s="284"/>
      <c r="N37" s="284"/>
      <c r="O37" s="285"/>
    </row>
    <row r="38" spans="1:15" s="275" customFormat="1" ht="12.75" customHeight="1" x14ac:dyDescent="0.25">
      <c r="A38" s="283"/>
      <c r="B38" s="269" t="s">
        <v>148</v>
      </c>
      <c r="C38" s="270" t="s">
        <v>166</v>
      </c>
      <c r="D38" s="271" t="s">
        <v>173</v>
      </c>
      <c r="E38" s="277">
        <v>205000</v>
      </c>
      <c r="F38" s="271"/>
      <c r="G38" s="277">
        <f t="shared" si="0"/>
        <v>205000</v>
      </c>
      <c r="H38" s="271">
        <f>'RECAP #9511.00'!D16</f>
        <v>68992.97</v>
      </c>
      <c r="I38" s="271">
        <f>'RECAP #9511.00'!E16</f>
        <v>20846.150000000001</v>
      </c>
      <c r="J38" s="271">
        <f>'RECAP #9511.00'!F16</f>
        <v>48146.82</v>
      </c>
      <c r="K38" s="271">
        <f>'RECAP #9511.00'!G16</f>
        <v>136007.03</v>
      </c>
      <c r="L38" s="284"/>
      <c r="M38" s="284"/>
      <c r="N38" s="284"/>
      <c r="O38" s="285">
        <f>'#9511.00 PM TIME'!I26</f>
        <v>5072.7699999999995</v>
      </c>
    </row>
    <row r="39" spans="1:15" s="275" customFormat="1" ht="12.75" customHeight="1" x14ac:dyDescent="0.25">
      <c r="A39" s="283"/>
      <c r="B39" s="269" t="s">
        <v>149</v>
      </c>
      <c r="C39" s="270" t="s">
        <v>167</v>
      </c>
      <c r="D39" s="271" t="s">
        <v>172</v>
      </c>
      <c r="E39" s="277">
        <v>75000</v>
      </c>
      <c r="F39" s="271"/>
      <c r="G39" s="277">
        <f t="shared" si="0"/>
        <v>75000</v>
      </c>
      <c r="H39" s="271">
        <f>'RECAP #9512.00'!D15</f>
        <v>19749.04</v>
      </c>
      <c r="I39" s="271">
        <f>'RECAP #9512.00'!E15</f>
        <v>6635.94</v>
      </c>
      <c r="J39" s="271">
        <f>'RECAP #9512.00'!F15</f>
        <v>13113.100000000002</v>
      </c>
      <c r="K39" s="271">
        <f>'RECAP #9512.00'!G15</f>
        <v>55250.96</v>
      </c>
      <c r="L39" s="284"/>
      <c r="M39" s="284"/>
      <c r="N39" s="284"/>
      <c r="O39" s="285">
        <f>'#9512.00 PM TIME'!I23</f>
        <v>4439.0600000000004</v>
      </c>
    </row>
    <row r="40" spans="1:15" s="275" customFormat="1" ht="12.75" customHeight="1" x14ac:dyDescent="0.25">
      <c r="A40" s="283"/>
      <c r="B40" s="269" t="s">
        <v>150</v>
      </c>
      <c r="C40" s="270" t="s">
        <v>168</v>
      </c>
      <c r="D40" s="271" t="s">
        <v>169</v>
      </c>
      <c r="E40" s="277">
        <v>640000</v>
      </c>
      <c r="F40" s="277"/>
      <c r="G40" s="277">
        <f t="shared" si="0"/>
        <v>640000</v>
      </c>
      <c r="H40" s="271">
        <f>'RECAP #9513.00'!D15</f>
        <v>96974.790000000008</v>
      </c>
      <c r="I40" s="271">
        <f>'RECAP #9513.00'!E15</f>
        <v>37222.11</v>
      </c>
      <c r="J40" s="271">
        <f>'RECAP #9513.00'!F15</f>
        <v>59752.680000000008</v>
      </c>
      <c r="K40" s="271">
        <f>'RECAP #9513.00'!G15</f>
        <v>543025.21</v>
      </c>
      <c r="L40" s="284"/>
      <c r="M40" s="284"/>
      <c r="N40" s="284"/>
      <c r="O40" s="285">
        <f>'#9513.00 PM TIME'!I23</f>
        <v>15041.5</v>
      </c>
    </row>
    <row r="41" spans="1:15" s="275" customFormat="1" ht="12.75" customHeight="1" x14ac:dyDescent="0.25">
      <c r="A41" s="283"/>
      <c r="B41" s="269" t="s">
        <v>264</v>
      </c>
      <c r="C41" s="270" t="s">
        <v>265</v>
      </c>
      <c r="D41" s="271" t="s">
        <v>92</v>
      </c>
      <c r="E41" s="277">
        <v>10000</v>
      </c>
      <c r="F41" s="277"/>
      <c r="G41" s="277">
        <f t="shared" si="0"/>
        <v>10000</v>
      </c>
      <c r="H41" s="271">
        <f>'RECAP #9514.00'!D14</f>
        <v>8765</v>
      </c>
      <c r="I41" s="271">
        <f>'RECAP #9514.00'!E14</f>
        <v>8234.83</v>
      </c>
      <c r="J41" s="271">
        <f>'RECAP #9514.00'!F14</f>
        <v>530.17000000000007</v>
      </c>
      <c r="K41" s="271">
        <f>'RECAP #9514.00'!G14</f>
        <v>1235</v>
      </c>
      <c r="L41" s="284"/>
      <c r="M41" s="284"/>
      <c r="N41" s="284"/>
      <c r="O41" s="285">
        <f>'#9514.00 PM TIME '!I23</f>
        <v>191.91999999999985</v>
      </c>
    </row>
    <row r="42" spans="1:15" s="275" customFormat="1" ht="12.75" customHeight="1" x14ac:dyDescent="0.25">
      <c r="A42" s="283"/>
      <c r="B42" s="269" t="s">
        <v>502</v>
      </c>
      <c r="C42" s="270" t="s">
        <v>503</v>
      </c>
      <c r="D42" s="271" t="s">
        <v>92</v>
      </c>
      <c r="E42" s="277">
        <v>250000</v>
      </c>
      <c r="F42" s="277"/>
      <c r="G42" s="277">
        <f t="shared" si="0"/>
        <v>250000</v>
      </c>
      <c r="H42" s="271">
        <f>'RECAP #9519.00'!D14</f>
        <v>5000</v>
      </c>
      <c r="I42" s="271">
        <f>'RECAP #9519.00'!E14</f>
        <v>194.15</v>
      </c>
      <c r="J42" s="271">
        <f>'RECAP #9519.00'!F14</f>
        <v>4805.8500000000004</v>
      </c>
      <c r="K42" s="271">
        <f>'RECAP #9519.00'!G14</f>
        <v>245000</v>
      </c>
      <c r="L42" s="284"/>
      <c r="M42" s="284"/>
      <c r="N42" s="284"/>
      <c r="O42" s="285">
        <f>'#9519.00 PM TIME'!I23</f>
        <v>4805.8500000000004</v>
      </c>
    </row>
    <row r="43" spans="1:15" s="275" customFormat="1" ht="12.75" customHeight="1" x14ac:dyDescent="0.25">
      <c r="A43" s="283"/>
      <c r="B43" s="269" t="s">
        <v>505</v>
      </c>
      <c r="C43" s="270" t="s">
        <v>504</v>
      </c>
      <c r="D43" s="271" t="s">
        <v>173</v>
      </c>
      <c r="E43" s="277">
        <v>1500000</v>
      </c>
      <c r="F43" s="277"/>
      <c r="G43" s="277">
        <f t="shared" si="0"/>
        <v>1500000</v>
      </c>
      <c r="H43" s="271">
        <f>'RECAP #9521.00'!D14</f>
        <v>59752.31</v>
      </c>
      <c r="I43" s="271">
        <f>'RECAP #9521.00'!E14</f>
        <v>1722.72</v>
      </c>
      <c r="J43" s="271">
        <f>'RECAP #9521.00'!F14</f>
        <v>58029.59</v>
      </c>
      <c r="K43" s="271">
        <f>'RECAP #9521.00'!G14</f>
        <v>1440247.69</v>
      </c>
      <c r="L43" s="284"/>
      <c r="M43" s="284"/>
      <c r="N43" s="284"/>
      <c r="O43" s="285">
        <f>'#9521.00 PM TIME '!I23</f>
        <v>43277.279999999999</v>
      </c>
    </row>
    <row r="44" spans="1:15" s="275" customFormat="1" ht="12.75" customHeight="1" x14ac:dyDescent="0.25">
      <c r="A44" s="283"/>
      <c r="B44" s="269" t="s">
        <v>506</v>
      </c>
      <c r="C44" s="270" t="s">
        <v>507</v>
      </c>
      <c r="D44" s="271" t="s">
        <v>92</v>
      </c>
      <c r="E44" s="277">
        <v>250000</v>
      </c>
      <c r="F44" s="277"/>
      <c r="G44" s="277">
        <f t="shared" si="0"/>
        <v>250000</v>
      </c>
      <c r="H44" s="271">
        <f>'RECAP #9524.00'!D14</f>
        <v>5000</v>
      </c>
      <c r="I44" s="271">
        <f>'RECAP #9524.00'!E14</f>
        <v>663.24</v>
      </c>
      <c r="J44" s="271">
        <f>'RECAP #9524.00'!F14</f>
        <v>4336.76</v>
      </c>
      <c r="K44" s="271">
        <f>'RECAP #9524.00'!G14</f>
        <v>245000</v>
      </c>
      <c r="L44" s="284"/>
      <c r="M44" s="284"/>
      <c r="N44" s="284"/>
      <c r="O44" s="285">
        <f>'#9524.00 PM TIME'!I23</f>
        <v>4336.76</v>
      </c>
    </row>
    <row r="45" spans="1:15" s="275" customFormat="1" ht="12.75" customHeight="1" x14ac:dyDescent="0.25">
      <c r="A45" s="283"/>
      <c r="B45" s="269" t="s">
        <v>509</v>
      </c>
      <c r="C45" s="270" t="s">
        <v>508</v>
      </c>
      <c r="D45" s="271" t="s">
        <v>169</v>
      </c>
      <c r="E45" s="277">
        <v>500000</v>
      </c>
      <c r="F45" s="277"/>
      <c r="G45" s="277">
        <f t="shared" si="0"/>
        <v>500000</v>
      </c>
      <c r="H45" s="271">
        <f>'RECAP #9527.00'!D14</f>
        <v>10000</v>
      </c>
      <c r="I45" s="271">
        <f>'RECAP #9527.00'!E14</f>
        <v>469.03</v>
      </c>
      <c r="J45" s="271">
        <f>'RECAP #9527.00'!F14</f>
        <v>9530.9699999999993</v>
      </c>
      <c r="K45" s="271">
        <f>'RECAP #9527.00'!G14</f>
        <v>490000</v>
      </c>
      <c r="L45" s="284"/>
      <c r="M45" s="284"/>
      <c r="N45" s="284"/>
      <c r="O45" s="285">
        <f>'#9527.00 PM TIME'!I23</f>
        <v>9530.9699999999993</v>
      </c>
    </row>
    <row r="46" spans="1:15" s="275" customFormat="1" ht="12.75" customHeight="1" x14ac:dyDescent="0.25">
      <c r="A46" s="283"/>
      <c r="B46" s="269" t="s">
        <v>510</v>
      </c>
      <c r="C46" s="270" t="s">
        <v>512</v>
      </c>
      <c r="D46" s="271" t="s">
        <v>169</v>
      </c>
      <c r="E46" s="277">
        <v>800000</v>
      </c>
      <c r="F46" s="277"/>
      <c r="G46" s="277">
        <f t="shared" si="0"/>
        <v>800000</v>
      </c>
      <c r="H46" s="271">
        <f>'RECAP #9529.00'!D14</f>
        <v>22000</v>
      </c>
      <c r="I46" s="271">
        <f>'RECAP #9529.00'!E14</f>
        <v>469.03</v>
      </c>
      <c r="J46" s="271">
        <f>'RECAP #9529.00'!F14</f>
        <v>21530.97</v>
      </c>
      <c r="K46" s="271">
        <f>'RECAP #9529.00'!G14</f>
        <v>778000</v>
      </c>
      <c r="L46" s="284"/>
      <c r="M46" s="284"/>
      <c r="N46" s="284"/>
      <c r="O46" s="285">
        <f>'#9529.00 PM TIME'!I23</f>
        <v>21530.97</v>
      </c>
    </row>
    <row r="47" spans="1:15" s="275" customFormat="1" ht="12.75" customHeight="1" x14ac:dyDescent="0.25">
      <c r="A47" s="283"/>
      <c r="B47" s="269" t="s">
        <v>511</v>
      </c>
      <c r="C47" s="270" t="s">
        <v>513</v>
      </c>
      <c r="D47" s="271" t="s">
        <v>169</v>
      </c>
      <c r="E47" s="277">
        <v>213300</v>
      </c>
      <c r="F47" s="277"/>
      <c r="G47" s="277">
        <f t="shared" si="0"/>
        <v>213300</v>
      </c>
      <c r="H47" s="271">
        <f>'RECAP #9530.00'!D14</f>
        <v>33332.29</v>
      </c>
      <c r="I47" s="271">
        <f>'RECAP #9530.00'!E14</f>
        <v>626.46999999999991</v>
      </c>
      <c r="J47" s="271">
        <f>'RECAP #9530.00'!F14</f>
        <v>32705.82</v>
      </c>
      <c r="K47" s="271">
        <f>'RECAP #9530.00'!G14</f>
        <v>179967.71</v>
      </c>
      <c r="L47" s="284"/>
      <c r="M47" s="284"/>
      <c r="N47" s="284"/>
      <c r="O47" s="285">
        <f>'#9530.00 PM TIME'!I23</f>
        <v>6873.53</v>
      </c>
    </row>
    <row r="48" spans="1:15" s="275" customFormat="1" ht="12.75" customHeight="1" x14ac:dyDescent="0.25">
      <c r="A48" s="283"/>
      <c r="B48" s="269"/>
      <c r="C48" s="270"/>
      <c r="D48" s="271"/>
      <c r="E48" s="277"/>
      <c r="F48" s="277"/>
      <c r="G48" s="277"/>
      <c r="H48" s="271"/>
      <c r="I48" s="271"/>
      <c r="J48" s="271"/>
      <c r="K48" s="271"/>
      <c r="L48" s="284"/>
      <c r="M48" s="284"/>
      <c r="N48" s="284"/>
      <c r="O48" s="284"/>
    </row>
    <row r="49" spans="1:15" x14ac:dyDescent="0.25">
      <c r="A49" s="133"/>
      <c r="B49" s="134"/>
      <c r="C49" s="131"/>
      <c r="D49" s="135"/>
      <c r="E49" s="132"/>
      <c r="F49" s="132"/>
      <c r="G49" s="132"/>
      <c r="H49" s="132"/>
      <c r="I49" s="132"/>
      <c r="J49" s="132"/>
      <c r="K49" s="132"/>
      <c r="L49" s="99"/>
      <c r="M49" s="99"/>
      <c r="N49" s="99"/>
      <c r="O49" s="99"/>
    </row>
    <row r="50" spans="1:15" ht="15.75" thickBot="1" x14ac:dyDescent="0.3">
      <c r="A50" s="136"/>
      <c r="B50" s="137"/>
      <c r="C50" s="138" t="s">
        <v>56</v>
      </c>
      <c r="D50" s="139"/>
      <c r="E50" s="140">
        <f>SUM(E15:E49)</f>
        <v>21868312</v>
      </c>
      <c r="F50" s="140">
        <f t="shared" ref="F50" si="1">SUM(F13:F49)</f>
        <v>0</v>
      </c>
      <c r="G50" s="140">
        <f>SUM(G15:G49)</f>
        <v>21868312</v>
      </c>
      <c r="H50" s="140">
        <f>SUM(H15:H49)</f>
        <v>6399474.3399999999</v>
      </c>
      <c r="I50" s="140">
        <f>SUM(I15:I49)</f>
        <v>586874.82999999984</v>
      </c>
      <c r="J50" s="140">
        <f>SUM(J15:J49)</f>
        <v>5812599.5099999998</v>
      </c>
      <c r="K50" s="140">
        <f>SUM(K15:K49)</f>
        <v>15468837.659999998</v>
      </c>
      <c r="L50" s="99"/>
      <c r="M50" s="99"/>
      <c r="N50" s="99"/>
      <c r="O50" s="172">
        <f>SUM(N16:O47)</f>
        <v>348857.47</v>
      </c>
    </row>
    <row r="51" spans="1:15" ht="15.75" thickBot="1" x14ac:dyDescent="0.3">
      <c r="A51" s="141"/>
      <c r="B51" s="142"/>
      <c r="C51" s="143"/>
      <c r="D51" s="144"/>
      <c r="E51" s="145"/>
      <c r="F51" s="145"/>
      <c r="G51" s="145"/>
      <c r="H51" s="145"/>
      <c r="I51" s="145"/>
      <c r="J51" s="146"/>
      <c r="K51" s="147"/>
      <c r="L51" s="99"/>
      <c r="M51" s="99"/>
      <c r="N51" s="99"/>
      <c r="O51" s="99"/>
    </row>
    <row r="52" spans="1:15" x14ac:dyDescent="0.25">
      <c r="A52" s="108"/>
      <c r="B52" s="148"/>
      <c r="C52" s="149"/>
      <c r="D52" s="112"/>
      <c r="E52" s="150"/>
      <c r="F52" s="150"/>
      <c r="G52" s="151" t="s">
        <v>57</v>
      </c>
      <c r="H52" s="150"/>
      <c r="I52" s="152"/>
      <c r="J52" s="153"/>
      <c r="K52" s="154">
        <f>E8</f>
        <v>131688</v>
      </c>
      <c r="L52" s="99"/>
      <c r="M52" s="99"/>
      <c r="N52" s="99"/>
      <c r="O52" s="99"/>
    </row>
    <row r="53" spans="1:15" ht="27" thickBot="1" x14ac:dyDescent="0.3">
      <c r="A53" s="108"/>
      <c r="B53" s="155"/>
      <c r="C53" s="156" t="s">
        <v>58</v>
      </c>
      <c r="D53" s="157"/>
      <c r="E53" s="158"/>
      <c r="F53" s="158"/>
      <c r="G53" s="159" t="s">
        <v>59</v>
      </c>
      <c r="H53" s="158"/>
      <c r="I53" s="152"/>
      <c r="J53" s="153"/>
      <c r="K53" s="160">
        <f>K50+K52</f>
        <v>15600525.659999998</v>
      </c>
      <c r="L53" s="99"/>
      <c r="M53" s="99"/>
      <c r="N53" s="99"/>
      <c r="O53" s="99"/>
    </row>
    <row r="54" spans="1:15" ht="15.75" thickTop="1" x14ac:dyDescent="0.25">
      <c r="A54" s="108"/>
      <c r="B54" s="148"/>
      <c r="C54" s="161" t="s">
        <v>2</v>
      </c>
      <c r="D54" s="112"/>
      <c r="E54" s="117"/>
      <c r="F54" s="117"/>
      <c r="G54" s="162" t="s">
        <v>60</v>
      </c>
      <c r="H54" s="117"/>
      <c r="I54" s="98"/>
      <c r="J54" s="154">
        <f>E6</f>
        <v>22000000</v>
      </c>
      <c r="K54" s="99"/>
      <c r="L54" s="99"/>
      <c r="M54" s="99"/>
      <c r="N54" s="99"/>
      <c r="O54" s="99"/>
    </row>
    <row r="55" spans="1:15" x14ac:dyDescent="0.25">
      <c r="A55" s="108"/>
      <c r="B55" s="148"/>
      <c r="C55" s="149"/>
      <c r="D55" s="112"/>
      <c r="E55" s="117"/>
      <c r="F55" s="117"/>
      <c r="G55" s="163" t="s">
        <v>61</v>
      </c>
      <c r="H55" s="117"/>
      <c r="I55" s="98"/>
      <c r="J55" s="164">
        <f>H50*-1</f>
        <v>-6399474.3399999999</v>
      </c>
      <c r="K55" s="154">
        <f>SUM(J54:J55)</f>
        <v>15600525.66</v>
      </c>
      <c r="L55" s="99"/>
      <c r="M55" s="99"/>
      <c r="N55" s="99"/>
      <c r="O55" s="99"/>
    </row>
    <row r="56" spans="1:15" ht="15.75" thickBot="1" x14ac:dyDescent="0.3">
      <c r="A56" s="108"/>
      <c r="B56" s="93"/>
      <c r="C56" s="149"/>
      <c r="D56" s="112"/>
      <c r="E56" s="117"/>
      <c r="F56" s="117"/>
      <c r="G56" s="162" t="s">
        <v>62</v>
      </c>
      <c r="H56" s="117"/>
      <c r="I56" s="98"/>
      <c r="J56" s="99"/>
      <c r="K56" s="165">
        <f>K53-K55</f>
        <v>0</v>
      </c>
      <c r="L56" s="99"/>
      <c r="M56" s="99"/>
      <c r="N56" s="99"/>
      <c r="O56" s="99"/>
    </row>
    <row r="57" spans="1:15" ht="15" customHeight="1" thickTop="1" x14ac:dyDescent="0.25"/>
  </sheetData>
  <pageMargins left="0.25" right="0.25" top="1.25" bottom="0.75" header="0.3" footer="0.3"/>
  <pageSetup scale="54" orientation="landscape" r:id="rId1"/>
  <headerFooter alignWithMargins="0">
    <oddHeader xml:space="preserve">&amp;CDepartment of Administrative Services
Major Maintenance 
MM26
&amp;A
&amp;D
</oddHeader>
    <oddFooter>&amp;LAcct Codes 0017-335-MM26
Reversion 6/30/2029
&amp;C&amp;Z&amp;F&amp;R&amp;P/&amp;N</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6213-09BD-4D31-84F8-D965BC19C2CF}">
  <sheetPr codeName="Sheet175">
    <pageSetUpPr fitToPage="1"/>
  </sheetPr>
  <dimension ref="A1:G19"/>
  <sheetViews>
    <sheetView zoomScaleNormal="100" workbookViewId="0">
      <selection activeCell="F17" sqref="F17"/>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74</v>
      </c>
      <c r="C1" s="3"/>
      <c r="D1" s="4"/>
      <c r="E1" s="4"/>
      <c r="F1" s="4"/>
      <c r="G1" s="4"/>
    </row>
    <row r="2" spans="1:7" ht="15.75" x14ac:dyDescent="0.25">
      <c r="A2" s="1"/>
      <c r="B2" s="6" t="s">
        <v>80</v>
      </c>
      <c r="C2" s="5"/>
      <c r="D2" s="4"/>
      <c r="E2" s="4"/>
      <c r="F2" s="4"/>
      <c r="G2" s="4"/>
    </row>
    <row r="3" spans="1:7" ht="15.75" x14ac:dyDescent="0.25">
      <c r="A3" s="1"/>
      <c r="B3" s="7" t="s">
        <v>81</v>
      </c>
      <c r="C3" s="5"/>
      <c r="D3" s="4"/>
      <c r="E3" s="8" t="s">
        <v>82</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78</v>
      </c>
      <c r="C6" s="14"/>
      <c r="D6" s="15" t="s">
        <v>2</v>
      </c>
      <c r="E6" s="16"/>
      <c r="F6" s="16"/>
      <c r="G6" s="16"/>
    </row>
    <row r="7" spans="1:7" ht="40.5" customHeight="1" thickBot="1" x14ac:dyDescent="0.3">
      <c r="A7" s="1"/>
      <c r="B7" s="18" t="s">
        <v>2</v>
      </c>
      <c r="C7" s="19" t="s">
        <v>3</v>
      </c>
      <c r="D7" s="20" t="s">
        <v>4</v>
      </c>
      <c r="E7" s="21" t="s">
        <v>5</v>
      </c>
      <c r="F7" s="22" t="s">
        <v>6</v>
      </c>
      <c r="G7" s="22" t="s">
        <v>7</v>
      </c>
    </row>
    <row r="8" spans="1:7" ht="28.35" customHeight="1" x14ac:dyDescent="0.25">
      <c r="A8" s="1"/>
      <c r="B8" s="1" t="s">
        <v>8</v>
      </c>
      <c r="C8" s="23">
        <f>FINANCIAL!G19</f>
        <v>575000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50" t="s">
        <v>258</v>
      </c>
      <c r="B10" s="304" t="s">
        <v>105</v>
      </c>
      <c r="C10" s="305"/>
      <c r="D10" s="308">
        <f>'#9484.00 DCI Group'!D23</f>
        <v>17210.759999999998</v>
      </c>
      <c r="E10" s="308">
        <f>'#9484.00 DCI Group'!F23</f>
        <v>17210.760000000002</v>
      </c>
      <c r="F10" s="308">
        <f>'#9484.00 DCI Group'!H23</f>
        <v>0</v>
      </c>
      <c r="G10" s="307"/>
    </row>
    <row r="11" spans="1:7" s="275" customFormat="1" ht="12.75" customHeight="1" x14ac:dyDescent="0.25">
      <c r="A11" s="303"/>
      <c r="B11" s="304" t="s">
        <v>10</v>
      </c>
      <c r="C11" s="305"/>
      <c r="D11" s="308">
        <f>'#9484.00 PM TIME'!E30</f>
        <v>20000</v>
      </c>
      <c r="E11" s="308">
        <f>'#9484.00 PM TIME'!G30</f>
        <v>7959.5800000000008</v>
      </c>
      <c r="F11" s="308">
        <f>'#9484.00 PM TIME'!I30</f>
        <v>12040.419999999998</v>
      </c>
      <c r="G11" s="307"/>
    </row>
    <row r="12" spans="1:7" s="275" customFormat="1" ht="12.75" customHeight="1" x14ac:dyDescent="0.25">
      <c r="A12" s="303"/>
      <c r="B12" s="304" t="s">
        <v>11</v>
      </c>
      <c r="C12" s="306"/>
      <c r="D12" s="309">
        <f>'#9484.00 Misc'!G22</f>
        <v>223.08</v>
      </c>
      <c r="E12" s="309">
        <f>'#9484.00 Misc'!G22</f>
        <v>223.08</v>
      </c>
      <c r="F12" s="308">
        <f>D12-E12</f>
        <v>0</v>
      </c>
      <c r="G12" s="307"/>
    </row>
    <row r="13" spans="1:7" s="275" customFormat="1" ht="14.25" customHeight="1" x14ac:dyDescent="0.25">
      <c r="A13" s="303"/>
      <c r="B13" s="304" t="s">
        <v>116</v>
      </c>
      <c r="C13" s="306"/>
      <c r="D13" s="309">
        <f>'#9484.00 OPN Architects'!D23</f>
        <v>68920</v>
      </c>
      <c r="E13" s="309">
        <f>'#9484.00 OPN Architects'!F23</f>
        <v>54446.8</v>
      </c>
      <c r="F13" s="308">
        <f>'#9484.00 OPN Architects'!H23</f>
        <v>14473.199999999997</v>
      </c>
      <c r="G13" s="307"/>
    </row>
    <row r="14" spans="1:7" s="275" customFormat="1" ht="14.25" customHeight="1" x14ac:dyDescent="0.25">
      <c r="A14" s="303"/>
      <c r="B14" s="304" t="s">
        <v>393</v>
      </c>
      <c r="C14" s="306"/>
      <c r="D14" s="309">
        <f>'#9484.00 GTG Construction'!D23</f>
        <v>82600</v>
      </c>
      <c r="E14" s="309">
        <f>'#9484.00 GTG Construction'!F23</f>
        <v>5335</v>
      </c>
      <c r="F14" s="308">
        <f>'#9484.00 GTG Construction'!H23</f>
        <v>77265</v>
      </c>
      <c r="G14" s="307"/>
    </row>
    <row r="15" spans="1:7" s="275" customFormat="1" ht="14.25" customHeight="1" x14ac:dyDescent="0.25">
      <c r="A15" s="303"/>
      <c r="B15" s="304" t="s">
        <v>422</v>
      </c>
      <c r="C15" s="306"/>
      <c r="D15" s="309">
        <f>'#9484.00 Schumacher Elevator'!D23</f>
        <v>123444</v>
      </c>
      <c r="E15" s="309">
        <f>'#9484.00 Schumacher Elevator'!F23</f>
        <v>0</v>
      </c>
      <c r="F15" s="308">
        <f>'#9484.00 Schumacher Elevator'!H23</f>
        <v>123444</v>
      </c>
      <c r="G15" s="307"/>
    </row>
    <row r="16" spans="1:7" s="275" customFormat="1" ht="14.25" customHeight="1" x14ac:dyDescent="0.25">
      <c r="A16" s="303"/>
      <c r="B16" s="304" t="s">
        <v>537</v>
      </c>
      <c r="C16" s="306"/>
      <c r="D16" s="309">
        <f>'#9484.00 DCI Group (2)'!D28</f>
        <v>74210.77</v>
      </c>
      <c r="E16" s="309">
        <f>'#9484.00 DCI Group (2)'!F28</f>
        <v>4451.88</v>
      </c>
      <c r="F16" s="308">
        <f>'#9484.00 DCI Group (2)'!H28</f>
        <v>69758.890000000014</v>
      </c>
      <c r="G16" s="307"/>
    </row>
    <row r="17" spans="1:7" s="275" customFormat="1" ht="12.75" customHeight="1" x14ac:dyDescent="0.25">
      <c r="A17" s="310"/>
      <c r="B17" s="304"/>
      <c r="C17" s="306"/>
      <c r="D17" s="309"/>
      <c r="E17" s="309"/>
      <c r="F17" s="308"/>
      <c r="G17" s="311"/>
    </row>
    <row r="18" spans="1:7" ht="24" customHeight="1" thickBot="1" x14ac:dyDescent="0.3">
      <c r="A18" s="30"/>
      <c r="B18" s="31" t="s">
        <v>12</v>
      </c>
      <c r="C18" s="32">
        <f>SUM(C8:C17)</f>
        <v>575000</v>
      </c>
      <c r="D18" s="32">
        <f>SUM(D8:D17)</f>
        <v>386608.61</v>
      </c>
      <c r="E18" s="32">
        <f>SUM(E8:E17)</f>
        <v>89627.1</v>
      </c>
      <c r="F18" s="32">
        <f>SUM(D18-E18)</f>
        <v>296981.51</v>
      </c>
      <c r="G18" s="32">
        <f>C8-D18</f>
        <v>188391.39</v>
      </c>
    </row>
    <row r="19" spans="1:7" ht="15" customHeight="1" thickTop="1" x14ac:dyDescent="0.25"/>
  </sheetData>
  <pageMargins left="0.25" right="0.25" top="1.2012499999999999"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1C09-B22E-424F-8DDE-193BE8E67B71}">
  <sheetPr codeName="Sheet176">
    <tabColor rgb="FF0070C0"/>
    <pageSetUpPr fitToPage="1"/>
  </sheetPr>
  <dimension ref="A1:I29"/>
  <sheetViews>
    <sheetView zoomScaleNormal="100" workbookViewId="0">
      <selection activeCell="J33" sqref="J33"/>
    </sheetView>
  </sheetViews>
  <sheetFormatPr defaultColWidth="11.42578125" defaultRowHeight="15" customHeight="1" x14ac:dyDescent="0.25"/>
  <cols>
    <col min="1" max="1" width="24.5703125" style="351" customWidth="1"/>
    <col min="2" max="2" width="9.42578125" style="351" customWidth="1"/>
    <col min="3" max="3" width="25" style="351" bestFit="1" customWidth="1"/>
    <col min="4" max="4" width="14.42578125" style="351" customWidth="1"/>
    <col min="5" max="5" width="13.5703125" style="351" customWidth="1"/>
    <col min="6" max="6" width="12.42578125" style="351" customWidth="1"/>
    <col min="7" max="7" width="10.5703125" style="351" customWidth="1"/>
    <col min="8" max="8" width="12.42578125" style="351" customWidth="1"/>
    <col min="9" max="9" width="6.42578125" style="351" bestFit="1" customWidth="1"/>
    <col min="10" max="256" width="11.42578125" style="351"/>
    <col min="257" max="264" width="11.42578125" style="351" customWidth="1"/>
    <col min="265" max="512" width="11.42578125" style="351"/>
    <col min="513" max="520" width="11.42578125" style="351" customWidth="1"/>
    <col min="521" max="768" width="11.42578125" style="351"/>
    <col min="769" max="776" width="11.42578125" style="351" customWidth="1"/>
    <col min="777" max="1024" width="11.42578125" style="351"/>
    <col min="1025" max="1032" width="11.42578125" style="351" customWidth="1"/>
    <col min="1033" max="1280" width="11.42578125" style="351"/>
    <col min="1281" max="1288" width="11.42578125" style="351" customWidth="1"/>
    <col min="1289" max="1536" width="11.42578125" style="351"/>
    <col min="1537" max="1544" width="11.42578125" style="351" customWidth="1"/>
    <col min="1545" max="1792" width="11.42578125" style="351"/>
    <col min="1793" max="1800" width="11.42578125" style="351" customWidth="1"/>
    <col min="1801" max="2048" width="11.42578125" style="351"/>
    <col min="2049" max="2056" width="11.42578125" style="351" customWidth="1"/>
    <col min="2057" max="2304" width="11.42578125" style="351"/>
    <col min="2305" max="2312" width="11.42578125" style="351" customWidth="1"/>
    <col min="2313" max="2560" width="11.42578125" style="351"/>
    <col min="2561" max="2568" width="11.42578125" style="351" customWidth="1"/>
    <col min="2569" max="2816" width="11.42578125" style="351"/>
    <col min="2817" max="2824" width="11.42578125" style="351" customWidth="1"/>
    <col min="2825" max="3072" width="11.42578125" style="351"/>
    <col min="3073" max="3080" width="11.42578125" style="351" customWidth="1"/>
    <col min="3081" max="3328" width="11.42578125" style="351"/>
    <col min="3329" max="3336" width="11.42578125" style="351" customWidth="1"/>
    <col min="3337" max="3584" width="11.42578125" style="351"/>
    <col min="3585" max="3592" width="11.42578125" style="351" customWidth="1"/>
    <col min="3593" max="3840" width="11.42578125" style="351"/>
    <col min="3841" max="3848" width="11.42578125" style="351" customWidth="1"/>
    <col min="3849" max="4096" width="11.42578125" style="351"/>
    <col min="4097" max="4104" width="11.42578125" style="351" customWidth="1"/>
    <col min="4105" max="4352" width="11.42578125" style="351"/>
    <col min="4353" max="4360" width="11.42578125" style="351" customWidth="1"/>
    <col min="4361" max="4608" width="11.42578125" style="351"/>
    <col min="4609" max="4616" width="11.42578125" style="351" customWidth="1"/>
    <col min="4617" max="4864" width="11.42578125" style="351"/>
    <col min="4865" max="4872" width="11.42578125" style="351" customWidth="1"/>
    <col min="4873" max="5120" width="11.42578125" style="351"/>
    <col min="5121" max="5128" width="11.42578125" style="351" customWidth="1"/>
    <col min="5129" max="5376" width="11.42578125" style="351"/>
    <col min="5377" max="5384" width="11.42578125" style="351" customWidth="1"/>
    <col min="5385" max="5632" width="11.42578125" style="351"/>
    <col min="5633" max="5640" width="11.42578125" style="351" customWidth="1"/>
    <col min="5641" max="5888" width="11.42578125" style="351"/>
    <col min="5889" max="5896" width="11.42578125" style="351" customWidth="1"/>
    <col min="5897" max="6144" width="11.42578125" style="351"/>
    <col min="6145" max="6152" width="11.42578125" style="351" customWidth="1"/>
    <col min="6153" max="6400" width="11.42578125" style="351"/>
    <col min="6401" max="6408" width="11.42578125" style="351" customWidth="1"/>
    <col min="6409" max="6656" width="11.42578125" style="351"/>
    <col min="6657" max="6664" width="11.42578125" style="351" customWidth="1"/>
    <col min="6665" max="6912" width="11.42578125" style="351"/>
    <col min="6913" max="6920" width="11.42578125" style="351" customWidth="1"/>
    <col min="6921" max="7168" width="11.42578125" style="351"/>
    <col min="7169" max="7176" width="11.42578125" style="351" customWidth="1"/>
    <col min="7177" max="7424" width="11.42578125" style="351"/>
    <col min="7425" max="7432" width="11.42578125" style="351" customWidth="1"/>
    <col min="7433" max="7680" width="11.42578125" style="351"/>
    <col min="7681" max="7688" width="11.42578125" style="351" customWidth="1"/>
    <col min="7689" max="7936" width="11.42578125" style="351"/>
    <col min="7937" max="7944" width="11.42578125" style="351" customWidth="1"/>
    <col min="7945" max="8192" width="11.42578125" style="351"/>
    <col min="8193" max="8200" width="11.42578125" style="351" customWidth="1"/>
    <col min="8201" max="8448" width="11.42578125" style="351"/>
    <col min="8449" max="8456" width="11.42578125" style="351" customWidth="1"/>
    <col min="8457" max="8704" width="11.42578125" style="351"/>
    <col min="8705" max="8712" width="11.42578125" style="351" customWidth="1"/>
    <col min="8713" max="8960" width="11.42578125" style="351"/>
    <col min="8961" max="8968" width="11.42578125" style="351" customWidth="1"/>
    <col min="8969" max="9216" width="11.42578125" style="351"/>
    <col min="9217" max="9224" width="11.42578125" style="351" customWidth="1"/>
    <col min="9225" max="9472" width="11.42578125" style="351"/>
    <col min="9473" max="9480" width="11.42578125" style="351" customWidth="1"/>
    <col min="9481" max="9728" width="11.42578125" style="351"/>
    <col min="9729" max="9736" width="11.42578125" style="351" customWidth="1"/>
    <col min="9737" max="9984" width="11.42578125" style="351"/>
    <col min="9985" max="9992" width="11.42578125" style="351" customWidth="1"/>
    <col min="9993" max="10240" width="11.42578125" style="351"/>
    <col min="10241" max="10248" width="11.42578125" style="351" customWidth="1"/>
    <col min="10249" max="10496" width="11.42578125" style="351"/>
    <col min="10497" max="10504" width="11.42578125" style="351" customWidth="1"/>
    <col min="10505" max="10752" width="11.42578125" style="351"/>
    <col min="10753" max="10760" width="11.42578125" style="351" customWidth="1"/>
    <col min="10761" max="11008" width="11.42578125" style="351"/>
    <col min="11009" max="11016" width="11.42578125" style="351" customWidth="1"/>
    <col min="11017" max="11264" width="11.42578125" style="351"/>
    <col min="11265" max="11272" width="11.42578125" style="351" customWidth="1"/>
    <col min="11273" max="11520" width="11.42578125" style="351"/>
    <col min="11521" max="11528" width="11.42578125" style="351" customWidth="1"/>
    <col min="11529" max="11776" width="11.42578125" style="351"/>
    <col min="11777" max="11784" width="11.42578125" style="351" customWidth="1"/>
    <col min="11785" max="12032" width="11.42578125" style="351"/>
    <col min="12033" max="12040" width="11.42578125" style="351" customWidth="1"/>
    <col min="12041" max="12288" width="11.42578125" style="351"/>
    <col min="12289" max="12296" width="11.42578125" style="351" customWidth="1"/>
    <col min="12297" max="12544" width="11.42578125" style="351"/>
    <col min="12545" max="12552" width="11.42578125" style="351" customWidth="1"/>
    <col min="12553" max="12800" width="11.42578125" style="351"/>
    <col min="12801" max="12808" width="11.42578125" style="351" customWidth="1"/>
    <col min="12809" max="13056" width="11.42578125" style="351"/>
    <col min="13057" max="13064" width="11.42578125" style="351" customWidth="1"/>
    <col min="13065" max="13312" width="11.42578125" style="351"/>
    <col min="13313" max="13320" width="11.42578125" style="351" customWidth="1"/>
    <col min="13321" max="13568" width="11.42578125" style="351"/>
    <col min="13569" max="13576" width="11.42578125" style="351" customWidth="1"/>
    <col min="13577" max="13824" width="11.42578125" style="351"/>
    <col min="13825" max="13832" width="11.42578125" style="351" customWidth="1"/>
    <col min="13833" max="14080" width="11.42578125" style="351"/>
    <col min="14081" max="14088" width="11.42578125" style="351" customWidth="1"/>
    <col min="14089" max="14336" width="11.42578125" style="351"/>
    <col min="14337" max="14344" width="11.42578125" style="351" customWidth="1"/>
    <col min="14345" max="14592" width="11.42578125" style="351"/>
    <col min="14593" max="14600" width="11.42578125" style="351" customWidth="1"/>
    <col min="14601" max="14848" width="11.42578125" style="351"/>
    <col min="14849" max="14856" width="11.42578125" style="351" customWidth="1"/>
    <col min="14857" max="15104" width="11.42578125" style="351"/>
    <col min="15105" max="15112" width="11.42578125" style="351" customWidth="1"/>
    <col min="15113" max="15360" width="11.42578125" style="351"/>
    <col min="15361" max="15368" width="11.42578125" style="351" customWidth="1"/>
    <col min="15369" max="15616" width="11.42578125" style="351"/>
    <col min="15617" max="15624" width="11.42578125" style="351" customWidth="1"/>
    <col min="15625" max="15872" width="11.42578125" style="351"/>
    <col min="15873" max="15880" width="11.42578125" style="351" customWidth="1"/>
    <col min="15881" max="16128" width="11.42578125" style="351"/>
    <col min="16129" max="16136" width="11.42578125" style="351" customWidth="1"/>
    <col min="16137" max="16384" width="11.42578125" style="351"/>
  </cols>
  <sheetData>
    <row r="1" spans="1:9" ht="24.75" customHeight="1" x14ac:dyDescent="0.25">
      <c r="A1" s="35" t="str">
        <f>'RECAP #9484.00'!B1</f>
        <v>ILEA JOH Hydraulic Elevator Replacement</v>
      </c>
      <c r="B1" s="35"/>
      <c r="C1" s="185"/>
      <c r="D1" s="185"/>
      <c r="E1" s="185"/>
      <c r="F1" s="223"/>
      <c r="G1" s="223"/>
      <c r="H1" s="224"/>
      <c r="I1" s="224"/>
    </row>
    <row r="2" spans="1:9" ht="15.75" x14ac:dyDescent="0.25">
      <c r="A2" s="186" t="str">
        <f>'RECAP #9484.00'!B2</f>
        <v>Project # 9484.00</v>
      </c>
      <c r="B2" s="182"/>
      <c r="C2" s="185"/>
      <c r="D2" s="185"/>
      <c r="E2" s="185"/>
      <c r="F2" s="223"/>
      <c r="G2" s="223"/>
      <c r="H2" s="224"/>
      <c r="I2" s="224"/>
    </row>
    <row r="3" spans="1:9" ht="15.75" x14ac:dyDescent="0.25">
      <c r="A3" s="187" t="str">
        <f>'RECAP #9484.00'!B3</f>
        <v>Program code 948400</v>
      </c>
      <c r="B3" s="182"/>
      <c r="C3" s="185"/>
      <c r="D3" s="188" t="str">
        <f>'RECAP #9484.00'!E3</f>
        <v>Major Program 4D03</v>
      </c>
      <c r="E3" s="185"/>
      <c r="F3" s="223"/>
      <c r="G3" s="223"/>
      <c r="H3" s="224"/>
      <c r="I3" s="224"/>
    </row>
    <row r="4" spans="1:9" ht="15.75" x14ac:dyDescent="0.25">
      <c r="A4" s="35" t="s">
        <v>105</v>
      </c>
      <c r="B4" s="36"/>
      <c r="C4" s="224"/>
      <c r="D4" s="225" t="s">
        <v>107</v>
      </c>
      <c r="E4" s="189"/>
      <c r="F4" s="223"/>
      <c r="G4" s="223"/>
      <c r="H4" s="224"/>
      <c r="I4" s="224"/>
    </row>
    <row r="5" spans="1:9" ht="15.75" x14ac:dyDescent="0.25">
      <c r="A5" s="226" t="s">
        <v>106</v>
      </c>
      <c r="B5" s="224"/>
      <c r="C5" s="227"/>
      <c r="D5" s="43" t="s">
        <v>108</v>
      </c>
      <c r="E5" s="49"/>
      <c r="F5" s="228"/>
      <c r="G5" s="223"/>
      <c r="H5" s="224"/>
      <c r="I5" s="224"/>
    </row>
    <row r="6" spans="1:9" ht="15.75" x14ac:dyDescent="0.25">
      <c r="A6" s="192" t="str">
        <f>'RECAP #9484.00'!B6</f>
        <v>Project Manager - Brad T.</v>
      </c>
      <c r="B6" s="36"/>
      <c r="C6" s="229"/>
      <c r="D6" s="230" t="s">
        <v>109</v>
      </c>
      <c r="E6" s="49"/>
      <c r="F6" s="50"/>
      <c r="G6" s="223"/>
      <c r="H6" s="224"/>
      <c r="I6" s="224"/>
    </row>
    <row r="7" spans="1:9" ht="15.75" x14ac:dyDescent="0.25">
      <c r="A7" s="224"/>
      <c r="B7" s="231"/>
      <c r="C7" s="231"/>
      <c r="D7" s="224"/>
      <c r="E7" s="52"/>
      <c r="F7" s="53"/>
      <c r="G7" s="223"/>
      <c r="H7" s="224"/>
      <c r="I7" s="224" t="s">
        <v>2</v>
      </c>
    </row>
    <row r="8" spans="1:9" ht="32.25" thickBot="1" x14ac:dyDescent="0.3">
      <c r="A8" s="232" t="s">
        <v>16</v>
      </c>
      <c r="B8" s="233" t="s">
        <v>17</v>
      </c>
      <c r="C8" s="234" t="s">
        <v>18</v>
      </c>
      <c r="D8" s="235" t="s">
        <v>19</v>
      </c>
      <c r="E8" s="235" t="s">
        <v>20</v>
      </c>
      <c r="F8" s="235" t="s">
        <v>21</v>
      </c>
      <c r="G8" s="235" t="s">
        <v>22</v>
      </c>
      <c r="H8" s="235" t="s">
        <v>23</v>
      </c>
      <c r="I8" s="224"/>
    </row>
    <row r="9" spans="1:9" s="359" customFormat="1" ht="12.75" customHeight="1" x14ac:dyDescent="0.25">
      <c r="A9" s="352" t="s">
        <v>110</v>
      </c>
      <c r="B9" s="353">
        <v>45912</v>
      </c>
      <c r="C9" s="354" t="s">
        <v>111</v>
      </c>
      <c r="D9" s="355">
        <v>18125.32</v>
      </c>
      <c r="E9" s="356">
        <f>D9</f>
        <v>18125.32</v>
      </c>
      <c r="F9" s="357"/>
      <c r="G9" s="357"/>
      <c r="H9" s="357">
        <f>E9</f>
        <v>18125.32</v>
      </c>
      <c r="I9" s="358"/>
    </row>
    <row r="10" spans="1:9" s="359" customFormat="1" ht="12.75" customHeight="1" x14ac:dyDescent="0.25">
      <c r="A10" s="352" t="s">
        <v>129</v>
      </c>
      <c r="B10" s="360">
        <v>45923</v>
      </c>
      <c r="C10" s="354" t="s">
        <v>130</v>
      </c>
      <c r="D10" s="356"/>
      <c r="E10" s="356">
        <f t="shared" ref="E10:E21" si="0">E9+D10</f>
        <v>18125.32</v>
      </c>
      <c r="F10" s="361">
        <v>2093.64</v>
      </c>
      <c r="G10" s="357">
        <f t="shared" ref="G10:G21" si="1">G9+F10</f>
        <v>2093.64</v>
      </c>
      <c r="H10" s="357">
        <f t="shared" ref="H10:H21" si="2">H9-F10+D10</f>
        <v>16031.68</v>
      </c>
      <c r="I10" s="358"/>
    </row>
    <row r="11" spans="1:9" s="359" customFormat="1" ht="12.75" customHeight="1" x14ac:dyDescent="0.25">
      <c r="A11" s="352" t="s">
        <v>274</v>
      </c>
      <c r="B11" s="353">
        <v>45938</v>
      </c>
      <c r="C11" s="354" t="s">
        <v>275</v>
      </c>
      <c r="D11" s="356"/>
      <c r="E11" s="356">
        <f t="shared" si="0"/>
        <v>18125.32</v>
      </c>
      <c r="F11" s="361">
        <v>2180.88</v>
      </c>
      <c r="G11" s="357">
        <f t="shared" si="1"/>
        <v>4274.5200000000004</v>
      </c>
      <c r="H11" s="357">
        <f t="shared" si="2"/>
        <v>13850.8</v>
      </c>
      <c r="I11" s="358"/>
    </row>
    <row r="12" spans="1:9" s="359" customFormat="1" ht="12.75" customHeight="1" x14ac:dyDescent="0.25">
      <c r="A12" s="352" t="s">
        <v>327</v>
      </c>
      <c r="B12" s="353">
        <v>45979</v>
      </c>
      <c r="C12" s="354" t="s">
        <v>328</v>
      </c>
      <c r="D12" s="356"/>
      <c r="E12" s="356">
        <f t="shared" si="0"/>
        <v>18125.32</v>
      </c>
      <c r="F12" s="361">
        <v>3208.58</v>
      </c>
      <c r="G12" s="357">
        <f t="shared" si="1"/>
        <v>7483.1</v>
      </c>
      <c r="H12" s="357">
        <f t="shared" si="2"/>
        <v>10642.22</v>
      </c>
      <c r="I12" s="358"/>
    </row>
    <row r="13" spans="1:9" s="359" customFormat="1" ht="12.75" customHeight="1" x14ac:dyDescent="0.25">
      <c r="A13" s="352" t="s">
        <v>379</v>
      </c>
      <c r="B13" s="353">
        <v>46013</v>
      </c>
      <c r="C13" s="354" t="s">
        <v>380</v>
      </c>
      <c r="D13" s="356"/>
      <c r="E13" s="356">
        <f t="shared" si="0"/>
        <v>18125.32</v>
      </c>
      <c r="F13" s="361">
        <v>6703.07</v>
      </c>
      <c r="G13" s="357">
        <f t="shared" si="1"/>
        <v>14186.17</v>
      </c>
      <c r="H13" s="357">
        <f t="shared" si="2"/>
        <v>3939.1499999999996</v>
      </c>
      <c r="I13" s="358"/>
    </row>
    <row r="14" spans="1:9" s="359" customFormat="1" ht="12.75" customHeight="1" x14ac:dyDescent="0.25">
      <c r="A14" s="352" t="s">
        <v>452</v>
      </c>
      <c r="B14" s="353">
        <v>46043</v>
      </c>
      <c r="C14" s="354" t="s">
        <v>453</v>
      </c>
      <c r="D14" s="362">
        <v>-914.56</v>
      </c>
      <c r="E14" s="356">
        <f t="shared" si="0"/>
        <v>17210.759999999998</v>
      </c>
      <c r="F14" s="361">
        <v>3024.59</v>
      </c>
      <c r="G14" s="357">
        <f t="shared" si="1"/>
        <v>17210.760000000002</v>
      </c>
      <c r="H14" s="357">
        <f t="shared" si="2"/>
        <v>0</v>
      </c>
      <c r="I14" s="358"/>
    </row>
    <row r="15" spans="1:9" s="359" customFormat="1" ht="12.75" customHeight="1" x14ac:dyDescent="0.25">
      <c r="A15" s="352"/>
      <c r="B15" s="353"/>
      <c r="C15" s="354"/>
      <c r="D15" s="356"/>
      <c r="E15" s="356">
        <f t="shared" si="0"/>
        <v>17210.759999999998</v>
      </c>
      <c r="F15" s="361"/>
      <c r="G15" s="357">
        <f t="shared" si="1"/>
        <v>17210.760000000002</v>
      </c>
      <c r="H15" s="357">
        <f t="shared" si="2"/>
        <v>0</v>
      </c>
      <c r="I15" s="358"/>
    </row>
    <row r="16" spans="1:9" s="359" customFormat="1" ht="12.75" customHeight="1" x14ac:dyDescent="0.25">
      <c r="A16" s="352"/>
      <c r="B16" s="353"/>
      <c r="C16" s="354"/>
      <c r="D16" s="356"/>
      <c r="E16" s="356">
        <f t="shared" si="0"/>
        <v>17210.759999999998</v>
      </c>
      <c r="F16" s="361"/>
      <c r="G16" s="357">
        <f t="shared" si="1"/>
        <v>17210.760000000002</v>
      </c>
      <c r="H16" s="357">
        <f t="shared" si="2"/>
        <v>0</v>
      </c>
      <c r="I16" s="358"/>
    </row>
    <row r="17" spans="1:9" s="359" customFormat="1" ht="12.75" customHeight="1" x14ac:dyDescent="0.25">
      <c r="A17" s="352"/>
      <c r="B17" s="353"/>
      <c r="C17" s="354"/>
      <c r="D17" s="356"/>
      <c r="E17" s="356">
        <f t="shared" si="0"/>
        <v>17210.759999999998</v>
      </c>
      <c r="F17" s="361"/>
      <c r="G17" s="357">
        <f t="shared" si="1"/>
        <v>17210.760000000002</v>
      </c>
      <c r="H17" s="357">
        <f t="shared" si="2"/>
        <v>0</v>
      </c>
      <c r="I17" s="358"/>
    </row>
    <row r="18" spans="1:9" s="359" customFormat="1" ht="12.75" customHeight="1" x14ac:dyDescent="0.25">
      <c r="A18" s="352"/>
      <c r="B18" s="353"/>
      <c r="C18" s="354"/>
      <c r="D18" s="356"/>
      <c r="E18" s="356">
        <f t="shared" si="0"/>
        <v>17210.759999999998</v>
      </c>
      <c r="F18" s="361"/>
      <c r="G18" s="357">
        <f t="shared" si="1"/>
        <v>17210.760000000002</v>
      </c>
      <c r="H18" s="357">
        <f t="shared" si="2"/>
        <v>0</v>
      </c>
      <c r="I18" s="358"/>
    </row>
    <row r="19" spans="1:9" s="359" customFormat="1" ht="12.75" customHeight="1" x14ac:dyDescent="0.25">
      <c r="A19" s="352"/>
      <c r="B19" s="353"/>
      <c r="C19" s="354"/>
      <c r="D19" s="356"/>
      <c r="E19" s="356">
        <f t="shared" si="0"/>
        <v>17210.759999999998</v>
      </c>
      <c r="F19" s="357"/>
      <c r="G19" s="357">
        <f t="shared" si="1"/>
        <v>17210.760000000002</v>
      </c>
      <c r="H19" s="357">
        <f t="shared" si="2"/>
        <v>0</v>
      </c>
      <c r="I19" s="358"/>
    </row>
    <row r="20" spans="1:9" s="359" customFormat="1" ht="12.75" customHeight="1" x14ac:dyDescent="0.25">
      <c r="A20" s="352"/>
      <c r="B20" s="353"/>
      <c r="C20" s="354"/>
      <c r="D20" s="356"/>
      <c r="E20" s="356">
        <f t="shared" si="0"/>
        <v>17210.759999999998</v>
      </c>
      <c r="F20" s="357"/>
      <c r="G20" s="357">
        <f t="shared" si="1"/>
        <v>17210.760000000002</v>
      </c>
      <c r="H20" s="357">
        <f t="shared" si="2"/>
        <v>0</v>
      </c>
      <c r="I20" s="358"/>
    </row>
    <row r="21" spans="1:9" s="359" customFormat="1" ht="12.75" customHeight="1" x14ac:dyDescent="0.25">
      <c r="A21" s="352"/>
      <c r="B21" s="353"/>
      <c r="C21" s="363"/>
      <c r="D21" s="356"/>
      <c r="E21" s="356">
        <f t="shared" si="0"/>
        <v>17210.759999999998</v>
      </c>
      <c r="F21" s="357"/>
      <c r="G21" s="357">
        <f t="shared" si="1"/>
        <v>17210.760000000002</v>
      </c>
      <c r="H21" s="357">
        <f t="shared" si="2"/>
        <v>0</v>
      </c>
      <c r="I21" s="358"/>
    </row>
    <row r="22" spans="1:9" s="359" customFormat="1" ht="12.75" customHeight="1" x14ac:dyDescent="0.25">
      <c r="A22" s="352"/>
      <c r="B22" s="354"/>
      <c r="C22" s="364"/>
      <c r="D22" s="357"/>
      <c r="E22" s="357"/>
      <c r="F22" s="357"/>
      <c r="G22" s="357"/>
      <c r="H22" s="357"/>
      <c r="I22" s="358"/>
    </row>
    <row r="23" spans="1:9" s="359" customFormat="1" ht="12.75" customHeight="1" thickBot="1" x14ac:dyDescent="0.3">
      <c r="A23" s="352"/>
      <c r="B23" s="365"/>
      <c r="C23" s="366" t="s">
        <v>24</v>
      </c>
      <c r="D23" s="367">
        <f>SUM(D9:D22)</f>
        <v>17210.759999999998</v>
      </c>
      <c r="E23" s="367"/>
      <c r="F23" s="367">
        <f>SUM(F9:F22)</f>
        <v>17210.760000000002</v>
      </c>
      <c r="G23" s="367"/>
      <c r="H23" s="367">
        <f>D23-F23</f>
        <v>0</v>
      </c>
      <c r="I23" s="368" t="s">
        <v>454</v>
      </c>
    </row>
    <row r="24" spans="1:9" s="359" customFormat="1" ht="12.75" customHeight="1" thickTop="1" x14ac:dyDescent="0.25">
      <c r="A24" s="352"/>
      <c r="B24" s="354"/>
      <c r="C24" s="364"/>
      <c r="D24" s="357"/>
      <c r="E24" s="357"/>
      <c r="F24" s="357"/>
      <c r="G24" s="357"/>
      <c r="H24" s="357"/>
      <c r="I24" s="358"/>
    </row>
    <row r="25" spans="1:9" s="359" customFormat="1" ht="12.75" customHeight="1" x14ac:dyDescent="0.25">
      <c r="A25" s="352"/>
      <c r="B25" s="354"/>
      <c r="C25" s="364"/>
      <c r="D25" s="357"/>
      <c r="E25" s="357"/>
      <c r="F25" s="357"/>
      <c r="G25" s="357"/>
      <c r="H25" s="357"/>
      <c r="I25" s="358"/>
    </row>
    <row r="26" spans="1:9" s="359" customFormat="1" ht="12.75" customHeight="1" x14ac:dyDescent="0.25">
      <c r="A26" s="352"/>
      <c r="B26" s="354"/>
      <c r="C26" s="364" t="s">
        <v>112</v>
      </c>
      <c r="D26" s="369">
        <f>16125.32-10.56</f>
        <v>16114.76</v>
      </c>
      <c r="E26" s="369"/>
      <c r="F26" s="369">
        <f>2093.64+2180.88+3208.58+5607.07+3024.59</f>
        <v>16114.76</v>
      </c>
      <c r="G26" s="369"/>
      <c r="H26" s="369">
        <f>D26-F26</f>
        <v>0</v>
      </c>
      <c r="I26" s="358"/>
    </row>
    <row r="27" spans="1:9" s="359" customFormat="1" ht="12.75" customHeight="1" x14ac:dyDescent="0.25">
      <c r="A27" s="352"/>
      <c r="B27" s="354"/>
      <c r="C27" s="364" t="s">
        <v>113</v>
      </c>
      <c r="D27" s="369">
        <f>2000-904</f>
        <v>1096</v>
      </c>
      <c r="E27" s="369"/>
      <c r="F27" s="369">
        <f>1096</f>
        <v>1096</v>
      </c>
      <c r="G27" s="369"/>
      <c r="H27" s="369">
        <f>D27-F27</f>
        <v>0</v>
      </c>
      <c r="I27" s="358"/>
    </row>
    <row r="28" spans="1:9" s="359" customFormat="1" ht="12.75" customHeight="1" thickBot="1" x14ac:dyDescent="0.3">
      <c r="A28" s="352"/>
      <c r="B28" s="354"/>
      <c r="C28" s="370" t="s">
        <v>67</v>
      </c>
      <c r="D28" s="367">
        <f>SUM(D26:D27)</f>
        <v>17210.760000000002</v>
      </c>
      <c r="E28" s="371"/>
      <c r="F28" s="367">
        <f>SUM(F26:F27)</f>
        <v>17210.760000000002</v>
      </c>
      <c r="G28" s="371"/>
      <c r="H28" s="367">
        <f>SUM(H26:H27)</f>
        <v>0</v>
      </c>
      <c r="I28" s="358"/>
    </row>
    <row r="29" spans="1:9" s="359" customFormat="1" ht="12.75" customHeight="1" thickTop="1" x14ac:dyDescent="0.25"/>
  </sheetData>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02786-6298-4399-BB48-5E5531EFC162}">
  <sheetPr codeName="Sheet177">
    <pageSetUpPr fitToPage="1"/>
  </sheetPr>
  <dimension ref="A1:J31"/>
  <sheetViews>
    <sheetView zoomScaleNormal="100" workbookViewId="0">
      <selection activeCell="K28" sqref="K28"/>
    </sheetView>
  </sheetViews>
  <sheetFormatPr defaultColWidth="11.42578125" defaultRowHeight="15" customHeight="1" x14ac:dyDescent="0.25"/>
  <cols>
    <col min="1" max="1" width="24.5703125" customWidth="1"/>
    <col min="2" max="3" width="9.42578125" customWidth="1"/>
    <col min="4" max="4" width="37.42578125" customWidth="1"/>
    <col min="5" max="5" width="17.14062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#9484.00'!B1</f>
        <v>ILEA JOH Hydraulic Elevator Replacement</v>
      </c>
      <c r="B1" s="3"/>
      <c r="C1" s="3"/>
      <c r="D1" s="4"/>
      <c r="E1" s="4"/>
      <c r="F1" s="4"/>
      <c r="G1" s="33"/>
      <c r="H1" s="33"/>
      <c r="I1" s="34"/>
      <c r="J1" s="34"/>
    </row>
    <row r="2" spans="1:10" ht="15.75" x14ac:dyDescent="0.25">
      <c r="A2" s="6" t="str">
        <f>'RECAP #9484.00'!B2</f>
        <v>Project # 9484.00</v>
      </c>
      <c r="B2" s="5"/>
      <c r="C2" s="5"/>
      <c r="D2" s="4"/>
      <c r="E2" s="4"/>
      <c r="F2" s="4"/>
      <c r="G2" s="33"/>
      <c r="H2" s="33"/>
      <c r="I2" s="34"/>
      <c r="J2" s="34"/>
    </row>
    <row r="3" spans="1:10" ht="15.75" x14ac:dyDescent="0.25">
      <c r="A3" s="7" t="str">
        <f>'RECAP #9484.00'!B3</f>
        <v>Program code 948400</v>
      </c>
      <c r="B3" s="5"/>
      <c r="C3" s="5"/>
      <c r="D3" s="4"/>
      <c r="E3" s="8" t="str">
        <f>'RECAP #9484.00'!E3</f>
        <v>Major Program 4D03</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84</v>
      </c>
      <c r="F6" s="49"/>
      <c r="G6" s="50"/>
      <c r="H6" s="46"/>
      <c r="I6" s="41"/>
      <c r="J6" s="34"/>
    </row>
    <row r="7" spans="1:10" ht="15.75" x14ac:dyDescent="0.25">
      <c r="A7" s="13" t="str">
        <f>'RECAP #9484.00'!B6</f>
        <v>Project Manager - Brad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20000</v>
      </c>
      <c r="F9" s="290">
        <f>E9</f>
        <v>20000</v>
      </c>
      <c r="G9" s="291"/>
      <c r="H9" s="291"/>
      <c r="I9" s="291">
        <f>F9</f>
        <v>20000</v>
      </c>
      <c r="J9" s="292"/>
    </row>
    <row r="10" spans="1:10" s="275" customFormat="1" ht="12.75" customHeight="1" x14ac:dyDescent="0.25">
      <c r="A10" s="217" t="s">
        <v>87</v>
      </c>
      <c r="B10" s="218">
        <v>45876</v>
      </c>
      <c r="C10" s="219">
        <v>2507</v>
      </c>
      <c r="D10" s="179" t="s">
        <v>88</v>
      </c>
      <c r="E10" s="290"/>
      <c r="F10" s="290">
        <f t="shared" ref="F10:F28" si="0">F9+E10</f>
        <v>20000</v>
      </c>
      <c r="G10" s="294">
        <f>19.58+28.31</f>
        <v>47.89</v>
      </c>
      <c r="H10" s="291">
        <f t="shared" ref="H10:H28" si="1">H9+G10</f>
        <v>47.89</v>
      </c>
      <c r="I10" s="291">
        <f t="shared" ref="I10:I28" si="2">I9-G10+E10</f>
        <v>19952.11</v>
      </c>
      <c r="J10" s="292"/>
    </row>
    <row r="11" spans="1:10" s="275" customFormat="1" ht="12.75" customHeight="1" x14ac:dyDescent="0.25">
      <c r="A11" s="217" t="s">
        <v>87</v>
      </c>
      <c r="B11" s="218">
        <v>45876</v>
      </c>
      <c r="C11" s="219">
        <v>9500</v>
      </c>
      <c r="D11" s="180" t="s">
        <v>89</v>
      </c>
      <c r="E11" s="290"/>
      <c r="F11" s="290">
        <f t="shared" si="0"/>
        <v>20000</v>
      </c>
      <c r="G11" s="294">
        <f>35+497.2</f>
        <v>532.20000000000005</v>
      </c>
      <c r="H11" s="291">
        <f t="shared" si="1"/>
        <v>580.09</v>
      </c>
      <c r="I11" s="291">
        <f t="shared" si="2"/>
        <v>19419.91</v>
      </c>
      <c r="J11" s="292"/>
    </row>
    <row r="12" spans="1:10" s="275" customFormat="1" ht="12.75" customHeight="1" x14ac:dyDescent="0.25">
      <c r="A12" s="217" t="s">
        <v>126</v>
      </c>
      <c r="B12" s="218">
        <v>45908</v>
      </c>
      <c r="C12" s="219">
        <v>2507</v>
      </c>
      <c r="D12" s="179" t="s">
        <v>127</v>
      </c>
      <c r="E12" s="290"/>
      <c r="F12" s="290">
        <f t="shared" si="0"/>
        <v>20000</v>
      </c>
      <c r="G12" s="294">
        <v>105.15</v>
      </c>
      <c r="H12" s="291">
        <f t="shared" si="1"/>
        <v>685.24</v>
      </c>
      <c r="I12" s="291">
        <f t="shared" si="2"/>
        <v>19314.759999999998</v>
      </c>
      <c r="J12" s="292"/>
    </row>
    <row r="13" spans="1:10" s="275" customFormat="1" ht="12.75" customHeight="1" x14ac:dyDescent="0.25">
      <c r="A13" s="217" t="s">
        <v>126</v>
      </c>
      <c r="B13" s="218">
        <v>45908</v>
      </c>
      <c r="C13" s="219">
        <v>9500</v>
      </c>
      <c r="D13" s="180" t="s">
        <v>128</v>
      </c>
      <c r="E13" s="290"/>
      <c r="F13" s="290">
        <f t="shared" si="0"/>
        <v>20000</v>
      </c>
      <c r="G13" s="294">
        <v>820.1</v>
      </c>
      <c r="H13" s="291">
        <f t="shared" si="1"/>
        <v>1505.3400000000001</v>
      </c>
      <c r="I13" s="291">
        <f t="shared" si="2"/>
        <v>18494.66</v>
      </c>
      <c r="J13" s="292"/>
    </row>
    <row r="14" spans="1:10" s="275" customFormat="1" ht="12.75" customHeight="1" x14ac:dyDescent="0.25">
      <c r="A14" s="220" t="s">
        <v>268</v>
      </c>
      <c r="B14" s="221">
        <v>45937</v>
      </c>
      <c r="C14" s="219" t="s">
        <v>269</v>
      </c>
      <c r="D14" s="179" t="s">
        <v>270</v>
      </c>
      <c r="E14" s="290"/>
      <c r="F14" s="290">
        <f t="shared" si="0"/>
        <v>20000</v>
      </c>
      <c r="G14" s="294">
        <v>154.88</v>
      </c>
      <c r="H14" s="291">
        <f t="shared" si="1"/>
        <v>1660.2200000000003</v>
      </c>
      <c r="I14" s="291">
        <f t="shared" si="2"/>
        <v>18339.78</v>
      </c>
      <c r="J14" s="292"/>
    </row>
    <row r="15" spans="1:10" s="275" customFormat="1" ht="12.75" customHeight="1" x14ac:dyDescent="0.25">
      <c r="A15" s="220" t="s">
        <v>268</v>
      </c>
      <c r="B15" s="221">
        <v>45937</v>
      </c>
      <c r="C15" s="219">
        <v>9500</v>
      </c>
      <c r="D15" s="222" t="s">
        <v>271</v>
      </c>
      <c r="E15" s="290"/>
      <c r="F15" s="290">
        <f t="shared" si="0"/>
        <v>20000</v>
      </c>
      <c r="G15" s="294">
        <v>808.3</v>
      </c>
      <c r="H15" s="291">
        <f t="shared" si="1"/>
        <v>2468.5200000000004</v>
      </c>
      <c r="I15" s="291">
        <f t="shared" si="2"/>
        <v>17531.48</v>
      </c>
      <c r="J15" s="292"/>
    </row>
    <row r="16" spans="1:10" s="275" customFormat="1" ht="12.75" customHeight="1" x14ac:dyDescent="0.25">
      <c r="A16" s="220" t="s">
        <v>322</v>
      </c>
      <c r="B16" s="221">
        <v>45968</v>
      </c>
      <c r="C16" s="219" t="s">
        <v>269</v>
      </c>
      <c r="D16" s="179" t="s">
        <v>323</v>
      </c>
      <c r="E16" s="290"/>
      <c r="F16" s="290">
        <f t="shared" si="0"/>
        <v>20000</v>
      </c>
      <c r="G16" s="294">
        <v>71.84</v>
      </c>
      <c r="H16" s="291">
        <f t="shared" si="1"/>
        <v>2540.3600000000006</v>
      </c>
      <c r="I16" s="291">
        <f t="shared" si="2"/>
        <v>17459.64</v>
      </c>
      <c r="J16" s="292"/>
    </row>
    <row r="17" spans="1:10" s="275" customFormat="1" ht="12.75" customHeight="1" x14ac:dyDescent="0.25">
      <c r="A17" s="220" t="s">
        <v>322</v>
      </c>
      <c r="B17" s="221">
        <v>45968</v>
      </c>
      <c r="C17" s="219">
        <v>9500</v>
      </c>
      <c r="D17" s="222" t="s">
        <v>324</v>
      </c>
      <c r="E17" s="290"/>
      <c r="F17" s="290">
        <f t="shared" si="0"/>
        <v>20000</v>
      </c>
      <c r="G17" s="294">
        <v>712.1</v>
      </c>
      <c r="H17" s="291">
        <f t="shared" si="1"/>
        <v>3252.4600000000005</v>
      </c>
      <c r="I17" s="291">
        <f t="shared" si="2"/>
        <v>16747.54</v>
      </c>
      <c r="J17" s="292"/>
    </row>
    <row r="18" spans="1:10" s="275" customFormat="1" ht="12.75" customHeight="1" x14ac:dyDescent="0.2">
      <c r="A18" s="213" t="s">
        <v>373</v>
      </c>
      <c r="B18" s="214">
        <v>45996</v>
      </c>
      <c r="C18" s="332" t="s">
        <v>269</v>
      </c>
      <c r="D18" s="175" t="s">
        <v>374</v>
      </c>
      <c r="E18" s="290"/>
      <c r="F18" s="290">
        <f t="shared" si="0"/>
        <v>20000</v>
      </c>
      <c r="G18" s="294">
        <v>105.54</v>
      </c>
      <c r="H18" s="291">
        <f t="shared" si="1"/>
        <v>3358.0000000000005</v>
      </c>
      <c r="I18" s="291">
        <f t="shared" si="2"/>
        <v>16642</v>
      </c>
      <c r="J18" s="292"/>
    </row>
    <row r="19" spans="1:10" s="275" customFormat="1" ht="12.75" customHeight="1" x14ac:dyDescent="0.2">
      <c r="A19" s="213" t="s">
        <v>373</v>
      </c>
      <c r="B19" s="214">
        <v>45996</v>
      </c>
      <c r="C19" s="333">
        <v>9500</v>
      </c>
      <c r="D19" s="78" t="s">
        <v>375</v>
      </c>
      <c r="E19" s="290"/>
      <c r="F19" s="290">
        <f t="shared" si="0"/>
        <v>20000</v>
      </c>
      <c r="G19" s="294">
        <v>670.4</v>
      </c>
      <c r="H19" s="291">
        <f t="shared" si="1"/>
        <v>4028.4000000000005</v>
      </c>
      <c r="I19" s="291">
        <f t="shared" si="2"/>
        <v>15971.6</v>
      </c>
      <c r="J19" s="292"/>
    </row>
    <row r="20" spans="1:10" s="275" customFormat="1" ht="12.75" customHeight="1" x14ac:dyDescent="0.2">
      <c r="A20" s="213" t="s">
        <v>433</v>
      </c>
      <c r="B20" s="214">
        <v>46030</v>
      </c>
      <c r="C20" s="332" t="s">
        <v>269</v>
      </c>
      <c r="D20" s="175" t="s">
        <v>434</v>
      </c>
      <c r="E20" s="290"/>
      <c r="F20" s="290">
        <f t="shared" si="0"/>
        <v>20000</v>
      </c>
      <c r="G20" s="294">
        <v>128.69</v>
      </c>
      <c r="H20" s="291">
        <f t="shared" si="1"/>
        <v>4157.09</v>
      </c>
      <c r="I20" s="291">
        <f t="shared" si="2"/>
        <v>15842.91</v>
      </c>
      <c r="J20" s="292"/>
    </row>
    <row r="21" spans="1:10" s="275" customFormat="1" ht="12.75" customHeight="1" x14ac:dyDescent="0.2">
      <c r="A21" s="213" t="s">
        <v>433</v>
      </c>
      <c r="B21" s="214">
        <v>46030</v>
      </c>
      <c r="C21" s="333">
        <v>9500</v>
      </c>
      <c r="D21" s="78" t="s">
        <v>435</v>
      </c>
      <c r="E21" s="290"/>
      <c r="F21" s="290">
        <f t="shared" si="0"/>
        <v>20000</v>
      </c>
      <c r="G21" s="294">
        <v>1465.3</v>
      </c>
      <c r="H21" s="291">
        <f t="shared" si="1"/>
        <v>5622.39</v>
      </c>
      <c r="I21" s="291">
        <f t="shared" si="2"/>
        <v>14377.61</v>
      </c>
      <c r="J21" s="292"/>
    </row>
    <row r="22" spans="1:10" s="275" customFormat="1" ht="12.75" customHeight="1" x14ac:dyDescent="0.2">
      <c r="A22" s="213" t="s">
        <v>559</v>
      </c>
      <c r="B22" s="214">
        <v>46062</v>
      </c>
      <c r="C22" s="332" t="s">
        <v>269</v>
      </c>
      <c r="D22" s="175" t="s">
        <v>560</v>
      </c>
      <c r="E22" s="290"/>
      <c r="F22" s="290">
        <f t="shared" si="0"/>
        <v>20000</v>
      </c>
      <c r="G22" s="294">
        <v>104.43</v>
      </c>
      <c r="H22" s="291">
        <f t="shared" si="1"/>
        <v>5726.8200000000006</v>
      </c>
      <c r="I22" s="291">
        <f t="shared" si="2"/>
        <v>14273.18</v>
      </c>
      <c r="J22" s="292"/>
    </row>
    <row r="23" spans="1:10" s="275" customFormat="1" ht="12.75" customHeight="1" x14ac:dyDescent="0.2">
      <c r="A23" s="213" t="s">
        <v>559</v>
      </c>
      <c r="B23" s="214">
        <v>46062</v>
      </c>
      <c r="C23" s="333">
        <v>9500</v>
      </c>
      <c r="D23" s="78" t="s">
        <v>561</v>
      </c>
      <c r="E23" s="290"/>
      <c r="F23" s="290">
        <f t="shared" si="0"/>
        <v>20000</v>
      </c>
      <c r="G23" s="294">
        <v>1295.3</v>
      </c>
      <c r="H23" s="291">
        <f t="shared" si="1"/>
        <v>7022.1200000000008</v>
      </c>
      <c r="I23" s="291">
        <f t="shared" si="2"/>
        <v>12977.880000000001</v>
      </c>
      <c r="J23" s="292"/>
    </row>
    <row r="24" spans="1:10" s="275" customFormat="1" ht="12.75" customHeight="1" x14ac:dyDescent="0.2">
      <c r="A24" s="213" t="s">
        <v>663</v>
      </c>
      <c r="B24" s="214">
        <v>46090</v>
      </c>
      <c r="C24" s="332" t="s">
        <v>269</v>
      </c>
      <c r="D24" s="175" t="s">
        <v>664</v>
      </c>
      <c r="E24" s="290"/>
      <c r="F24" s="290">
        <f t="shared" si="0"/>
        <v>20000</v>
      </c>
      <c r="G24" s="294">
        <v>75.260000000000005</v>
      </c>
      <c r="H24" s="291">
        <f t="shared" si="1"/>
        <v>7097.380000000001</v>
      </c>
      <c r="I24" s="291">
        <f t="shared" si="2"/>
        <v>12902.62</v>
      </c>
      <c r="J24" s="292"/>
    </row>
    <row r="25" spans="1:10" s="275" customFormat="1" ht="12.75" customHeight="1" x14ac:dyDescent="0.2">
      <c r="A25" s="213" t="s">
        <v>663</v>
      </c>
      <c r="B25" s="214">
        <v>46090</v>
      </c>
      <c r="C25" s="333">
        <v>9500</v>
      </c>
      <c r="D25" s="78" t="s">
        <v>665</v>
      </c>
      <c r="E25" s="290"/>
      <c r="F25" s="290">
        <f t="shared" si="0"/>
        <v>20000</v>
      </c>
      <c r="G25" s="294">
        <v>862.2</v>
      </c>
      <c r="H25" s="291">
        <f t="shared" si="1"/>
        <v>7959.5800000000008</v>
      </c>
      <c r="I25" s="291">
        <f t="shared" si="2"/>
        <v>12040.42</v>
      </c>
      <c r="J25" s="292"/>
    </row>
    <row r="26" spans="1:10" s="275" customFormat="1" ht="12.75" customHeight="1" x14ac:dyDescent="0.2">
      <c r="A26" s="213"/>
      <c r="B26" s="214"/>
      <c r="C26" s="333"/>
      <c r="D26" s="78"/>
      <c r="E26" s="290"/>
      <c r="F26" s="290">
        <f t="shared" si="0"/>
        <v>20000</v>
      </c>
      <c r="G26" s="294"/>
      <c r="H26" s="291">
        <f t="shared" si="1"/>
        <v>7959.5800000000008</v>
      </c>
      <c r="I26" s="291">
        <f t="shared" si="2"/>
        <v>12040.42</v>
      </c>
      <c r="J26" s="292"/>
    </row>
    <row r="27" spans="1:10" s="275" customFormat="1" ht="12.75" customHeight="1" x14ac:dyDescent="0.2">
      <c r="A27" s="213"/>
      <c r="B27" s="214"/>
      <c r="C27" s="333"/>
      <c r="D27" s="78"/>
      <c r="E27" s="290"/>
      <c r="F27" s="290">
        <f t="shared" si="0"/>
        <v>20000</v>
      </c>
      <c r="G27" s="294"/>
      <c r="H27" s="291">
        <f t="shared" si="1"/>
        <v>7959.5800000000008</v>
      </c>
      <c r="I27" s="291">
        <f t="shared" si="2"/>
        <v>12040.42</v>
      </c>
      <c r="J27" s="292"/>
    </row>
    <row r="28" spans="1:10" s="275" customFormat="1" ht="12.75" customHeight="1" x14ac:dyDescent="0.2">
      <c r="A28" s="213"/>
      <c r="B28" s="214"/>
      <c r="C28" s="333"/>
      <c r="D28" s="78"/>
      <c r="E28" s="290"/>
      <c r="F28" s="290">
        <f t="shared" si="0"/>
        <v>20000</v>
      </c>
      <c r="G28" s="295"/>
      <c r="H28" s="291">
        <f t="shared" si="1"/>
        <v>7959.5800000000008</v>
      </c>
      <c r="I28" s="291">
        <f t="shared" si="2"/>
        <v>12040.42</v>
      </c>
      <c r="J28" s="292"/>
    </row>
    <row r="29" spans="1:10" s="275" customFormat="1" ht="12.75" customHeight="1" x14ac:dyDescent="0.25">
      <c r="A29" s="286"/>
      <c r="B29" s="288"/>
      <c r="C29" s="219"/>
      <c r="D29" s="297"/>
      <c r="E29" s="291"/>
      <c r="F29" s="291"/>
      <c r="G29" s="291"/>
      <c r="H29" s="291"/>
      <c r="I29" s="291"/>
      <c r="J29" s="292"/>
    </row>
    <row r="30" spans="1:10" s="275" customFormat="1" ht="12.75" customHeight="1" thickBot="1" x14ac:dyDescent="0.3">
      <c r="A30" s="286"/>
      <c r="B30" s="300"/>
      <c r="C30" s="219"/>
      <c r="D30" s="301" t="s">
        <v>24</v>
      </c>
      <c r="E30" s="302">
        <f>SUM(E9:E29)</f>
        <v>20000</v>
      </c>
      <c r="F30" s="302"/>
      <c r="G30" s="302">
        <f>SUM(G9:G29)</f>
        <v>7959.5800000000008</v>
      </c>
      <c r="H30" s="302"/>
      <c r="I30" s="302">
        <f>E30-G30</f>
        <v>12040.419999999998</v>
      </c>
      <c r="J30" s="292"/>
    </row>
    <row r="31" spans="1:10" s="275" customFormat="1" ht="12.7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4597A-6E53-47D4-9CE4-09E4FB820458}">
  <sheetPr codeName="Sheet178">
    <pageSetUpPr fitToPage="1"/>
  </sheetPr>
  <dimension ref="A1:H23"/>
  <sheetViews>
    <sheetView zoomScaleNormal="100" workbookViewId="0">
      <selection activeCell="E28" sqref="E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6" customWidth="1"/>
    <col min="6" max="6" width="16"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#9484.00'!B1</f>
        <v>ILEA JOH Hydraulic Elevator Replacement</v>
      </c>
      <c r="B1" s="3"/>
      <c r="C1" s="3"/>
      <c r="D1" s="3"/>
      <c r="E1" s="4"/>
      <c r="F1" s="4"/>
      <c r="G1" s="4"/>
      <c r="H1" s="33"/>
    </row>
    <row r="2" spans="1:8" ht="15.75" x14ac:dyDescent="0.25">
      <c r="A2" s="6" t="str">
        <f>'RECAP #9484.00'!B2</f>
        <v>Project # 9484.00</v>
      </c>
      <c r="B2" s="5"/>
      <c r="C2" s="5"/>
      <c r="D2" s="5"/>
      <c r="E2" s="4"/>
      <c r="F2" s="4"/>
      <c r="G2" s="4"/>
      <c r="H2" s="33"/>
    </row>
    <row r="3" spans="1:8" ht="15.75" x14ac:dyDescent="0.25">
      <c r="A3" s="7" t="str">
        <f>'RECAP #9484.00'!B3</f>
        <v>Program code 948400</v>
      </c>
      <c r="B3" s="5"/>
      <c r="C3" s="5"/>
      <c r="D3" s="5"/>
      <c r="E3" s="8" t="str">
        <f>'RECAP #9484.00'!E3</f>
        <v>Major Program 4D03</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300</v>
      </c>
      <c r="F6" s="41"/>
      <c r="G6" s="44"/>
      <c r="H6" s="45"/>
    </row>
    <row r="7" spans="1:8" ht="15.75" x14ac:dyDescent="0.25">
      <c r="A7" s="13" t="str">
        <f>'RECAP #9484.00'!B6</f>
        <v>Project Manager - Brad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
      <c r="A9" s="296" t="s">
        <v>376</v>
      </c>
      <c r="B9" s="287">
        <v>46013</v>
      </c>
      <c r="C9" s="323" t="s">
        <v>370</v>
      </c>
      <c r="D9" s="323" t="s">
        <v>371</v>
      </c>
      <c r="E9" s="335" t="s">
        <v>377</v>
      </c>
      <c r="F9" s="321" t="s">
        <v>378</v>
      </c>
      <c r="G9" s="294">
        <v>223.08</v>
      </c>
      <c r="H9" s="322">
        <f>G9</f>
        <v>223.08</v>
      </c>
    </row>
    <row r="10" spans="1:8" s="275" customFormat="1" ht="12.75" customHeight="1" x14ac:dyDescent="0.25">
      <c r="A10" s="323"/>
      <c r="B10" s="287"/>
      <c r="C10" s="297"/>
      <c r="D10" s="297"/>
      <c r="E10" s="318"/>
      <c r="F10" s="309"/>
      <c r="G10" s="322"/>
      <c r="H10" s="322">
        <f>H9+G10</f>
        <v>223.08</v>
      </c>
    </row>
    <row r="11" spans="1:8" s="275" customFormat="1" ht="12.75" customHeight="1" x14ac:dyDescent="0.25">
      <c r="A11" s="323"/>
      <c r="B11" s="287"/>
      <c r="C11" s="287"/>
      <c r="D11" s="287"/>
      <c r="E11" s="318"/>
      <c r="F11" s="309"/>
      <c r="G11" s="322"/>
      <c r="H11" s="322">
        <f t="shared" ref="H11:H20" si="0">H10+G11</f>
        <v>223.08</v>
      </c>
    </row>
    <row r="12" spans="1:8" s="275" customFormat="1" ht="12.75" customHeight="1" x14ac:dyDescent="0.25">
      <c r="A12" s="323" t="s">
        <v>2</v>
      </c>
      <c r="B12" s="287" t="s">
        <v>2</v>
      </c>
      <c r="C12" s="287"/>
      <c r="D12" s="287"/>
      <c r="E12" s="318" t="s">
        <v>2</v>
      </c>
      <c r="F12" s="309"/>
      <c r="G12" s="322"/>
      <c r="H12" s="322">
        <f t="shared" si="0"/>
        <v>223.08</v>
      </c>
    </row>
    <row r="13" spans="1:8" s="275" customFormat="1" ht="12.75" customHeight="1" x14ac:dyDescent="0.25">
      <c r="A13" s="323" t="s">
        <v>2</v>
      </c>
      <c r="B13" s="287" t="s">
        <v>2</v>
      </c>
      <c r="C13" s="287"/>
      <c r="D13" s="287"/>
      <c r="E13" s="318" t="s">
        <v>2</v>
      </c>
      <c r="F13" s="309"/>
      <c r="G13" s="322"/>
      <c r="H13" s="322">
        <f t="shared" si="0"/>
        <v>223.08</v>
      </c>
    </row>
    <row r="14" spans="1:8" s="275" customFormat="1" ht="12.75" customHeight="1" x14ac:dyDescent="0.25">
      <c r="A14" s="323"/>
      <c r="B14" s="287"/>
      <c r="C14" s="287"/>
      <c r="D14" s="287"/>
      <c r="E14" s="318"/>
      <c r="F14" s="309"/>
      <c r="G14" s="322"/>
      <c r="H14" s="322">
        <f t="shared" si="0"/>
        <v>223.08</v>
      </c>
    </row>
    <row r="15" spans="1:8" s="275" customFormat="1" ht="12.75" customHeight="1" x14ac:dyDescent="0.25">
      <c r="A15" s="323"/>
      <c r="B15" s="287"/>
      <c r="C15" s="287"/>
      <c r="D15" s="287"/>
      <c r="E15" s="324"/>
      <c r="F15" s="309"/>
      <c r="G15" s="322"/>
      <c r="H15" s="322">
        <f t="shared" si="0"/>
        <v>223.08</v>
      </c>
    </row>
    <row r="16" spans="1:8" s="275" customFormat="1" ht="12.75" customHeight="1" x14ac:dyDescent="0.25">
      <c r="A16" s="323"/>
      <c r="B16" s="287"/>
      <c r="C16" s="287"/>
      <c r="D16" s="287"/>
      <c r="E16" s="318"/>
      <c r="F16" s="309"/>
      <c r="G16" s="322"/>
      <c r="H16" s="322">
        <f t="shared" si="0"/>
        <v>223.08</v>
      </c>
    </row>
    <row r="17" spans="1:8" s="275" customFormat="1" ht="12.75" customHeight="1" x14ac:dyDescent="0.25">
      <c r="A17" s="319"/>
      <c r="B17" s="287"/>
      <c r="C17" s="287"/>
      <c r="D17" s="287"/>
      <c r="E17" s="318"/>
      <c r="F17" s="309"/>
      <c r="G17" s="322"/>
      <c r="H17" s="322">
        <f t="shared" si="0"/>
        <v>223.08</v>
      </c>
    </row>
    <row r="18" spans="1:8" s="275" customFormat="1" ht="12.75" customHeight="1" x14ac:dyDescent="0.25">
      <c r="A18" s="319"/>
      <c r="B18" s="287"/>
      <c r="C18" s="287"/>
      <c r="D18" s="287"/>
      <c r="E18" s="318"/>
      <c r="F18" s="309"/>
      <c r="G18" s="322"/>
      <c r="H18" s="322">
        <f t="shared" si="0"/>
        <v>223.08</v>
      </c>
    </row>
    <row r="19" spans="1:8" s="275" customFormat="1" ht="12.75" customHeight="1" x14ac:dyDescent="0.25">
      <c r="A19" s="319"/>
      <c r="B19" s="287"/>
      <c r="C19" s="287"/>
      <c r="D19" s="287"/>
      <c r="E19" s="318"/>
      <c r="F19" s="309"/>
      <c r="G19" s="322"/>
      <c r="H19" s="322">
        <f t="shared" si="0"/>
        <v>223.08</v>
      </c>
    </row>
    <row r="20" spans="1:8" s="275" customFormat="1" ht="12.75" customHeight="1" x14ac:dyDescent="0.25">
      <c r="A20" s="319"/>
      <c r="B20" s="287"/>
      <c r="C20" s="287"/>
      <c r="D20" s="287"/>
      <c r="E20" s="318"/>
      <c r="F20" s="309"/>
      <c r="G20" s="322"/>
      <c r="H20" s="322">
        <f t="shared" si="0"/>
        <v>223.08</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223.08</v>
      </c>
      <c r="H22" s="328"/>
    </row>
    <row r="23" spans="1:8" s="275" customFormat="1" ht="12.75" customHeight="1" thickTop="1" x14ac:dyDescent="0.25"/>
  </sheetData>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EF0EF-552A-452E-A634-3678AE144A83}">
  <sheetPr>
    <pageSetUpPr fitToPage="1"/>
  </sheetPr>
  <dimension ref="A1:I31"/>
  <sheetViews>
    <sheetView zoomScaleNormal="100" workbookViewId="0">
      <selection activeCell="D36" sqref="D3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33"/>
      <c r="G1" s="33"/>
      <c r="H1" s="34"/>
      <c r="I1" s="34"/>
    </row>
    <row r="2" spans="1:9" ht="15.75" x14ac:dyDescent="0.25">
      <c r="A2" s="6" t="str">
        <f>'RECAP #9484.00'!B2</f>
        <v>Project # 9484.00</v>
      </c>
      <c r="B2" s="5"/>
      <c r="C2" s="4"/>
      <c r="D2" s="4"/>
      <c r="E2" s="4"/>
      <c r="F2" s="33"/>
      <c r="G2" s="33"/>
      <c r="H2" s="34"/>
      <c r="I2" s="34"/>
    </row>
    <row r="3" spans="1:9" ht="15.75" x14ac:dyDescent="0.25">
      <c r="A3" s="7" t="str">
        <f>'RECAP #9484.00'!B3</f>
        <v>Program code 948400</v>
      </c>
      <c r="B3" s="5"/>
      <c r="C3" s="4"/>
      <c r="D3" s="8" t="str">
        <f>'RECAP #9484.00'!E3</f>
        <v>Major Program 4D03</v>
      </c>
      <c r="E3" s="4"/>
      <c r="F3" s="33"/>
      <c r="G3" s="33"/>
      <c r="H3" s="34"/>
      <c r="I3" s="34"/>
    </row>
    <row r="4" spans="1:9" ht="15.75" x14ac:dyDescent="0.25">
      <c r="A4" s="35" t="s">
        <v>116</v>
      </c>
      <c r="B4" s="36"/>
      <c r="C4" s="37"/>
      <c r="D4" s="38" t="s">
        <v>118</v>
      </c>
      <c r="E4" s="39"/>
      <c r="F4" s="33"/>
      <c r="G4" s="33"/>
      <c r="H4" s="34"/>
      <c r="I4" s="34"/>
    </row>
    <row r="5" spans="1:9" ht="15.75" x14ac:dyDescent="0.25">
      <c r="A5" s="40" t="s">
        <v>117</v>
      </c>
      <c r="B5" s="41"/>
      <c r="C5" s="42"/>
      <c r="D5" s="43" t="s">
        <v>119</v>
      </c>
      <c r="E5" s="44"/>
      <c r="F5" s="45"/>
      <c r="G5" s="46"/>
      <c r="H5" s="41"/>
      <c r="I5" s="34"/>
    </row>
    <row r="6" spans="1:9" ht="15.75" x14ac:dyDescent="0.25">
      <c r="A6" s="13" t="str">
        <f>'RECAP #9484.00'!B6</f>
        <v>Project Manager - Brad T.</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121</v>
      </c>
      <c r="B9" s="287">
        <v>45916</v>
      </c>
      <c r="C9" s="288" t="s">
        <v>111</v>
      </c>
      <c r="D9" s="289">
        <v>68920</v>
      </c>
      <c r="E9" s="290">
        <f>D9</f>
        <v>68920</v>
      </c>
      <c r="F9" s="291"/>
      <c r="G9" s="291"/>
      <c r="H9" s="291">
        <f>E9</f>
        <v>68920</v>
      </c>
      <c r="I9" s="292"/>
    </row>
    <row r="10" spans="1:9" s="275" customFormat="1" ht="12.75" customHeight="1" x14ac:dyDescent="0.25">
      <c r="A10" s="286" t="s">
        <v>318</v>
      </c>
      <c r="B10" s="293">
        <v>45966</v>
      </c>
      <c r="C10" s="288" t="s">
        <v>319</v>
      </c>
      <c r="D10" s="290"/>
      <c r="E10" s="290">
        <f t="shared" ref="E10:E21" si="0">E9+D10</f>
        <v>68920</v>
      </c>
      <c r="F10" s="294">
        <v>25500.400000000001</v>
      </c>
      <c r="G10" s="291">
        <f t="shared" ref="G10:G21" si="1">G9+F10</f>
        <v>25500.400000000001</v>
      </c>
      <c r="H10" s="291">
        <f t="shared" ref="H10:H21" si="2">H9-F10+D10</f>
        <v>43419.6</v>
      </c>
      <c r="I10" s="292"/>
    </row>
    <row r="11" spans="1:9" s="275" customFormat="1" ht="12.75" customHeight="1" x14ac:dyDescent="0.25">
      <c r="A11" s="286" t="s">
        <v>351</v>
      </c>
      <c r="B11" s="287">
        <v>45995</v>
      </c>
      <c r="C11" s="288" t="s">
        <v>352</v>
      </c>
      <c r="D11" s="290"/>
      <c r="E11" s="290">
        <f t="shared" si="0"/>
        <v>68920</v>
      </c>
      <c r="F11" s="294">
        <v>19297.599999999999</v>
      </c>
      <c r="G11" s="291">
        <f t="shared" si="1"/>
        <v>44798</v>
      </c>
      <c r="H11" s="291">
        <f t="shared" si="2"/>
        <v>24122</v>
      </c>
      <c r="I11" s="292"/>
    </row>
    <row r="12" spans="1:9" s="275" customFormat="1" ht="12.75" customHeight="1" x14ac:dyDescent="0.25">
      <c r="A12" s="286" t="s">
        <v>428</v>
      </c>
      <c r="B12" s="287">
        <v>46034</v>
      </c>
      <c r="C12" s="288" t="s">
        <v>429</v>
      </c>
      <c r="D12" s="290"/>
      <c r="E12" s="290">
        <f t="shared" si="0"/>
        <v>68920</v>
      </c>
      <c r="F12" s="294">
        <v>3446</v>
      </c>
      <c r="G12" s="291">
        <f t="shared" si="1"/>
        <v>48244</v>
      </c>
      <c r="H12" s="291">
        <f t="shared" si="2"/>
        <v>20676</v>
      </c>
      <c r="I12" s="292"/>
    </row>
    <row r="13" spans="1:9" s="275" customFormat="1" ht="12.75" customHeight="1" x14ac:dyDescent="0.25">
      <c r="A13" s="286" t="s">
        <v>564</v>
      </c>
      <c r="B13" s="287">
        <v>46065</v>
      </c>
      <c r="C13" s="288" t="s">
        <v>565</v>
      </c>
      <c r="D13" s="290"/>
      <c r="E13" s="290">
        <f t="shared" si="0"/>
        <v>68920</v>
      </c>
      <c r="F13" s="294">
        <v>3101.4</v>
      </c>
      <c r="G13" s="291">
        <f t="shared" si="1"/>
        <v>51345.4</v>
      </c>
      <c r="H13" s="291">
        <f t="shared" si="2"/>
        <v>17574.599999999999</v>
      </c>
      <c r="I13" s="292"/>
    </row>
    <row r="14" spans="1:9" s="275" customFormat="1" ht="12.75" customHeight="1" x14ac:dyDescent="0.25">
      <c r="A14" s="286" t="s">
        <v>661</v>
      </c>
      <c r="B14" s="287">
        <v>46091</v>
      </c>
      <c r="C14" s="288" t="s">
        <v>662</v>
      </c>
      <c r="D14" s="290"/>
      <c r="E14" s="290">
        <f t="shared" si="0"/>
        <v>68920</v>
      </c>
      <c r="F14" s="294">
        <v>3101.4</v>
      </c>
      <c r="G14" s="291">
        <f t="shared" si="1"/>
        <v>54446.8</v>
      </c>
      <c r="H14" s="291">
        <f t="shared" si="2"/>
        <v>14473.199999999999</v>
      </c>
      <c r="I14" s="292"/>
    </row>
    <row r="15" spans="1:9" s="275" customFormat="1" ht="12.75" customHeight="1" x14ac:dyDescent="0.25">
      <c r="A15" s="286"/>
      <c r="B15" s="287"/>
      <c r="C15" s="288"/>
      <c r="D15" s="290"/>
      <c r="E15" s="290">
        <f t="shared" si="0"/>
        <v>68920</v>
      </c>
      <c r="F15" s="295"/>
      <c r="G15" s="291">
        <f t="shared" si="1"/>
        <v>54446.8</v>
      </c>
      <c r="H15" s="291">
        <f t="shared" si="2"/>
        <v>14473.199999999999</v>
      </c>
      <c r="I15" s="292"/>
    </row>
    <row r="16" spans="1:9" s="275" customFormat="1" ht="12.75" customHeight="1" x14ac:dyDescent="0.25">
      <c r="A16" s="286"/>
      <c r="B16" s="287"/>
      <c r="C16" s="288"/>
      <c r="D16" s="290"/>
      <c r="E16" s="290">
        <f t="shared" si="0"/>
        <v>68920</v>
      </c>
      <c r="F16" s="295"/>
      <c r="G16" s="291">
        <f t="shared" si="1"/>
        <v>54446.8</v>
      </c>
      <c r="H16" s="291">
        <f t="shared" si="2"/>
        <v>14473.199999999999</v>
      </c>
      <c r="I16" s="292"/>
    </row>
    <row r="17" spans="1:9" s="275" customFormat="1" ht="12.75" customHeight="1" x14ac:dyDescent="0.25">
      <c r="A17" s="286"/>
      <c r="B17" s="287"/>
      <c r="C17" s="288"/>
      <c r="D17" s="290"/>
      <c r="E17" s="290">
        <f t="shared" si="0"/>
        <v>68920</v>
      </c>
      <c r="F17" s="295"/>
      <c r="G17" s="291">
        <f t="shared" si="1"/>
        <v>54446.8</v>
      </c>
      <c r="H17" s="291">
        <f t="shared" si="2"/>
        <v>14473.199999999999</v>
      </c>
      <c r="I17" s="292"/>
    </row>
    <row r="18" spans="1:9" s="275" customFormat="1" ht="12.75" customHeight="1" x14ac:dyDescent="0.25">
      <c r="A18" s="286"/>
      <c r="B18" s="287"/>
      <c r="C18" s="288"/>
      <c r="D18" s="290"/>
      <c r="E18" s="290">
        <f t="shared" si="0"/>
        <v>68920</v>
      </c>
      <c r="F18" s="295"/>
      <c r="G18" s="291">
        <f t="shared" si="1"/>
        <v>54446.8</v>
      </c>
      <c r="H18" s="291">
        <f t="shared" si="2"/>
        <v>14473.199999999999</v>
      </c>
      <c r="I18" s="292"/>
    </row>
    <row r="19" spans="1:9" s="275" customFormat="1" ht="12.75" customHeight="1" x14ac:dyDescent="0.25">
      <c r="A19" s="286"/>
      <c r="B19" s="287"/>
      <c r="C19" s="288"/>
      <c r="D19" s="290"/>
      <c r="E19" s="290">
        <f t="shared" si="0"/>
        <v>68920</v>
      </c>
      <c r="F19" s="291"/>
      <c r="G19" s="291">
        <f t="shared" si="1"/>
        <v>54446.8</v>
      </c>
      <c r="H19" s="291">
        <f t="shared" si="2"/>
        <v>14473.199999999999</v>
      </c>
      <c r="I19" s="292"/>
    </row>
    <row r="20" spans="1:9" s="275" customFormat="1" ht="12.75" customHeight="1" x14ac:dyDescent="0.25">
      <c r="A20" s="286"/>
      <c r="B20" s="287"/>
      <c r="C20" s="288"/>
      <c r="D20" s="290"/>
      <c r="E20" s="290">
        <f t="shared" si="0"/>
        <v>68920</v>
      </c>
      <c r="F20" s="291"/>
      <c r="G20" s="291">
        <f t="shared" si="1"/>
        <v>54446.8</v>
      </c>
      <c r="H20" s="291">
        <f t="shared" si="2"/>
        <v>14473.199999999999</v>
      </c>
      <c r="I20" s="292"/>
    </row>
    <row r="21" spans="1:9" s="275" customFormat="1" ht="12.75" customHeight="1" x14ac:dyDescent="0.25">
      <c r="A21" s="286"/>
      <c r="B21" s="287"/>
      <c r="C21" s="296"/>
      <c r="D21" s="290"/>
      <c r="E21" s="290">
        <f t="shared" si="0"/>
        <v>68920</v>
      </c>
      <c r="F21" s="291"/>
      <c r="G21" s="291">
        <f t="shared" si="1"/>
        <v>54446.8</v>
      </c>
      <c r="H21" s="291">
        <f t="shared" si="2"/>
        <v>14473.199999999999</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68920</v>
      </c>
      <c r="E23" s="302"/>
      <c r="F23" s="302">
        <f>SUM(F9:F22)</f>
        <v>54446.8</v>
      </c>
      <c r="G23" s="302"/>
      <c r="H23" s="302">
        <f>D23-F23</f>
        <v>14473.199999999997</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297" t="s">
        <v>122</v>
      </c>
      <c r="D26" s="291">
        <v>17435</v>
      </c>
      <c r="E26" s="291"/>
      <c r="F26" s="291">
        <f>17435</f>
        <v>17435</v>
      </c>
      <c r="G26" s="291"/>
      <c r="H26" s="291">
        <f>D26-F26</f>
        <v>0</v>
      </c>
      <c r="I26" s="292"/>
    </row>
    <row r="27" spans="1:9" s="275" customFormat="1" ht="12.75" customHeight="1" x14ac:dyDescent="0.25">
      <c r="A27" s="286"/>
      <c r="B27" s="288"/>
      <c r="C27" s="297" t="s">
        <v>123</v>
      </c>
      <c r="D27" s="291">
        <v>28010</v>
      </c>
      <c r="E27" s="291"/>
      <c r="F27" s="291">
        <f>8065.4+19297.6+647</f>
        <v>28010</v>
      </c>
      <c r="G27" s="291"/>
      <c r="H27" s="291">
        <f t="shared" ref="H27:H29" si="3">D27-F27</f>
        <v>0</v>
      </c>
      <c r="I27" s="292"/>
    </row>
    <row r="28" spans="1:9" s="275" customFormat="1" ht="12.75" customHeight="1" x14ac:dyDescent="0.25">
      <c r="A28" s="286"/>
      <c r="B28" s="288"/>
      <c r="C28" s="312" t="s">
        <v>124</v>
      </c>
      <c r="D28" s="291">
        <v>3220</v>
      </c>
      <c r="E28" s="313"/>
      <c r="F28" s="313">
        <f>2799+421</f>
        <v>3220</v>
      </c>
      <c r="G28" s="313"/>
      <c r="H28" s="291">
        <f t="shared" si="3"/>
        <v>0</v>
      </c>
      <c r="I28" s="292"/>
    </row>
    <row r="29" spans="1:9" s="275" customFormat="1" ht="12.75" customHeight="1" x14ac:dyDescent="0.25">
      <c r="A29" s="286"/>
      <c r="B29" s="288"/>
      <c r="C29" s="312" t="s">
        <v>125</v>
      </c>
      <c r="D29" s="291">
        <v>20255</v>
      </c>
      <c r="E29" s="313"/>
      <c r="F29" s="313">
        <f>2680.4+3101.4</f>
        <v>5781.8</v>
      </c>
      <c r="G29" s="313"/>
      <c r="H29" s="291">
        <f t="shared" si="3"/>
        <v>14473.2</v>
      </c>
      <c r="I29" s="292"/>
    </row>
    <row r="30" spans="1:9" s="275" customFormat="1" ht="12.75" customHeight="1" thickBot="1" x14ac:dyDescent="0.3">
      <c r="A30" s="286"/>
      <c r="B30" s="288"/>
      <c r="C30" s="314" t="s">
        <v>67</v>
      </c>
      <c r="D30" s="315">
        <f>SUM(D26:D29)</f>
        <v>68920</v>
      </c>
      <c r="E30" s="316"/>
      <c r="F30" s="315">
        <f>SUM(F26:F29)</f>
        <v>54446.8</v>
      </c>
      <c r="G30" s="316"/>
      <c r="H30" s="315">
        <f>SUM(H26:H29)</f>
        <v>14473.2</v>
      </c>
      <c r="I30" s="292"/>
    </row>
    <row r="31" spans="1:9" s="275" customFormat="1" ht="12.75" customHeight="1" thickTop="1" x14ac:dyDescent="0.25"/>
  </sheetData>
  <conditionalFormatting sqref="I8:I23">
    <cfRule type="cellIs" dxfId="50"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DF936-8906-4D9C-A5E8-A9B208A19415}">
  <sheetPr>
    <pageSetUpPr fitToPage="1"/>
  </sheetPr>
  <dimension ref="A1:I31"/>
  <sheetViews>
    <sheetView zoomScaleNormal="100" workbookViewId="0">
      <selection activeCell="B27" sqref="B2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9" max="9"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33"/>
      <c r="G1" s="33"/>
      <c r="H1" s="34"/>
      <c r="I1" s="34"/>
    </row>
    <row r="2" spans="1:9" ht="15.75" x14ac:dyDescent="0.25">
      <c r="A2" s="6" t="str">
        <f>'RECAP #9484.00'!B2</f>
        <v>Project # 9484.00</v>
      </c>
      <c r="B2" s="5"/>
      <c r="C2" s="4"/>
      <c r="D2" s="4"/>
      <c r="E2" s="4"/>
      <c r="F2" s="33"/>
      <c r="G2" s="33"/>
      <c r="H2" s="34"/>
      <c r="I2" s="34"/>
    </row>
    <row r="3" spans="1:9" ht="15.75" x14ac:dyDescent="0.25">
      <c r="A3" s="7" t="str">
        <f>'RECAP #9484.00'!B3</f>
        <v>Program code 948400</v>
      </c>
      <c r="B3" s="5"/>
      <c r="C3" s="4"/>
      <c r="D3" s="8" t="str">
        <f>'RECAP #9484.00'!E3</f>
        <v>Major Program 4D03</v>
      </c>
      <c r="E3" s="4"/>
      <c r="F3" s="33"/>
      <c r="G3" s="33"/>
      <c r="H3" s="34"/>
      <c r="I3" s="34"/>
    </row>
    <row r="4" spans="1:9" ht="15.75" x14ac:dyDescent="0.25">
      <c r="A4" s="35" t="s">
        <v>393</v>
      </c>
      <c r="B4" s="36"/>
      <c r="C4" s="37"/>
      <c r="D4" s="38" t="s">
        <v>394</v>
      </c>
      <c r="E4" s="39"/>
      <c r="F4" s="33"/>
      <c r="G4" s="33"/>
      <c r="H4" s="34"/>
      <c r="I4" s="34"/>
    </row>
    <row r="5" spans="1:9" ht="15.75" x14ac:dyDescent="0.25">
      <c r="A5" s="40" t="s">
        <v>106</v>
      </c>
      <c r="B5" s="41"/>
      <c r="C5" s="42"/>
      <c r="D5" s="43" t="s">
        <v>119</v>
      </c>
      <c r="E5" s="44"/>
      <c r="F5" s="45"/>
      <c r="G5" s="46"/>
      <c r="H5" s="41"/>
      <c r="I5" s="34"/>
    </row>
    <row r="6" spans="1:9" ht="15.75" x14ac:dyDescent="0.25">
      <c r="A6" s="13" t="str">
        <f>'RECAP #9484.00'!B6</f>
        <v>Project Manager - Brad T.</v>
      </c>
      <c r="B6" s="11"/>
      <c r="C6" s="47"/>
      <c r="D6" s="48" t="s">
        <v>395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235" t="s">
        <v>540</v>
      </c>
    </row>
    <row r="9" spans="1:9" s="275" customFormat="1" ht="12.75" customHeight="1" x14ac:dyDescent="0.25">
      <c r="A9" s="286" t="s">
        <v>396</v>
      </c>
      <c r="B9" s="287">
        <v>46020</v>
      </c>
      <c r="C9" s="288" t="s">
        <v>111</v>
      </c>
      <c r="D9" s="289">
        <v>82600</v>
      </c>
      <c r="E9" s="290">
        <f>D9</f>
        <v>82600</v>
      </c>
      <c r="F9" s="291"/>
      <c r="G9" s="291"/>
      <c r="H9" s="291">
        <f>E9</f>
        <v>82600</v>
      </c>
      <c r="I9" s="292"/>
    </row>
    <row r="10" spans="1:9" s="275" customFormat="1" ht="12.75" customHeight="1" x14ac:dyDescent="0.25">
      <c r="A10" s="286" t="s">
        <v>539</v>
      </c>
      <c r="B10" s="293">
        <v>46056</v>
      </c>
      <c r="C10" s="288" t="s">
        <v>541</v>
      </c>
      <c r="D10" s="290"/>
      <c r="E10" s="290">
        <f t="shared" ref="E10:E21" si="0">E9+D10</f>
        <v>82600</v>
      </c>
      <c r="F10" s="294">
        <v>3880</v>
      </c>
      <c r="G10" s="291">
        <f t="shared" ref="G10:G21" si="1">G9+F10</f>
        <v>3880</v>
      </c>
      <c r="H10" s="291">
        <f t="shared" ref="H10:H21" si="2">H9-F10+D10</f>
        <v>78720</v>
      </c>
      <c r="I10" s="375">
        <v>120</v>
      </c>
    </row>
    <row r="11" spans="1:9" s="275" customFormat="1" ht="12.75" customHeight="1" x14ac:dyDescent="0.25">
      <c r="A11" s="286" t="s">
        <v>732</v>
      </c>
      <c r="B11" s="287">
        <v>46105</v>
      </c>
      <c r="C11" s="288" t="s">
        <v>733</v>
      </c>
      <c r="D11" s="290"/>
      <c r="E11" s="290">
        <f t="shared" si="0"/>
        <v>82600</v>
      </c>
      <c r="F11" s="294">
        <v>485</v>
      </c>
      <c r="G11" s="291">
        <f t="shared" si="1"/>
        <v>4365</v>
      </c>
      <c r="H11" s="291">
        <f t="shared" si="2"/>
        <v>78235</v>
      </c>
      <c r="I11" s="375">
        <f>I10+15</f>
        <v>135</v>
      </c>
    </row>
    <row r="12" spans="1:9" s="275" customFormat="1" ht="12.75" customHeight="1" x14ac:dyDescent="0.25">
      <c r="A12" s="286" t="s">
        <v>737</v>
      </c>
      <c r="B12" s="287">
        <v>46107</v>
      </c>
      <c r="C12" s="288" t="s">
        <v>738</v>
      </c>
      <c r="D12" s="290"/>
      <c r="E12" s="290">
        <f t="shared" si="0"/>
        <v>82600</v>
      </c>
      <c r="F12" s="294">
        <v>970</v>
      </c>
      <c r="G12" s="291">
        <f t="shared" si="1"/>
        <v>5335</v>
      </c>
      <c r="H12" s="291">
        <f t="shared" si="2"/>
        <v>77265</v>
      </c>
      <c r="I12" s="375">
        <f>I11+30</f>
        <v>165</v>
      </c>
    </row>
    <row r="13" spans="1:9" s="275" customFormat="1" ht="12.75" customHeight="1" x14ac:dyDescent="0.25">
      <c r="A13" s="286"/>
      <c r="B13" s="287"/>
      <c r="C13" s="288"/>
      <c r="D13" s="290"/>
      <c r="E13" s="290">
        <f t="shared" si="0"/>
        <v>82600</v>
      </c>
      <c r="F13" s="295"/>
      <c r="G13" s="291">
        <f t="shared" si="1"/>
        <v>5335</v>
      </c>
      <c r="H13" s="291">
        <f t="shared" si="2"/>
        <v>77265</v>
      </c>
      <c r="I13" s="292"/>
    </row>
    <row r="14" spans="1:9" s="275" customFormat="1" ht="12.75" customHeight="1" x14ac:dyDescent="0.25">
      <c r="A14" s="286"/>
      <c r="B14" s="287"/>
      <c r="C14" s="288"/>
      <c r="D14" s="290"/>
      <c r="E14" s="290">
        <f t="shared" si="0"/>
        <v>82600</v>
      </c>
      <c r="F14" s="291"/>
      <c r="G14" s="291">
        <f t="shared" si="1"/>
        <v>5335</v>
      </c>
      <c r="H14" s="291">
        <f t="shared" si="2"/>
        <v>77265</v>
      </c>
      <c r="I14" s="292"/>
    </row>
    <row r="15" spans="1:9" s="275" customFormat="1" ht="12.75" customHeight="1" x14ac:dyDescent="0.25">
      <c r="A15" s="286"/>
      <c r="B15" s="287"/>
      <c r="C15" s="288"/>
      <c r="D15" s="290"/>
      <c r="E15" s="290">
        <f t="shared" si="0"/>
        <v>82600</v>
      </c>
      <c r="F15" s="295"/>
      <c r="G15" s="291">
        <f t="shared" si="1"/>
        <v>5335</v>
      </c>
      <c r="H15" s="291">
        <f t="shared" si="2"/>
        <v>77265</v>
      </c>
      <c r="I15" s="292"/>
    </row>
    <row r="16" spans="1:9" s="275" customFormat="1" ht="12.75" customHeight="1" x14ac:dyDescent="0.25">
      <c r="A16" s="286"/>
      <c r="B16" s="287"/>
      <c r="C16" s="288"/>
      <c r="D16" s="290"/>
      <c r="E16" s="290">
        <f t="shared" si="0"/>
        <v>82600</v>
      </c>
      <c r="F16" s="295"/>
      <c r="G16" s="291">
        <f t="shared" si="1"/>
        <v>5335</v>
      </c>
      <c r="H16" s="291">
        <f t="shared" si="2"/>
        <v>77265</v>
      </c>
      <c r="I16" s="292"/>
    </row>
    <row r="17" spans="1:9" s="275" customFormat="1" ht="12.75" customHeight="1" x14ac:dyDescent="0.25">
      <c r="A17" s="286"/>
      <c r="B17" s="287"/>
      <c r="C17" s="288"/>
      <c r="D17" s="290"/>
      <c r="E17" s="290">
        <f t="shared" si="0"/>
        <v>82600</v>
      </c>
      <c r="F17" s="295"/>
      <c r="G17" s="291">
        <f t="shared" si="1"/>
        <v>5335</v>
      </c>
      <c r="H17" s="291">
        <f t="shared" si="2"/>
        <v>77265</v>
      </c>
      <c r="I17" s="292"/>
    </row>
    <row r="18" spans="1:9" s="275" customFormat="1" ht="12.75" customHeight="1" x14ac:dyDescent="0.25">
      <c r="A18" s="286"/>
      <c r="B18" s="287"/>
      <c r="C18" s="288"/>
      <c r="D18" s="290"/>
      <c r="E18" s="290">
        <f t="shared" si="0"/>
        <v>82600</v>
      </c>
      <c r="F18" s="295"/>
      <c r="G18" s="291">
        <f t="shared" si="1"/>
        <v>5335</v>
      </c>
      <c r="H18" s="291">
        <f t="shared" si="2"/>
        <v>77265</v>
      </c>
      <c r="I18" s="292"/>
    </row>
    <row r="19" spans="1:9" s="275" customFormat="1" ht="12.75" customHeight="1" x14ac:dyDescent="0.25">
      <c r="A19" s="286"/>
      <c r="B19" s="287"/>
      <c r="C19" s="288"/>
      <c r="D19" s="290"/>
      <c r="E19" s="290">
        <f t="shared" si="0"/>
        <v>82600</v>
      </c>
      <c r="F19" s="291"/>
      <c r="G19" s="291">
        <f t="shared" si="1"/>
        <v>5335</v>
      </c>
      <c r="H19" s="291">
        <f t="shared" si="2"/>
        <v>77265</v>
      </c>
      <c r="I19" s="292"/>
    </row>
    <row r="20" spans="1:9" s="275" customFormat="1" ht="12.75" customHeight="1" x14ac:dyDescent="0.25">
      <c r="A20" s="286"/>
      <c r="B20" s="287"/>
      <c r="C20" s="288"/>
      <c r="D20" s="290"/>
      <c r="E20" s="290">
        <f t="shared" si="0"/>
        <v>82600</v>
      </c>
      <c r="F20" s="291"/>
      <c r="G20" s="291">
        <f t="shared" si="1"/>
        <v>5335</v>
      </c>
      <c r="H20" s="291">
        <f t="shared" si="2"/>
        <v>77265</v>
      </c>
      <c r="I20" s="292"/>
    </row>
    <row r="21" spans="1:9" s="275" customFormat="1" ht="12.75" customHeight="1" x14ac:dyDescent="0.25">
      <c r="A21" s="286"/>
      <c r="B21" s="287"/>
      <c r="C21" s="296"/>
      <c r="D21" s="290"/>
      <c r="E21" s="290">
        <f t="shared" si="0"/>
        <v>82600</v>
      </c>
      <c r="F21" s="291"/>
      <c r="G21" s="291">
        <f t="shared" si="1"/>
        <v>5335</v>
      </c>
      <c r="H21" s="291">
        <f t="shared" si="2"/>
        <v>77265</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82600</v>
      </c>
      <c r="E23" s="302"/>
      <c r="F23" s="302">
        <f>SUM(F9:F22)</f>
        <v>5335</v>
      </c>
      <c r="G23" s="302"/>
      <c r="H23" s="302">
        <f>D23-F23</f>
        <v>77265</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42"/>
      <c r="D26" s="343"/>
      <c r="E26" s="343"/>
      <c r="F26" s="343"/>
      <c r="G26" s="343"/>
      <c r="H26" s="343"/>
      <c r="I26" s="292"/>
    </row>
    <row r="27" spans="1:9" s="275" customFormat="1" ht="12.75" customHeight="1" x14ac:dyDescent="0.25">
      <c r="A27" s="352" t="s">
        <v>739</v>
      </c>
      <c r="B27" s="288"/>
      <c r="C27" s="342"/>
      <c r="D27" s="343"/>
      <c r="E27" s="343"/>
      <c r="F27" s="343"/>
      <c r="G27" s="343"/>
      <c r="H27" s="343"/>
      <c r="I27" s="292"/>
    </row>
    <row r="28" spans="1:9" s="275" customFormat="1" ht="12.75" customHeight="1" x14ac:dyDescent="0.25">
      <c r="A28" s="286"/>
      <c r="B28" s="288"/>
      <c r="C28" s="344"/>
      <c r="D28" s="343"/>
      <c r="E28" s="345"/>
      <c r="F28" s="345"/>
      <c r="G28" s="345"/>
      <c r="H28" s="343"/>
      <c r="I28" s="292"/>
    </row>
    <row r="29" spans="1:9" s="275" customFormat="1" ht="12.75" customHeight="1" x14ac:dyDescent="0.25">
      <c r="A29" s="286"/>
      <c r="B29" s="288"/>
      <c r="C29" s="344"/>
      <c r="D29" s="343"/>
      <c r="E29" s="345"/>
      <c r="F29" s="345"/>
      <c r="G29" s="345"/>
      <c r="H29" s="343"/>
      <c r="I29" s="292"/>
    </row>
    <row r="30" spans="1:9" s="275" customFormat="1" ht="12.75" customHeight="1" x14ac:dyDescent="0.25">
      <c r="A30" s="286"/>
      <c r="B30" s="288"/>
      <c r="C30" s="346"/>
      <c r="D30" s="347"/>
      <c r="E30" s="347"/>
      <c r="F30" s="347"/>
      <c r="G30" s="347"/>
      <c r="H30" s="347"/>
      <c r="I30" s="292"/>
    </row>
    <row r="31" spans="1:9" s="275" customFormat="1" ht="12.75" customHeight="1" x14ac:dyDescent="0.25">
      <c r="C31" s="348"/>
      <c r="D31" s="348"/>
      <c r="E31" s="348"/>
      <c r="F31" s="348"/>
      <c r="G31" s="348"/>
      <c r="H31" s="348"/>
    </row>
  </sheetData>
  <conditionalFormatting sqref="I9:I23">
    <cfRule type="cellIs" dxfId="49"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71A62-8CCC-4456-A2A4-AEB2B6293914}">
  <sheetPr>
    <pageSetUpPr fitToPage="1"/>
  </sheetPr>
  <dimension ref="A1:I31"/>
  <sheetViews>
    <sheetView zoomScaleNormal="100" workbookViewId="0">
      <selection activeCell="E31" sqref="E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33"/>
      <c r="G1" s="33"/>
      <c r="H1" s="34"/>
      <c r="I1" s="34"/>
    </row>
    <row r="2" spans="1:9" ht="15.75" x14ac:dyDescent="0.25">
      <c r="A2" s="6" t="str">
        <f>'RECAP #9484.00'!B2</f>
        <v>Project # 9484.00</v>
      </c>
      <c r="B2" s="5"/>
      <c r="C2" s="4"/>
      <c r="D2" s="4"/>
      <c r="E2" s="4"/>
      <c r="F2" s="33"/>
      <c r="G2" s="33"/>
      <c r="H2" s="34"/>
      <c r="I2" s="34"/>
    </row>
    <row r="3" spans="1:9" ht="15.75" x14ac:dyDescent="0.25">
      <c r="A3" s="7" t="str">
        <f>'RECAP #9484.00'!B3</f>
        <v>Program code 948400</v>
      </c>
      <c r="B3" s="5"/>
      <c r="C3" s="4"/>
      <c r="D3" s="8" t="str">
        <f>'RECAP #9484.00'!E3</f>
        <v>Major Program 4D03</v>
      </c>
      <c r="E3" s="4"/>
      <c r="F3" s="33"/>
      <c r="G3" s="33"/>
      <c r="H3" s="34"/>
      <c r="I3" s="34"/>
    </row>
    <row r="4" spans="1:9" ht="15.75" x14ac:dyDescent="0.25">
      <c r="A4" s="35" t="s">
        <v>422</v>
      </c>
      <c r="B4" s="36"/>
      <c r="C4" s="37"/>
      <c r="D4" s="38" t="s">
        <v>423</v>
      </c>
      <c r="E4" s="39"/>
      <c r="F4" s="33"/>
      <c r="G4" s="33"/>
      <c r="H4" s="34"/>
      <c r="I4" s="34"/>
    </row>
    <row r="5" spans="1:9" ht="15.75" x14ac:dyDescent="0.25">
      <c r="A5" s="40" t="s">
        <v>106</v>
      </c>
      <c r="B5" s="41"/>
      <c r="C5" s="42"/>
      <c r="D5" s="43" t="s">
        <v>424</v>
      </c>
      <c r="E5" s="44"/>
      <c r="F5" s="45"/>
      <c r="G5" s="46"/>
      <c r="H5" s="41"/>
      <c r="I5" s="34"/>
    </row>
    <row r="6" spans="1:9" ht="15.75" x14ac:dyDescent="0.25">
      <c r="A6" s="13" t="str">
        <f>'RECAP #9484.00'!B6</f>
        <v>Project Manager - Brad T.</v>
      </c>
      <c r="B6" s="11"/>
      <c r="C6" s="47"/>
      <c r="D6" s="48" t="s">
        <v>395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425</v>
      </c>
      <c r="B9" s="287">
        <v>46031</v>
      </c>
      <c r="C9" s="288" t="s">
        <v>111</v>
      </c>
      <c r="D9" s="289">
        <v>123444</v>
      </c>
      <c r="E9" s="290">
        <f>D9</f>
        <v>123444</v>
      </c>
      <c r="F9" s="291"/>
      <c r="G9" s="291"/>
      <c r="H9" s="291">
        <f>E9</f>
        <v>123444</v>
      </c>
      <c r="I9" s="292"/>
    </row>
    <row r="10" spans="1:9" s="275" customFormat="1" ht="12.75" customHeight="1" x14ac:dyDescent="0.25">
      <c r="A10" s="286"/>
      <c r="B10" s="293"/>
      <c r="C10" s="288"/>
      <c r="D10" s="290"/>
      <c r="E10" s="290">
        <f t="shared" ref="E10:E21" si="0">E9+D10</f>
        <v>123444</v>
      </c>
      <c r="F10" s="294"/>
      <c r="G10" s="291">
        <f t="shared" ref="G10:G21" si="1">G9+F10</f>
        <v>0</v>
      </c>
      <c r="H10" s="291">
        <f t="shared" ref="H10:H21" si="2">H9-F10+D10</f>
        <v>123444</v>
      </c>
      <c r="I10" s="292"/>
    </row>
    <row r="11" spans="1:9" s="275" customFormat="1" ht="12.75" customHeight="1" x14ac:dyDescent="0.25">
      <c r="A11" s="286"/>
      <c r="B11" s="287"/>
      <c r="C11" s="288"/>
      <c r="D11" s="290"/>
      <c r="E11" s="290">
        <f t="shared" si="0"/>
        <v>123444</v>
      </c>
      <c r="F11" s="295"/>
      <c r="G11" s="291">
        <f t="shared" si="1"/>
        <v>0</v>
      </c>
      <c r="H11" s="291">
        <f t="shared" si="2"/>
        <v>123444</v>
      </c>
      <c r="I11" s="292"/>
    </row>
    <row r="12" spans="1:9" s="275" customFormat="1" ht="12.75" customHeight="1" x14ac:dyDescent="0.25">
      <c r="A12" s="286"/>
      <c r="B12" s="287"/>
      <c r="C12" s="288"/>
      <c r="D12" s="290"/>
      <c r="E12" s="290">
        <f t="shared" si="0"/>
        <v>123444</v>
      </c>
      <c r="F12" s="295"/>
      <c r="G12" s="291">
        <f t="shared" si="1"/>
        <v>0</v>
      </c>
      <c r="H12" s="291">
        <f t="shared" si="2"/>
        <v>123444</v>
      </c>
      <c r="I12" s="292"/>
    </row>
    <row r="13" spans="1:9" s="275" customFormat="1" ht="12.75" customHeight="1" x14ac:dyDescent="0.25">
      <c r="A13" s="286"/>
      <c r="B13" s="287"/>
      <c r="C13" s="288"/>
      <c r="D13" s="290"/>
      <c r="E13" s="290">
        <f t="shared" si="0"/>
        <v>123444</v>
      </c>
      <c r="F13" s="295"/>
      <c r="G13" s="291">
        <f t="shared" si="1"/>
        <v>0</v>
      </c>
      <c r="H13" s="291">
        <f t="shared" si="2"/>
        <v>123444</v>
      </c>
      <c r="I13" s="292"/>
    </row>
    <row r="14" spans="1:9" s="275" customFormat="1" ht="12.75" customHeight="1" x14ac:dyDescent="0.25">
      <c r="A14" s="286"/>
      <c r="B14" s="287"/>
      <c r="C14" s="288"/>
      <c r="D14" s="290"/>
      <c r="E14" s="290">
        <f t="shared" si="0"/>
        <v>123444</v>
      </c>
      <c r="F14" s="291"/>
      <c r="G14" s="291">
        <f t="shared" si="1"/>
        <v>0</v>
      </c>
      <c r="H14" s="291">
        <f t="shared" si="2"/>
        <v>123444</v>
      </c>
      <c r="I14" s="292"/>
    </row>
    <row r="15" spans="1:9" s="275" customFormat="1" ht="12.75" customHeight="1" x14ac:dyDescent="0.25">
      <c r="A15" s="286"/>
      <c r="B15" s="287"/>
      <c r="C15" s="288"/>
      <c r="D15" s="290"/>
      <c r="E15" s="290">
        <f t="shared" si="0"/>
        <v>123444</v>
      </c>
      <c r="F15" s="295"/>
      <c r="G15" s="291">
        <f t="shared" si="1"/>
        <v>0</v>
      </c>
      <c r="H15" s="291">
        <f t="shared" si="2"/>
        <v>123444</v>
      </c>
      <c r="I15" s="292"/>
    </row>
    <row r="16" spans="1:9" s="275" customFormat="1" ht="12.75" customHeight="1" x14ac:dyDescent="0.25">
      <c r="A16" s="286"/>
      <c r="B16" s="287"/>
      <c r="C16" s="288"/>
      <c r="D16" s="290"/>
      <c r="E16" s="290">
        <f t="shared" si="0"/>
        <v>123444</v>
      </c>
      <c r="F16" s="295"/>
      <c r="G16" s="291">
        <f t="shared" si="1"/>
        <v>0</v>
      </c>
      <c r="H16" s="291">
        <f t="shared" si="2"/>
        <v>123444</v>
      </c>
      <c r="I16" s="292"/>
    </row>
    <row r="17" spans="1:9" s="275" customFormat="1" ht="12.75" customHeight="1" x14ac:dyDescent="0.25">
      <c r="A17" s="286"/>
      <c r="B17" s="287"/>
      <c r="C17" s="288"/>
      <c r="D17" s="290"/>
      <c r="E17" s="290">
        <f t="shared" si="0"/>
        <v>123444</v>
      </c>
      <c r="F17" s="295"/>
      <c r="G17" s="291">
        <f t="shared" si="1"/>
        <v>0</v>
      </c>
      <c r="H17" s="291">
        <f t="shared" si="2"/>
        <v>123444</v>
      </c>
      <c r="I17" s="292"/>
    </row>
    <row r="18" spans="1:9" s="275" customFormat="1" ht="12.75" customHeight="1" x14ac:dyDescent="0.25">
      <c r="A18" s="286"/>
      <c r="B18" s="287"/>
      <c r="C18" s="288"/>
      <c r="D18" s="290"/>
      <c r="E18" s="290">
        <f t="shared" si="0"/>
        <v>123444</v>
      </c>
      <c r="F18" s="295"/>
      <c r="G18" s="291">
        <f t="shared" si="1"/>
        <v>0</v>
      </c>
      <c r="H18" s="291">
        <f t="shared" si="2"/>
        <v>123444</v>
      </c>
      <c r="I18" s="292"/>
    </row>
    <row r="19" spans="1:9" s="275" customFormat="1" ht="12.75" customHeight="1" x14ac:dyDescent="0.25">
      <c r="A19" s="286"/>
      <c r="B19" s="287"/>
      <c r="C19" s="288"/>
      <c r="D19" s="290"/>
      <c r="E19" s="290">
        <f t="shared" si="0"/>
        <v>123444</v>
      </c>
      <c r="F19" s="291"/>
      <c r="G19" s="291">
        <f t="shared" si="1"/>
        <v>0</v>
      </c>
      <c r="H19" s="291">
        <f t="shared" si="2"/>
        <v>123444</v>
      </c>
      <c r="I19" s="292"/>
    </row>
    <row r="20" spans="1:9" s="275" customFormat="1" ht="12.75" customHeight="1" x14ac:dyDescent="0.25">
      <c r="A20" s="286"/>
      <c r="B20" s="287"/>
      <c r="C20" s="288"/>
      <c r="D20" s="290"/>
      <c r="E20" s="290">
        <f t="shared" si="0"/>
        <v>123444</v>
      </c>
      <c r="F20" s="291"/>
      <c r="G20" s="291">
        <f t="shared" si="1"/>
        <v>0</v>
      </c>
      <c r="H20" s="291">
        <f t="shared" si="2"/>
        <v>123444</v>
      </c>
      <c r="I20" s="292"/>
    </row>
    <row r="21" spans="1:9" s="275" customFormat="1" ht="12.75" customHeight="1" x14ac:dyDescent="0.25">
      <c r="A21" s="286"/>
      <c r="B21" s="287"/>
      <c r="C21" s="296"/>
      <c r="D21" s="290"/>
      <c r="E21" s="290">
        <f t="shared" si="0"/>
        <v>123444</v>
      </c>
      <c r="F21" s="291"/>
      <c r="G21" s="291">
        <f t="shared" si="1"/>
        <v>0</v>
      </c>
      <c r="H21" s="291">
        <f t="shared" si="2"/>
        <v>123444</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123444</v>
      </c>
      <c r="E23" s="302"/>
      <c r="F23" s="302">
        <f>SUM(F9:F22)</f>
        <v>0</v>
      </c>
      <c r="G23" s="302"/>
      <c r="H23" s="302">
        <f>D23-F23</f>
        <v>123444</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42"/>
      <c r="D26" s="343"/>
      <c r="E26" s="343"/>
      <c r="F26" s="343"/>
      <c r="G26" s="343"/>
      <c r="H26" s="343"/>
      <c r="I26" s="292"/>
    </row>
    <row r="27" spans="1:9" s="275" customFormat="1" ht="12.75" customHeight="1" x14ac:dyDescent="0.25">
      <c r="A27" s="286"/>
      <c r="B27" s="288"/>
      <c r="C27" s="342"/>
      <c r="D27" s="343"/>
      <c r="E27" s="343"/>
      <c r="F27" s="343"/>
      <c r="G27" s="343"/>
      <c r="H27" s="343"/>
      <c r="I27" s="292"/>
    </row>
    <row r="28" spans="1:9" s="275" customFormat="1" ht="12.75" customHeight="1" x14ac:dyDescent="0.25">
      <c r="A28" s="286"/>
      <c r="B28" s="288"/>
      <c r="C28" s="344"/>
      <c r="D28" s="343"/>
      <c r="E28" s="345"/>
      <c r="F28" s="345"/>
      <c r="G28" s="345"/>
      <c r="H28" s="343"/>
      <c r="I28" s="292"/>
    </row>
    <row r="29" spans="1:9" s="275" customFormat="1" ht="12.75" customHeight="1" x14ac:dyDescent="0.25">
      <c r="A29" s="286"/>
      <c r="B29" s="288"/>
      <c r="C29" s="344"/>
      <c r="D29" s="343"/>
      <c r="E29" s="345"/>
      <c r="F29" s="345"/>
      <c r="G29" s="345"/>
      <c r="H29" s="343"/>
      <c r="I29" s="292"/>
    </row>
    <row r="30" spans="1:9" s="275" customFormat="1" ht="12.75" customHeight="1" x14ac:dyDescent="0.25">
      <c r="A30" s="286"/>
      <c r="B30" s="288"/>
      <c r="C30" s="346"/>
      <c r="D30" s="347"/>
      <c r="E30" s="347"/>
      <c r="F30" s="347"/>
      <c r="G30" s="347"/>
      <c r="H30" s="347"/>
      <c r="I30" s="292"/>
    </row>
    <row r="31" spans="1:9" s="275" customFormat="1" ht="12.75" customHeight="1" x14ac:dyDescent="0.25">
      <c r="C31" s="348"/>
      <c r="D31" s="348"/>
      <c r="E31" s="348"/>
      <c r="F31" s="348"/>
      <c r="G31" s="348"/>
      <c r="H31" s="348"/>
    </row>
  </sheetData>
  <conditionalFormatting sqref="I8:I23">
    <cfRule type="cellIs" dxfId="48"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60FC-72CC-471D-918D-F1CCF482DFA9}">
  <sheetPr>
    <pageSetUpPr fitToPage="1"/>
  </sheetPr>
  <dimension ref="A1:I31"/>
  <sheetViews>
    <sheetView zoomScaleNormal="100" workbookViewId="0">
      <selection activeCell="D31" sqref="D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33"/>
      <c r="G1" s="33"/>
      <c r="H1" s="34"/>
      <c r="I1" s="34"/>
    </row>
    <row r="2" spans="1:9" ht="15.75" x14ac:dyDescent="0.25">
      <c r="A2" s="6" t="str">
        <f>'RECAP #9484.00'!B2</f>
        <v>Project # 9484.00</v>
      </c>
      <c r="B2" s="5"/>
      <c r="C2" s="4"/>
      <c r="D2" s="4"/>
      <c r="E2" s="4"/>
      <c r="F2" s="33"/>
      <c r="G2" s="33"/>
      <c r="H2" s="34"/>
      <c r="I2" s="34"/>
    </row>
    <row r="3" spans="1:9" ht="15.75" x14ac:dyDescent="0.25">
      <c r="A3" s="7" t="str">
        <f>'RECAP #9484.00'!B3</f>
        <v>Program code 948400</v>
      </c>
      <c r="B3" s="5"/>
      <c r="C3" s="4"/>
      <c r="D3" s="8" t="str">
        <f>'RECAP #9484.00'!E3</f>
        <v>Major Program 4D03</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108</v>
      </c>
      <c r="E5" s="44"/>
      <c r="F5" s="45"/>
      <c r="G5" s="46"/>
      <c r="H5" s="41"/>
      <c r="I5" s="34"/>
    </row>
    <row r="6" spans="1:9" ht="15.75" x14ac:dyDescent="0.25">
      <c r="A6" s="13" t="str">
        <f>'RECAP #9484.00'!B6</f>
        <v>Project Manager - Brad T.</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538</v>
      </c>
      <c r="B9" s="287">
        <v>46055</v>
      </c>
      <c r="C9" s="288" t="s">
        <v>111</v>
      </c>
      <c r="D9" s="289">
        <v>74210.77</v>
      </c>
      <c r="E9" s="290">
        <f>D9</f>
        <v>74210.77</v>
      </c>
      <c r="F9" s="291"/>
      <c r="G9" s="291"/>
      <c r="H9" s="291">
        <f>E9</f>
        <v>74210.77</v>
      </c>
      <c r="I9" s="292"/>
    </row>
    <row r="10" spans="1:9" s="275" customFormat="1" ht="12.75" customHeight="1" x14ac:dyDescent="0.25">
      <c r="A10" s="286" t="s">
        <v>730</v>
      </c>
      <c r="B10" s="293">
        <v>46105</v>
      </c>
      <c r="C10" s="288" t="s">
        <v>731</v>
      </c>
      <c r="D10" s="290"/>
      <c r="E10" s="290">
        <f t="shared" ref="E10:E21" si="0">E9+D10</f>
        <v>74210.77</v>
      </c>
      <c r="F10" s="294">
        <v>4451.88</v>
      </c>
      <c r="G10" s="291">
        <f t="shared" ref="G10:G21" si="1">G9+F10</f>
        <v>4451.88</v>
      </c>
      <c r="H10" s="291">
        <f t="shared" ref="H10:H21" si="2">H9-F10+D10</f>
        <v>69758.89</v>
      </c>
      <c r="I10" s="292"/>
    </row>
    <row r="11" spans="1:9" s="275" customFormat="1" ht="12.75" customHeight="1" x14ac:dyDescent="0.25">
      <c r="A11" s="286"/>
      <c r="B11" s="287"/>
      <c r="C11" s="288"/>
      <c r="D11" s="290"/>
      <c r="E11" s="290">
        <f t="shared" si="0"/>
        <v>74210.77</v>
      </c>
      <c r="F11" s="295"/>
      <c r="G11" s="291">
        <f t="shared" si="1"/>
        <v>4451.88</v>
      </c>
      <c r="H11" s="291">
        <f t="shared" si="2"/>
        <v>69758.89</v>
      </c>
      <c r="I11" s="292"/>
    </row>
    <row r="12" spans="1:9" s="275" customFormat="1" ht="12.75" customHeight="1" x14ac:dyDescent="0.25">
      <c r="A12" s="286"/>
      <c r="B12" s="287"/>
      <c r="C12" s="288"/>
      <c r="D12" s="290"/>
      <c r="E12" s="290">
        <f t="shared" si="0"/>
        <v>74210.77</v>
      </c>
      <c r="F12" s="295"/>
      <c r="G12" s="291">
        <f t="shared" si="1"/>
        <v>4451.88</v>
      </c>
      <c r="H12" s="291">
        <f t="shared" si="2"/>
        <v>69758.89</v>
      </c>
      <c r="I12" s="292"/>
    </row>
    <row r="13" spans="1:9" s="275" customFormat="1" ht="12.75" customHeight="1" x14ac:dyDescent="0.25">
      <c r="A13" s="286"/>
      <c r="B13" s="287"/>
      <c r="C13" s="288"/>
      <c r="D13" s="290"/>
      <c r="E13" s="290">
        <f t="shared" si="0"/>
        <v>74210.77</v>
      </c>
      <c r="F13" s="295"/>
      <c r="G13" s="291">
        <f t="shared" si="1"/>
        <v>4451.88</v>
      </c>
      <c r="H13" s="291">
        <f t="shared" si="2"/>
        <v>69758.89</v>
      </c>
      <c r="I13" s="292"/>
    </row>
    <row r="14" spans="1:9" s="275" customFormat="1" ht="12.75" customHeight="1" x14ac:dyDescent="0.25">
      <c r="A14" s="286"/>
      <c r="B14" s="287"/>
      <c r="C14" s="288"/>
      <c r="D14" s="290"/>
      <c r="E14" s="290">
        <f t="shared" si="0"/>
        <v>74210.77</v>
      </c>
      <c r="F14" s="291"/>
      <c r="G14" s="291">
        <f t="shared" si="1"/>
        <v>4451.88</v>
      </c>
      <c r="H14" s="291">
        <f t="shared" si="2"/>
        <v>69758.89</v>
      </c>
      <c r="I14" s="292"/>
    </row>
    <row r="15" spans="1:9" s="275" customFormat="1" ht="12.75" customHeight="1" x14ac:dyDescent="0.25">
      <c r="A15" s="286"/>
      <c r="B15" s="287"/>
      <c r="C15" s="288"/>
      <c r="D15" s="290"/>
      <c r="E15" s="290">
        <f t="shared" si="0"/>
        <v>74210.77</v>
      </c>
      <c r="F15" s="295"/>
      <c r="G15" s="291">
        <f t="shared" si="1"/>
        <v>4451.88</v>
      </c>
      <c r="H15" s="291">
        <f t="shared" si="2"/>
        <v>69758.89</v>
      </c>
      <c r="I15" s="292"/>
    </row>
    <row r="16" spans="1:9" s="275" customFormat="1" ht="12.75" customHeight="1" x14ac:dyDescent="0.25">
      <c r="A16" s="286"/>
      <c r="B16" s="287"/>
      <c r="C16" s="288"/>
      <c r="D16" s="290"/>
      <c r="E16" s="290">
        <f t="shared" si="0"/>
        <v>74210.77</v>
      </c>
      <c r="F16" s="295"/>
      <c r="G16" s="291">
        <f t="shared" si="1"/>
        <v>4451.88</v>
      </c>
      <c r="H16" s="291">
        <f t="shared" si="2"/>
        <v>69758.89</v>
      </c>
      <c r="I16" s="292"/>
    </row>
    <row r="17" spans="1:9" s="275" customFormat="1" ht="12.75" customHeight="1" x14ac:dyDescent="0.25">
      <c r="A17" s="286"/>
      <c r="B17" s="287"/>
      <c r="C17" s="288"/>
      <c r="D17" s="290"/>
      <c r="E17" s="290">
        <f t="shared" si="0"/>
        <v>74210.77</v>
      </c>
      <c r="F17" s="295"/>
      <c r="G17" s="291">
        <f t="shared" si="1"/>
        <v>4451.88</v>
      </c>
      <c r="H17" s="291">
        <f t="shared" si="2"/>
        <v>69758.89</v>
      </c>
      <c r="I17" s="292"/>
    </row>
    <row r="18" spans="1:9" s="275" customFormat="1" ht="12.75" customHeight="1" x14ac:dyDescent="0.25">
      <c r="A18" s="286"/>
      <c r="B18" s="287"/>
      <c r="C18" s="288"/>
      <c r="D18" s="290"/>
      <c r="E18" s="290">
        <f t="shared" si="0"/>
        <v>74210.77</v>
      </c>
      <c r="F18" s="295"/>
      <c r="G18" s="291">
        <f t="shared" si="1"/>
        <v>4451.88</v>
      </c>
      <c r="H18" s="291">
        <f t="shared" si="2"/>
        <v>69758.89</v>
      </c>
      <c r="I18" s="292"/>
    </row>
    <row r="19" spans="1:9" s="275" customFormat="1" ht="12.75" customHeight="1" x14ac:dyDescent="0.25">
      <c r="A19" s="286"/>
      <c r="B19" s="287"/>
      <c r="C19" s="288"/>
      <c r="D19" s="290"/>
      <c r="E19" s="290">
        <f t="shared" si="0"/>
        <v>74210.77</v>
      </c>
      <c r="F19" s="291"/>
      <c r="G19" s="291">
        <f t="shared" si="1"/>
        <v>4451.88</v>
      </c>
      <c r="H19" s="291">
        <f t="shared" si="2"/>
        <v>69758.89</v>
      </c>
      <c r="I19" s="292"/>
    </row>
    <row r="20" spans="1:9" s="275" customFormat="1" ht="12.75" customHeight="1" x14ac:dyDescent="0.25">
      <c r="A20" s="286"/>
      <c r="B20" s="287"/>
      <c r="C20" s="288"/>
      <c r="D20" s="290"/>
      <c r="E20" s="290">
        <f t="shared" si="0"/>
        <v>74210.77</v>
      </c>
      <c r="F20" s="291"/>
      <c r="G20" s="291">
        <f t="shared" si="1"/>
        <v>4451.88</v>
      </c>
      <c r="H20" s="291">
        <f t="shared" si="2"/>
        <v>69758.89</v>
      </c>
      <c r="I20" s="292"/>
    </row>
    <row r="21" spans="1:9" s="275" customFormat="1" ht="12.75" customHeight="1" x14ac:dyDescent="0.25">
      <c r="A21" s="286"/>
      <c r="B21" s="287"/>
      <c r="C21" s="296"/>
      <c r="D21" s="290"/>
      <c r="E21" s="290">
        <f t="shared" si="0"/>
        <v>74210.77</v>
      </c>
      <c r="F21" s="291"/>
      <c r="G21" s="291">
        <f t="shared" si="1"/>
        <v>4451.88</v>
      </c>
      <c r="H21" s="291">
        <f t="shared" si="2"/>
        <v>69758.89</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74210.77</v>
      </c>
      <c r="E23" s="302"/>
      <c r="F23" s="302">
        <f>SUM(F9:F22)</f>
        <v>4451.88</v>
      </c>
      <c r="G23" s="302"/>
      <c r="H23" s="302">
        <f>D23-F23</f>
        <v>69758.89</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42" t="s">
        <v>112</v>
      </c>
      <c r="D26" s="343">
        <v>69210.77</v>
      </c>
      <c r="E26" s="343"/>
      <c r="F26" s="343">
        <f>4451.88</f>
        <v>4451.88</v>
      </c>
      <c r="G26" s="343"/>
      <c r="H26" s="343">
        <f>D26-F26</f>
        <v>64758.890000000007</v>
      </c>
      <c r="I26" s="292"/>
    </row>
    <row r="27" spans="1:9" s="275" customFormat="1" ht="12.75" customHeight="1" x14ac:dyDescent="0.25">
      <c r="A27" s="286"/>
      <c r="B27" s="288"/>
      <c r="C27" s="342" t="s">
        <v>113</v>
      </c>
      <c r="D27" s="343">
        <v>5000</v>
      </c>
      <c r="E27" s="343"/>
      <c r="F27" s="343"/>
      <c r="G27" s="343"/>
      <c r="H27" s="343">
        <f>D27-F27</f>
        <v>5000</v>
      </c>
      <c r="I27" s="292"/>
    </row>
    <row r="28" spans="1:9" s="275" customFormat="1" ht="12.75" customHeight="1" thickBot="1" x14ac:dyDescent="0.3">
      <c r="A28" s="286"/>
      <c r="B28" s="288"/>
      <c r="C28" s="326" t="s">
        <v>67</v>
      </c>
      <c r="D28" s="302">
        <f>SUM(D26:D27)</f>
        <v>74210.77</v>
      </c>
      <c r="E28" s="374"/>
      <c r="F28" s="302">
        <f>SUM(F26:F27)</f>
        <v>4451.88</v>
      </c>
      <c r="G28" s="374"/>
      <c r="H28" s="302">
        <f>SUM(H26:H27)</f>
        <v>69758.890000000014</v>
      </c>
      <c r="I28" s="318"/>
    </row>
    <row r="29" spans="1:9" s="275" customFormat="1" ht="12.75" customHeight="1" thickTop="1" x14ac:dyDescent="0.25">
      <c r="A29" s="286"/>
      <c r="B29" s="288"/>
      <c r="C29" s="344"/>
      <c r="D29" s="343"/>
      <c r="E29" s="345"/>
      <c r="F29" s="345"/>
      <c r="G29" s="345"/>
      <c r="H29" s="343"/>
      <c r="I29" s="292"/>
    </row>
    <row r="30" spans="1:9" s="275" customFormat="1" ht="12.75" customHeight="1" x14ac:dyDescent="0.25">
      <c r="A30" s="286"/>
      <c r="B30" s="288"/>
      <c r="C30" s="346"/>
      <c r="D30" s="347"/>
      <c r="E30" s="347"/>
      <c r="F30" s="347"/>
      <c r="G30" s="347"/>
      <c r="H30" s="347"/>
      <c r="I30" s="292"/>
    </row>
    <row r="31" spans="1:9" s="275" customFormat="1" ht="12.75" customHeight="1" x14ac:dyDescent="0.25">
      <c r="C31" s="348"/>
      <c r="D31" s="348"/>
      <c r="E31" s="348"/>
      <c r="F31" s="348"/>
      <c r="G31" s="348"/>
      <c r="H31" s="348"/>
    </row>
  </sheetData>
  <conditionalFormatting sqref="I8:I23">
    <cfRule type="cellIs" dxfId="47"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41753-2399-479A-A24D-7E8BC2705927}">
  <sheetPr>
    <pageSetUpPr fitToPage="1"/>
  </sheetPr>
  <dimension ref="A1:G17"/>
  <sheetViews>
    <sheetView zoomScaleNormal="100" workbookViewId="0">
      <selection activeCell="A10" sqref="A10"/>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91</v>
      </c>
      <c r="C1" s="3"/>
      <c r="D1" s="4"/>
      <c r="E1" s="4"/>
      <c r="F1" s="4"/>
      <c r="G1" s="4"/>
    </row>
    <row r="2" spans="1:7" ht="15.75" x14ac:dyDescent="0.25">
      <c r="A2" s="1"/>
      <c r="B2" s="6" t="s">
        <v>93</v>
      </c>
      <c r="C2" s="5"/>
      <c r="D2" s="4"/>
      <c r="E2" s="4"/>
      <c r="F2" s="4"/>
      <c r="G2" s="4"/>
    </row>
    <row r="3" spans="1:7" ht="15.75" x14ac:dyDescent="0.25">
      <c r="A3" s="1"/>
      <c r="B3" s="7" t="s">
        <v>94</v>
      </c>
      <c r="C3" s="5"/>
      <c r="D3" s="4"/>
      <c r="E3" s="8" t="s">
        <v>96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95</v>
      </c>
      <c r="C6" s="14"/>
      <c r="D6" s="15" t="s">
        <v>2</v>
      </c>
      <c r="E6" s="16"/>
      <c r="F6" s="16"/>
      <c r="G6" s="16"/>
    </row>
    <row r="7" spans="1:7" ht="33.75" customHeight="1" thickBot="1" x14ac:dyDescent="0.3">
      <c r="A7" s="1"/>
      <c r="B7" s="18" t="s">
        <v>2</v>
      </c>
      <c r="C7" s="19" t="s">
        <v>3</v>
      </c>
      <c r="D7" s="20" t="s">
        <v>4</v>
      </c>
      <c r="E7" s="21" t="s">
        <v>5</v>
      </c>
      <c r="F7" s="22" t="s">
        <v>6</v>
      </c>
      <c r="G7" s="22" t="s">
        <v>7</v>
      </c>
    </row>
    <row r="8" spans="1:7" ht="28.35" customHeight="1" x14ac:dyDescent="0.25">
      <c r="A8" s="1"/>
      <c r="B8" s="1" t="s">
        <v>8</v>
      </c>
      <c r="C8" s="23">
        <f>FINANCIAL!G20</f>
        <v>320000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50" t="s">
        <v>258</v>
      </c>
      <c r="B10" s="304" t="s">
        <v>105</v>
      </c>
      <c r="C10" s="305"/>
      <c r="D10" s="308">
        <f>'#9491.00 DCI Group'!D23</f>
        <v>7888.5300000000007</v>
      </c>
      <c r="E10" s="308">
        <f>'#9491.00 DCI Group'!F23</f>
        <v>7888.5300000000007</v>
      </c>
      <c r="F10" s="308">
        <f>'#9491.00 DCI Group'!H23</f>
        <v>0</v>
      </c>
      <c r="G10" s="307"/>
    </row>
    <row r="11" spans="1:7" s="275" customFormat="1" ht="12.75" customHeight="1" x14ac:dyDescent="0.25">
      <c r="A11" s="303"/>
      <c r="B11" s="304" t="s">
        <v>10</v>
      </c>
      <c r="C11" s="305"/>
      <c r="D11" s="308">
        <f>'#9491.00 PM TIME '!E28</f>
        <v>15000</v>
      </c>
      <c r="E11" s="308">
        <f>'#9491.00 PM TIME '!G28</f>
        <v>10646.749999999998</v>
      </c>
      <c r="F11" s="308">
        <f>'#9491.00 PM TIME '!I28</f>
        <v>4353.2500000000018</v>
      </c>
      <c r="G11" s="307"/>
    </row>
    <row r="12" spans="1:7" s="275" customFormat="1" ht="12.75" customHeight="1" x14ac:dyDescent="0.25">
      <c r="A12" s="303"/>
      <c r="B12" s="304" t="s">
        <v>11</v>
      </c>
      <c r="C12" s="306"/>
      <c r="D12" s="309">
        <f>'#9491.00 Misc '!G22</f>
        <v>0</v>
      </c>
      <c r="E12" s="309">
        <f>'#9491.00 Misc '!H22</f>
        <v>0</v>
      </c>
      <c r="F12" s="308">
        <f>D12-E12</f>
        <v>0</v>
      </c>
      <c r="G12" s="307"/>
    </row>
    <row r="13" spans="1:7" s="275" customFormat="1" ht="12.75" customHeight="1" x14ac:dyDescent="0.25">
      <c r="A13" s="303"/>
      <c r="B13" s="304" t="s">
        <v>303</v>
      </c>
      <c r="C13" s="306"/>
      <c r="D13" s="309">
        <f>'#9491.00 KCL Engineering'!D23</f>
        <v>17675</v>
      </c>
      <c r="E13" s="309">
        <f>'#9491.00 KCL Engineering'!F23</f>
        <v>10675</v>
      </c>
      <c r="F13" s="308">
        <f>'#9491.00 KCL Engineering'!H23</f>
        <v>7000</v>
      </c>
      <c r="G13" s="307"/>
    </row>
    <row r="14" spans="1:7" s="275" customFormat="1" ht="12.75" customHeight="1" x14ac:dyDescent="0.25">
      <c r="A14" s="303"/>
      <c r="B14" s="304" t="s">
        <v>612</v>
      </c>
      <c r="C14" s="306"/>
      <c r="D14" s="309">
        <f>'#9491.00 Modern Piping Service'!D23</f>
        <v>203524</v>
      </c>
      <c r="E14" s="309">
        <f>'#9491.00 Modern Piping Service'!F23</f>
        <v>0</v>
      </c>
      <c r="F14" s="308">
        <f>'#9491.00 Modern Piping Service'!H23</f>
        <v>203524</v>
      </c>
      <c r="G14" s="307"/>
    </row>
    <row r="15" spans="1:7" s="275" customFormat="1" ht="12.75" customHeight="1" x14ac:dyDescent="0.25">
      <c r="A15" s="310"/>
      <c r="B15" s="304"/>
      <c r="C15" s="306"/>
      <c r="D15" s="309"/>
      <c r="E15" s="309"/>
      <c r="F15" s="308"/>
      <c r="G15" s="311"/>
    </row>
    <row r="16" spans="1:7" ht="24" customHeight="1" thickBot="1" x14ac:dyDescent="0.3">
      <c r="A16" s="30"/>
      <c r="B16" s="31" t="s">
        <v>12</v>
      </c>
      <c r="C16" s="32">
        <f>SUM(C8:C15)</f>
        <v>320000</v>
      </c>
      <c r="D16" s="32">
        <f>SUM(D8:D15)</f>
        <v>244087.53</v>
      </c>
      <c r="E16" s="32">
        <f>SUM(E8:E15)</f>
        <v>29210.28</v>
      </c>
      <c r="F16" s="32">
        <f>SUM(D16-E16)</f>
        <v>214877.25</v>
      </c>
      <c r="G16" s="32">
        <f>C8-D16</f>
        <v>75912.47</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5A6F6-C089-43EA-8289-B139FB651389}">
  <sheetPr>
    <tabColor rgb="FF0070C0"/>
    <pageSetUpPr fitToPage="1"/>
  </sheetPr>
  <dimension ref="A1:J29"/>
  <sheetViews>
    <sheetView zoomScaleNormal="100" workbookViewId="0">
      <selection activeCell="L6" sqref="L6"/>
    </sheetView>
  </sheetViews>
  <sheetFormatPr defaultColWidth="11.42578125" defaultRowHeight="15" customHeight="1" x14ac:dyDescent="0.25"/>
  <cols>
    <col min="1" max="1" width="24.5703125" style="351" customWidth="1"/>
    <col min="2" max="2" width="9.42578125" style="351" customWidth="1"/>
    <col min="3" max="3" width="25" style="351" bestFit="1" customWidth="1"/>
    <col min="4" max="4" width="14.42578125" style="351" customWidth="1"/>
    <col min="5" max="5" width="13.5703125" style="351" customWidth="1"/>
    <col min="6" max="6" width="12.42578125" style="351" customWidth="1"/>
    <col min="7" max="7" width="10.5703125" style="351" customWidth="1"/>
    <col min="8" max="8" width="12.5703125" style="351" customWidth="1"/>
    <col min="9" max="9" width="6.140625" style="351" bestFit="1" customWidth="1"/>
    <col min="10" max="256" width="11.42578125" style="351"/>
    <col min="257" max="264" width="11.42578125" style="351" customWidth="1"/>
    <col min="265" max="512" width="11.42578125" style="351"/>
    <col min="513" max="520" width="11.42578125" style="351" customWidth="1"/>
    <col min="521" max="768" width="11.42578125" style="351"/>
    <col min="769" max="776" width="11.42578125" style="351" customWidth="1"/>
    <col min="777" max="1024" width="11.42578125" style="351"/>
    <col min="1025" max="1032" width="11.42578125" style="351" customWidth="1"/>
    <col min="1033" max="1280" width="11.42578125" style="351"/>
    <col min="1281" max="1288" width="11.42578125" style="351" customWidth="1"/>
    <col min="1289" max="1536" width="11.42578125" style="351"/>
    <col min="1537" max="1544" width="11.42578125" style="351" customWidth="1"/>
    <col min="1545" max="1792" width="11.42578125" style="351"/>
    <col min="1793" max="1800" width="11.42578125" style="351" customWidth="1"/>
    <col min="1801" max="2048" width="11.42578125" style="351"/>
    <col min="2049" max="2056" width="11.42578125" style="351" customWidth="1"/>
    <col min="2057" max="2304" width="11.42578125" style="351"/>
    <col min="2305" max="2312" width="11.42578125" style="351" customWidth="1"/>
    <col min="2313" max="2560" width="11.42578125" style="351"/>
    <col min="2561" max="2568" width="11.42578125" style="351" customWidth="1"/>
    <col min="2569" max="2816" width="11.42578125" style="351"/>
    <col min="2817" max="2824" width="11.42578125" style="351" customWidth="1"/>
    <col min="2825" max="3072" width="11.42578125" style="351"/>
    <col min="3073" max="3080" width="11.42578125" style="351" customWidth="1"/>
    <col min="3081" max="3328" width="11.42578125" style="351"/>
    <col min="3329" max="3336" width="11.42578125" style="351" customWidth="1"/>
    <col min="3337" max="3584" width="11.42578125" style="351"/>
    <col min="3585" max="3592" width="11.42578125" style="351" customWidth="1"/>
    <col min="3593" max="3840" width="11.42578125" style="351"/>
    <col min="3841" max="3848" width="11.42578125" style="351" customWidth="1"/>
    <col min="3849" max="4096" width="11.42578125" style="351"/>
    <col min="4097" max="4104" width="11.42578125" style="351" customWidth="1"/>
    <col min="4105" max="4352" width="11.42578125" style="351"/>
    <col min="4353" max="4360" width="11.42578125" style="351" customWidth="1"/>
    <col min="4361" max="4608" width="11.42578125" style="351"/>
    <col min="4609" max="4616" width="11.42578125" style="351" customWidth="1"/>
    <col min="4617" max="4864" width="11.42578125" style="351"/>
    <col min="4865" max="4872" width="11.42578125" style="351" customWidth="1"/>
    <col min="4873" max="5120" width="11.42578125" style="351"/>
    <col min="5121" max="5128" width="11.42578125" style="351" customWidth="1"/>
    <col min="5129" max="5376" width="11.42578125" style="351"/>
    <col min="5377" max="5384" width="11.42578125" style="351" customWidth="1"/>
    <col min="5385" max="5632" width="11.42578125" style="351"/>
    <col min="5633" max="5640" width="11.42578125" style="351" customWidth="1"/>
    <col min="5641" max="5888" width="11.42578125" style="351"/>
    <col min="5889" max="5896" width="11.42578125" style="351" customWidth="1"/>
    <col min="5897" max="6144" width="11.42578125" style="351"/>
    <col min="6145" max="6152" width="11.42578125" style="351" customWidth="1"/>
    <col min="6153" max="6400" width="11.42578125" style="351"/>
    <col min="6401" max="6408" width="11.42578125" style="351" customWidth="1"/>
    <col min="6409" max="6656" width="11.42578125" style="351"/>
    <col min="6657" max="6664" width="11.42578125" style="351" customWidth="1"/>
    <col min="6665" max="6912" width="11.42578125" style="351"/>
    <col min="6913" max="6920" width="11.42578125" style="351" customWidth="1"/>
    <col min="6921" max="7168" width="11.42578125" style="351"/>
    <col min="7169" max="7176" width="11.42578125" style="351" customWidth="1"/>
    <col min="7177" max="7424" width="11.42578125" style="351"/>
    <col min="7425" max="7432" width="11.42578125" style="351" customWidth="1"/>
    <col min="7433" max="7680" width="11.42578125" style="351"/>
    <col min="7681" max="7688" width="11.42578125" style="351" customWidth="1"/>
    <col min="7689" max="7936" width="11.42578125" style="351"/>
    <col min="7937" max="7944" width="11.42578125" style="351" customWidth="1"/>
    <col min="7945" max="8192" width="11.42578125" style="351"/>
    <col min="8193" max="8200" width="11.42578125" style="351" customWidth="1"/>
    <col min="8201" max="8448" width="11.42578125" style="351"/>
    <col min="8449" max="8456" width="11.42578125" style="351" customWidth="1"/>
    <col min="8457" max="8704" width="11.42578125" style="351"/>
    <col min="8705" max="8712" width="11.42578125" style="351" customWidth="1"/>
    <col min="8713" max="8960" width="11.42578125" style="351"/>
    <col min="8961" max="8968" width="11.42578125" style="351" customWidth="1"/>
    <col min="8969" max="9216" width="11.42578125" style="351"/>
    <col min="9217" max="9224" width="11.42578125" style="351" customWidth="1"/>
    <col min="9225" max="9472" width="11.42578125" style="351"/>
    <col min="9473" max="9480" width="11.42578125" style="351" customWidth="1"/>
    <col min="9481" max="9728" width="11.42578125" style="351"/>
    <col min="9729" max="9736" width="11.42578125" style="351" customWidth="1"/>
    <col min="9737" max="9984" width="11.42578125" style="351"/>
    <col min="9985" max="9992" width="11.42578125" style="351" customWidth="1"/>
    <col min="9993" max="10240" width="11.42578125" style="351"/>
    <col min="10241" max="10248" width="11.42578125" style="351" customWidth="1"/>
    <col min="10249" max="10496" width="11.42578125" style="351"/>
    <col min="10497" max="10504" width="11.42578125" style="351" customWidth="1"/>
    <col min="10505" max="10752" width="11.42578125" style="351"/>
    <col min="10753" max="10760" width="11.42578125" style="351" customWidth="1"/>
    <col min="10761" max="11008" width="11.42578125" style="351"/>
    <col min="11009" max="11016" width="11.42578125" style="351" customWidth="1"/>
    <col min="11017" max="11264" width="11.42578125" style="351"/>
    <col min="11265" max="11272" width="11.42578125" style="351" customWidth="1"/>
    <col min="11273" max="11520" width="11.42578125" style="351"/>
    <col min="11521" max="11528" width="11.42578125" style="351" customWidth="1"/>
    <col min="11529" max="11776" width="11.42578125" style="351"/>
    <col min="11777" max="11784" width="11.42578125" style="351" customWidth="1"/>
    <col min="11785" max="12032" width="11.42578125" style="351"/>
    <col min="12033" max="12040" width="11.42578125" style="351" customWidth="1"/>
    <col min="12041" max="12288" width="11.42578125" style="351"/>
    <col min="12289" max="12296" width="11.42578125" style="351" customWidth="1"/>
    <col min="12297" max="12544" width="11.42578125" style="351"/>
    <col min="12545" max="12552" width="11.42578125" style="351" customWidth="1"/>
    <col min="12553" max="12800" width="11.42578125" style="351"/>
    <col min="12801" max="12808" width="11.42578125" style="351" customWidth="1"/>
    <col min="12809" max="13056" width="11.42578125" style="351"/>
    <col min="13057" max="13064" width="11.42578125" style="351" customWidth="1"/>
    <col min="13065" max="13312" width="11.42578125" style="351"/>
    <col min="13313" max="13320" width="11.42578125" style="351" customWidth="1"/>
    <col min="13321" max="13568" width="11.42578125" style="351"/>
    <col min="13569" max="13576" width="11.42578125" style="351" customWidth="1"/>
    <col min="13577" max="13824" width="11.42578125" style="351"/>
    <col min="13825" max="13832" width="11.42578125" style="351" customWidth="1"/>
    <col min="13833" max="14080" width="11.42578125" style="351"/>
    <col min="14081" max="14088" width="11.42578125" style="351" customWidth="1"/>
    <col min="14089" max="14336" width="11.42578125" style="351"/>
    <col min="14337" max="14344" width="11.42578125" style="351" customWidth="1"/>
    <col min="14345" max="14592" width="11.42578125" style="351"/>
    <col min="14593" max="14600" width="11.42578125" style="351" customWidth="1"/>
    <col min="14601" max="14848" width="11.42578125" style="351"/>
    <col min="14849" max="14856" width="11.42578125" style="351" customWidth="1"/>
    <col min="14857" max="15104" width="11.42578125" style="351"/>
    <col min="15105" max="15112" width="11.42578125" style="351" customWidth="1"/>
    <col min="15113" max="15360" width="11.42578125" style="351"/>
    <col min="15361" max="15368" width="11.42578125" style="351" customWidth="1"/>
    <col min="15369" max="15616" width="11.42578125" style="351"/>
    <col min="15617" max="15624" width="11.42578125" style="351" customWidth="1"/>
    <col min="15625" max="15872" width="11.42578125" style="351"/>
    <col min="15873" max="15880" width="11.42578125" style="351" customWidth="1"/>
    <col min="15881" max="16128" width="11.42578125" style="351"/>
    <col min="16129" max="16136" width="11.42578125" style="351" customWidth="1"/>
    <col min="16137" max="16384" width="11.42578125" style="351"/>
  </cols>
  <sheetData>
    <row r="1" spans="1:10" ht="24.75" customHeight="1" x14ac:dyDescent="0.25">
      <c r="A1" s="35" t="str">
        <f>'RECAP #9491.00'!B1</f>
        <v>DOC 7 JD RTU #2 Replacement</v>
      </c>
      <c r="B1" s="35"/>
      <c r="C1" s="185"/>
      <c r="D1" s="185"/>
      <c r="E1" s="185"/>
      <c r="F1" s="223"/>
      <c r="G1" s="223"/>
      <c r="H1" s="224"/>
      <c r="I1" s="224"/>
      <c r="J1" s="224"/>
    </row>
    <row r="2" spans="1:10" ht="15.75" x14ac:dyDescent="0.25">
      <c r="A2" s="186" t="str">
        <f>'RECAP #9491.00'!B2</f>
        <v>Project # 9491.00</v>
      </c>
      <c r="B2" s="182"/>
      <c r="C2" s="185"/>
      <c r="D2" s="185"/>
      <c r="E2" s="185"/>
      <c r="F2" s="223"/>
      <c r="G2" s="223"/>
      <c r="H2" s="224"/>
      <c r="I2" s="224"/>
      <c r="J2" s="224"/>
    </row>
    <row r="3" spans="1:10" ht="15.75" x14ac:dyDescent="0.25">
      <c r="A3" s="187" t="str">
        <f>'RECAP #9491.00'!B3</f>
        <v>Program code 949100</v>
      </c>
      <c r="B3" s="182"/>
      <c r="C3" s="185"/>
      <c r="D3" s="188" t="str">
        <f>'RECAP #9491.00'!E3</f>
        <v>Major Program 4B01</v>
      </c>
      <c r="E3" s="185"/>
      <c r="F3" s="223"/>
      <c r="G3" s="223"/>
      <c r="H3" s="224"/>
      <c r="I3" s="224"/>
      <c r="J3" s="224"/>
    </row>
    <row r="4" spans="1:10" ht="15.75" x14ac:dyDescent="0.25">
      <c r="A4" s="35" t="s">
        <v>105</v>
      </c>
      <c r="B4" s="36"/>
      <c r="C4" s="224"/>
      <c r="D4" s="381" t="s">
        <v>107</v>
      </c>
      <c r="E4" s="189"/>
      <c r="F4" s="223"/>
      <c r="G4" s="223"/>
      <c r="H4" s="224"/>
      <c r="I4" s="224"/>
      <c r="J4" s="224"/>
    </row>
    <row r="5" spans="1:10" ht="15.75" x14ac:dyDescent="0.25">
      <c r="A5" s="226" t="s">
        <v>106</v>
      </c>
      <c r="B5" s="224"/>
      <c r="C5" s="227"/>
      <c r="D5" s="43" t="s">
        <v>108</v>
      </c>
      <c r="E5" s="49"/>
      <c r="F5" s="228"/>
      <c r="G5" s="223"/>
      <c r="H5" s="224"/>
      <c r="I5" s="224"/>
      <c r="J5" s="224"/>
    </row>
    <row r="6" spans="1:10" ht="15.75" x14ac:dyDescent="0.25">
      <c r="A6" s="192" t="str">
        <f>'RECAP #9491.00'!B6</f>
        <v>Project Manager - Oliver Shimp</v>
      </c>
      <c r="B6" s="36"/>
      <c r="C6" s="229"/>
      <c r="D6" s="382" t="s">
        <v>109</v>
      </c>
      <c r="E6" s="49"/>
      <c r="F6" s="50"/>
      <c r="G6" s="223"/>
      <c r="H6" s="224"/>
      <c r="I6" s="224"/>
      <c r="J6" s="224"/>
    </row>
    <row r="7" spans="1:10" ht="15.75" x14ac:dyDescent="0.25">
      <c r="A7" s="224"/>
      <c r="B7" s="231"/>
      <c r="C7" s="231"/>
      <c r="D7" s="224"/>
      <c r="E7" s="52"/>
      <c r="F7" s="53"/>
      <c r="G7" s="223"/>
      <c r="H7" s="224"/>
      <c r="I7" s="224" t="s">
        <v>2</v>
      </c>
      <c r="J7" s="224"/>
    </row>
    <row r="8" spans="1:10" ht="32.25" thickBot="1" x14ac:dyDescent="0.3">
      <c r="A8" s="232" t="s">
        <v>16</v>
      </c>
      <c r="B8" s="233" t="s">
        <v>17</v>
      </c>
      <c r="C8" s="234" t="s">
        <v>18</v>
      </c>
      <c r="D8" s="235" t="s">
        <v>19</v>
      </c>
      <c r="E8" s="235" t="s">
        <v>20</v>
      </c>
      <c r="F8" s="235" t="s">
        <v>21</v>
      </c>
      <c r="G8" s="235" t="s">
        <v>22</v>
      </c>
      <c r="H8" s="235" t="s">
        <v>23</v>
      </c>
      <c r="I8" s="224"/>
      <c r="J8" s="224"/>
    </row>
    <row r="9" spans="1:10" s="359" customFormat="1" ht="12.75" customHeight="1" x14ac:dyDescent="0.25">
      <c r="A9" s="383" t="s">
        <v>312</v>
      </c>
      <c r="B9" s="353">
        <v>45916</v>
      </c>
      <c r="C9" s="354" t="s">
        <v>111</v>
      </c>
      <c r="D9" s="355">
        <v>18131.88</v>
      </c>
      <c r="E9" s="356">
        <f>D9</f>
        <v>18131.88</v>
      </c>
      <c r="F9" s="357"/>
      <c r="G9" s="357"/>
      <c r="H9" s="357">
        <f>E9</f>
        <v>18131.88</v>
      </c>
      <c r="I9" s="358"/>
      <c r="J9" s="358" t="s">
        <v>309</v>
      </c>
    </row>
    <row r="10" spans="1:10" s="359" customFormat="1" ht="12.75" customHeight="1" x14ac:dyDescent="0.25">
      <c r="A10" s="383" t="s">
        <v>313</v>
      </c>
      <c r="B10" s="360">
        <v>45958</v>
      </c>
      <c r="C10" s="354" t="s">
        <v>314</v>
      </c>
      <c r="D10" s="356"/>
      <c r="E10" s="356">
        <f t="shared" ref="E10:E21" si="0">E9+D10</f>
        <v>18131.88</v>
      </c>
      <c r="F10" s="361">
        <v>2473.0300000000002</v>
      </c>
      <c r="G10" s="357">
        <f t="shared" ref="G10:G21" si="1">G9+F10</f>
        <v>2473.0300000000002</v>
      </c>
      <c r="H10" s="357">
        <f t="shared" ref="H10:H21" si="2">H9-F10+D10</f>
        <v>15658.85</v>
      </c>
      <c r="I10" s="358"/>
      <c r="J10" s="358"/>
    </row>
    <row r="11" spans="1:10" s="359" customFormat="1" ht="12.75" customHeight="1" x14ac:dyDescent="0.25">
      <c r="A11" s="383" t="s">
        <v>332</v>
      </c>
      <c r="B11" s="353">
        <v>45982</v>
      </c>
      <c r="C11" s="354" t="s">
        <v>333</v>
      </c>
      <c r="D11" s="356"/>
      <c r="E11" s="356">
        <f t="shared" si="0"/>
        <v>18131.88</v>
      </c>
      <c r="F11" s="361">
        <v>524.75</v>
      </c>
      <c r="G11" s="357">
        <f t="shared" si="1"/>
        <v>2997.78</v>
      </c>
      <c r="H11" s="357">
        <f t="shared" si="2"/>
        <v>15134.1</v>
      </c>
      <c r="I11" s="358"/>
      <c r="J11" s="358"/>
    </row>
    <row r="12" spans="1:10" s="359" customFormat="1" ht="12.75" customHeight="1" x14ac:dyDescent="0.25">
      <c r="A12" s="383" t="s">
        <v>389</v>
      </c>
      <c r="B12" s="353">
        <v>46020</v>
      </c>
      <c r="C12" s="354" t="s">
        <v>390</v>
      </c>
      <c r="D12" s="356"/>
      <c r="E12" s="356">
        <f t="shared" si="0"/>
        <v>18131.88</v>
      </c>
      <c r="F12" s="361">
        <v>1060.4100000000001</v>
      </c>
      <c r="G12" s="357">
        <f t="shared" si="1"/>
        <v>4058.1900000000005</v>
      </c>
      <c r="H12" s="357">
        <f t="shared" si="2"/>
        <v>14073.69</v>
      </c>
      <c r="I12" s="358"/>
      <c r="J12" s="358"/>
    </row>
    <row r="13" spans="1:10" s="359" customFormat="1" ht="12.75" customHeight="1" x14ac:dyDescent="0.25">
      <c r="A13" s="383" t="s">
        <v>462</v>
      </c>
      <c r="B13" s="353">
        <v>46044</v>
      </c>
      <c r="C13" s="354" t="s">
        <v>463</v>
      </c>
      <c r="D13" s="356"/>
      <c r="E13" s="356">
        <f t="shared" si="0"/>
        <v>18131.88</v>
      </c>
      <c r="F13" s="361">
        <v>1234.8800000000001</v>
      </c>
      <c r="G13" s="357">
        <f t="shared" si="1"/>
        <v>5293.0700000000006</v>
      </c>
      <c r="H13" s="357">
        <f t="shared" si="2"/>
        <v>12838.810000000001</v>
      </c>
      <c r="I13" s="358"/>
      <c r="J13" s="358"/>
    </row>
    <row r="14" spans="1:10" s="359" customFormat="1" ht="12.75" customHeight="1" x14ac:dyDescent="0.25">
      <c r="A14" s="383" t="s">
        <v>604</v>
      </c>
      <c r="B14" s="353">
        <v>46077</v>
      </c>
      <c r="C14" s="354" t="s">
        <v>605</v>
      </c>
      <c r="D14" s="356"/>
      <c r="E14" s="356">
        <f t="shared" si="0"/>
        <v>18131.88</v>
      </c>
      <c r="F14" s="361">
        <v>1053.6199999999999</v>
      </c>
      <c r="G14" s="357">
        <f t="shared" si="1"/>
        <v>6346.6900000000005</v>
      </c>
      <c r="H14" s="357">
        <f t="shared" si="2"/>
        <v>11785.190000000002</v>
      </c>
      <c r="I14" s="358"/>
      <c r="J14" s="358"/>
    </row>
    <row r="15" spans="1:10" s="359" customFormat="1" ht="12.75" customHeight="1" x14ac:dyDescent="0.25">
      <c r="A15" s="383" t="s">
        <v>724</v>
      </c>
      <c r="B15" s="353">
        <v>46105</v>
      </c>
      <c r="C15" s="354" t="s">
        <v>725</v>
      </c>
      <c r="D15" s="362">
        <v>-10243.35</v>
      </c>
      <c r="E15" s="356">
        <f t="shared" si="0"/>
        <v>7888.5300000000007</v>
      </c>
      <c r="F15" s="361">
        <v>1541.84</v>
      </c>
      <c r="G15" s="357">
        <f t="shared" si="1"/>
        <v>7888.5300000000007</v>
      </c>
      <c r="H15" s="357">
        <f t="shared" si="2"/>
        <v>0</v>
      </c>
      <c r="I15" s="358"/>
      <c r="J15" s="358"/>
    </row>
    <row r="16" spans="1:10" s="359" customFormat="1" ht="12.75" customHeight="1" x14ac:dyDescent="0.25">
      <c r="A16" s="352"/>
      <c r="B16" s="353"/>
      <c r="C16" s="354"/>
      <c r="D16" s="356"/>
      <c r="E16" s="356">
        <f t="shared" si="0"/>
        <v>7888.5300000000007</v>
      </c>
      <c r="F16" s="361"/>
      <c r="G16" s="357">
        <f t="shared" si="1"/>
        <v>7888.5300000000007</v>
      </c>
      <c r="H16" s="357">
        <f t="shared" si="2"/>
        <v>0</v>
      </c>
      <c r="I16" s="358"/>
      <c r="J16" s="358"/>
    </row>
    <row r="17" spans="1:10" s="359" customFormat="1" ht="12.75" customHeight="1" x14ac:dyDescent="0.25">
      <c r="A17" s="352"/>
      <c r="B17" s="353"/>
      <c r="C17" s="354"/>
      <c r="D17" s="356"/>
      <c r="E17" s="356">
        <f t="shared" si="0"/>
        <v>7888.5300000000007</v>
      </c>
      <c r="F17" s="361"/>
      <c r="G17" s="357">
        <f t="shared" si="1"/>
        <v>7888.5300000000007</v>
      </c>
      <c r="H17" s="357">
        <f t="shared" si="2"/>
        <v>0</v>
      </c>
      <c r="I17" s="358"/>
      <c r="J17" s="358"/>
    </row>
    <row r="18" spans="1:10" s="359" customFormat="1" ht="12.75" customHeight="1" x14ac:dyDescent="0.25">
      <c r="A18" s="352"/>
      <c r="B18" s="353"/>
      <c r="C18" s="354"/>
      <c r="D18" s="356"/>
      <c r="E18" s="356">
        <f t="shared" si="0"/>
        <v>7888.5300000000007</v>
      </c>
      <c r="F18" s="361"/>
      <c r="G18" s="357">
        <f t="shared" si="1"/>
        <v>7888.5300000000007</v>
      </c>
      <c r="H18" s="357">
        <f t="shared" si="2"/>
        <v>0</v>
      </c>
      <c r="I18" s="358"/>
      <c r="J18" s="358"/>
    </row>
    <row r="19" spans="1:10" s="359" customFormat="1" ht="12.75" customHeight="1" x14ac:dyDescent="0.25">
      <c r="A19" s="352"/>
      <c r="B19" s="353"/>
      <c r="C19" s="354"/>
      <c r="D19" s="356"/>
      <c r="E19" s="356">
        <f t="shared" si="0"/>
        <v>7888.5300000000007</v>
      </c>
      <c r="F19" s="357"/>
      <c r="G19" s="357">
        <f t="shared" si="1"/>
        <v>7888.5300000000007</v>
      </c>
      <c r="H19" s="357">
        <f t="shared" si="2"/>
        <v>0</v>
      </c>
      <c r="I19" s="358"/>
      <c r="J19" s="358"/>
    </row>
    <row r="20" spans="1:10" s="359" customFormat="1" ht="12.75" customHeight="1" x14ac:dyDescent="0.25">
      <c r="A20" s="352"/>
      <c r="B20" s="353"/>
      <c r="C20" s="354"/>
      <c r="D20" s="356"/>
      <c r="E20" s="356">
        <f t="shared" si="0"/>
        <v>7888.5300000000007</v>
      </c>
      <c r="F20" s="357"/>
      <c r="G20" s="357">
        <f t="shared" si="1"/>
        <v>7888.5300000000007</v>
      </c>
      <c r="H20" s="357">
        <f t="shared" si="2"/>
        <v>0</v>
      </c>
      <c r="I20" s="358"/>
      <c r="J20" s="358"/>
    </row>
    <row r="21" spans="1:10" s="359" customFormat="1" ht="12.75" customHeight="1" x14ac:dyDescent="0.25">
      <c r="A21" s="352"/>
      <c r="B21" s="353"/>
      <c r="C21" s="363"/>
      <c r="D21" s="356"/>
      <c r="E21" s="356">
        <f t="shared" si="0"/>
        <v>7888.5300000000007</v>
      </c>
      <c r="F21" s="357"/>
      <c r="G21" s="357">
        <f t="shared" si="1"/>
        <v>7888.5300000000007</v>
      </c>
      <c r="H21" s="357">
        <f t="shared" si="2"/>
        <v>0</v>
      </c>
      <c r="I21" s="358"/>
      <c r="J21" s="358"/>
    </row>
    <row r="22" spans="1:10" s="359" customFormat="1" ht="12.75" customHeight="1" x14ac:dyDescent="0.25">
      <c r="A22" s="352"/>
      <c r="B22" s="354"/>
      <c r="C22" s="364"/>
      <c r="D22" s="357"/>
      <c r="E22" s="357"/>
      <c r="F22" s="357"/>
      <c r="G22" s="357"/>
      <c r="H22" s="357"/>
      <c r="I22" s="358"/>
      <c r="J22" s="358"/>
    </row>
    <row r="23" spans="1:10" s="359" customFormat="1" ht="12.75" customHeight="1" thickBot="1" x14ac:dyDescent="0.3">
      <c r="A23" s="352"/>
      <c r="B23" s="365"/>
      <c r="C23" s="366" t="s">
        <v>24</v>
      </c>
      <c r="D23" s="367">
        <f>SUM(D9:D22)</f>
        <v>7888.5300000000007</v>
      </c>
      <c r="E23" s="367"/>
      <c r="F23" s="367">
        <f>SUM(F9:F22)</f>
        <v>7888.5300000000007</v>
      </c>
      <c r="G23" s="367"/>
      <c r="H23" s="367">
        <f>D23-F23</f>
        <v>0</v>
      </c>
      <c r="I23" s="368" t="s">
        <v>454</v>
      </c>
      <c r="J23" s="358"/>
    </row>
    <row r="24" spans="1:10" s="359" customFormat="1" ht="12.75" customHeight="1" thickTop="1" x14ac:dyDescent="0.25">
      <c r="A24" s="352"/>
      <c r="B24" s="354"/>
      <c r="C24" s="364"/>
      <c r="D24" s="357"/>
      <c r="E24" s="357"/>
      <c r="F24" s="357"/>
      <c r="G24" s="357"/>
      <c r="H24" s="357"/>
      <c r="I24" s="358"/>
      <c r="J24" s="358"/>
    </row>
    <row r="25" spans="1:10" s="359" customFormat="1" ht="12.75" customHeight="1" x14ac:dyDescent="0.25">
      <c r="A25" s="352"/>
      <c r="B25" s="354"/>
      <c r="C25" s="364"/>
      <c r="D25" s="357"/>
      <c r="E25" s="357"/>
      <c r="F25" s="357"/>
      <c r="G25" s="357"/>
      <c r="H25" s="357"/>
      <c r="I25" s="358"/>
      <c r="J25" s="358"/>
    </row>
    <row r="26" spans="1:10" s="359" customFormat="1" ht="12.75" customHeight="1" x14ac:dyDescent="0.25">
      <c r="A26" s="352"/>
      <c r="B26" s="354"/>
      <c r="C26" s="364" t="s">
        <v>112</v>
      </c>
      <c r="D26" s="369">
        <f>17631.88-9915.85</f>
        <v>7716.0300000000007</v>
      </c>
      <c r="E26" s="369"/>
      <c r="F26" s="369">
        <f>2358.03+524.75+1060.41+1234.88+1053.62+1484.34</f>
        <v>7716.0300000000007</v>
      </c>
      <c r="G26" s="369"/>
      <c r="H26" s="357">
        <f t="shared" ref="H26:H27" si="3">D26-F26</f>
        <v>0</v>
      </c>
      <c r="I26" s="358"/>
      <c r="J26" s="358"/>
    </row>
    <row r="27" spans="1:10" s="359" customFormat="1" ht="12.75" customHeight="1" x14ac:dyDescent="0.25">
      <c r="A27" s="352"/>
      <c r="B27" s="354"/>
      <c r="C27" s="364" t="s">
        <v>113</v>
      </c>
      <c r="D27" s="369">
        <f>500-327.5</f>
        <v>172.5</v>
      </c>
      <c r="E27" s="369"/>
      <c r="F27" s="369">
        <f>115+57.5</f>
        <v>172.5</v>
      </c>
      <c r="G27" s="369"/>
      <c r="H27" s="357">
        <f t="shared" si="3"/>
        <v>0</v>
      </c>
      <c r="I27" s="358"/>
      <c r="J27" s="358"/>
    </row>
    <row r="28" spans="1:10" s="359" customFormat="1" ht="12.75" customHeight="1" thickBot="1" x14ac:dyDescent="0.3">
      <c r="A28" s="352"/>
      <c r="B28" s="354"/>
      <c r="C28" s="370" t="s">
        <v>67</v>
      </c>
      <c r="D28" s="367">
        <f>SUM(D26:D27)</f>
        <v>7888.5300000000007</v>
      </c>
      <c r="E28" s="371"/>
      <c r="F28" s="367">
        <f>SUM(F26:F27)</f>
        <v>7888.5300000000007</v>
      </c>
      <c r="G28" s="371"/>
      <c r="H28" s="367">
        <f>SUM(H26:H27)</f>
        <v>0</v>
      </c>
      <c r="I28" s="358"/>
      <c r="J28" s="358"/>
    </row>
    <row r="29" spans="1:10" ht="15" customHeight="1" thickTop="1" x14ac:dyDescent="0.25"/>
  </sheetData>
  <pageMargins left="0.25" right="0.25" top="0.95" bottom="0.75" header="0.09" footer="0.3"/>
  <pageSetup scale="79" fitToHeight="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2648-A741-43C3-83C1-AAF74D8AD486}">
  <sheetPr>
    <pageSetUpPr fitToPage="1"/>
  </sheetPr>
  <dimension ref="A1:G15"/>
  <sheetViews>
    <sheetView zoomScaleNormal="100" workbookViewId="0">
      <selection activeCell="L23" sqref="L2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55</v>
      </c>
      <c r="C1" s="3"/>
      <c r="D1" s="4"/>
      <c r="E1" s="4"/>
      <c r="F1" s="4"/>
      <c r="G1" s="4"/>
    </row>
    <row r="2" spans="1:7" ht="15.75" x14ac:dyDescent="0.25">
      <c r="A2" s="1"/>
      <c r="B2" s="6" t="s">
        <v>68</v>
      </c>
      <c r="C2" s="5"/>
      <c r="D2" s="4"/>
      <c r="E2" s="4"/>
      <c r="F2" s="4"/>
      <c r="G2" s="4"/>
    </row>
    <row r="3" spans="1:7" ht="15.75" x14ac:dyDescent="0.25">
      <c r="A3" s="1"/>
      <c r="B3" s="7" t="s">
        <v>69</v>
      </c>
      <c r="C3" s="5"/>
      <c r="D3" s="4"/>
      <c r="E3" s="8" t="s">
        <v>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99</v>
      </c>
      <c r="C6" s="14"/>
      <c r="D6" s="15" t="s">
        <v>2</v>
      </c>
      <c r="E6" s="16"/>
      <c r="F6" s="16"/>
      <c r="G6" s="16"/>
    </row>
    <row r="7" spans="1:7" ht="31.5" customHeight="1" thickBot="1" x14ac:dyDescent="0.3">
      <c r="A7" s="1"/>
      <c r="B7" s="18" t="s">
        <v>2</v>
      </c>
      <c r="C7" s="19" t="s">
        <v>3</v>
      </c>
      <c r="D7" s="20" t="s">
        <v>4</v>
      </c>
      <c r="E7" s="21" t="s">
        <v>5</v>
      </c>
      <c r="F7" s="22" t="s">
        <v>6</v>
      </c>
      <c r="G7" s="22" t="s">
        <v>7</v>
      </c>
    </row>
    <row r="8" spans="1:7" ht="28.35" customHeight="1" x14ac:dyDescent="0.25">
      <c r="A8" s="1"/>
      <c r="B8" s="1" t="s">
        <v>8</v>
      </c>
      <c r="C8" s="23">
        <f>FINANCIAL!E15</f>
        <v>75000</v>
      </c>
      <c r="D8" s="24"/>
      <c r="E8" s="24"/>
      <c r="F8" s="24"/>
      <c r="G8" s="25"/>
    </row>
    <row r="9" spans="1:7" x14ac:dyDescent="0.25">
      <c r="A9" s="1"/>
      <c r="B9" s="5"/>
      <c r="C9" s="26"/>
      <c r="D9" s="27"/>
      <c r="E9" s="27"/>
      <c r="F9" s="27"/>
      <c r="G9" s="25"/>
    </row>
    <row r="10" spans="1:7" x14ac:dyDescent="0.25">
      <c r="A10" s="1"/>
      <c r="B10" s="5" t="s">
        <v>9</v>
      </c>
      <c r="C10" s="26"/>
      <c r="D10" s="24">
        <v>0</v>
      </c>
      <c r="E10" s="24">
        <v>0</v>
      </c>
      <c r="F10" s="24">
        <v>0</v>
      </c>
      <c r="G10" s="25"/>
    </row>
    <row r="11" spans="1:7" x14ac:dyDescent="0.25">
      <c r="A11" s="1"/>
      <c r="B11" s="5" t="s">
        <v>10</v>
      </c>
      <c r="C11" s="26"/>
      <c r="D11" s="24">
        <f>'#9997.26 PM TIME '!E39</f>
        <v>75000</v>
      </c>
      <c r="E11" s="24">
        <f>'#9997.26 PM TIME '!G39</f>
        <v>57658.729999999996</v>
      </c>
      <c r="F11" s="24">
        <f>'#9997.26 PM TIME '!I39</f>
        <v>17341.270000000004</v>
      </c>
      <c r="G11" s="25"/>
    </row>
    <row r="12" spans="1:7" x14ac:dyDescent="0.25">
      <c r="A12" s="1"/>
      <c r="B12" s="5" t="s">
        <v>11</v>
      </c>
      <c r="C12" s="27"/>
      <c r="D12" s="28">
        <v>0</v>
      </c>
      <c r="E12" s="28">
        <f>'#9484.00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75000</v>
      </c>
      <c r="D14" s="32">
        <f>SUM(D8:D13)</f>
        <v>75000</v>
      </c>
      <c r="E14" s="32">
        <f>SUM(E8:E13)</f>
        <v>57658.729999999996</v>
      </c>
      <c r="F14" s="32">
        <f>SUM(D14-E14)</f>
        <v>17341.270000000004</v>
      </c>
      <c r="G14" s="32">
        <f>C8-D14</f>
        <v>0</v>
      </c>
    </row>
    <row r="15" spans="1:7" ht="15" customHeight="1" thickTop="1" x14ac:dyDescent="0.25"/>
  </sheetData>
  <pageMargins left="0.25" right="0.25" top="0.95"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A7889-0A1C-403A-B88C-9A48D757E65F}">
  <sheetPr>
    <pageSetUpPr fitToPage="1"/>
  </sheetPr>
  <dimension ref="A1:J29"/>
  <sheetViews>
    <sheetView zoomScaleNormal="100" workbookViewId="0">
      <selection activeCell="L26" sqref="L26"/>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#9491.00'!B1</f>
        <v>DOC 7 JD RTU #2 Replacement</v>
      </c>
      <c r="B1" s="3"/>
      <c r="C1" s="3"/>
      <c r="D1" s="4"/>
      <c r="E1" s="4"/>
      <c r="F1" s="4"/>
      <c r="G1" s="33"/>
      <c r="H1" s="33"/>
      <c r="I1" s="34"/>
      <c r="J1" s="34"/>
    </row>
    <row r="2" spans="1:10" ht="15.75" x14ac:dyDescent="0.25">
      <c r="A2" s="6" t="str">
        <f>'RECAP #9491.00'!B2</f>
        <v>Project # 9491.00</v>
      </c>
      <c r="B2" s="5"/>
      <c r="C2" s="5"/>
      <c r="D2" s="4"/>
      <c r="E2" s="4"/>
      <c r="F2" s="4"/>
      <c r="G2" s="33"/>
      <c r="H2" s="33"/>
      <c r="I2" s="34"/>
      <c r="J2" s="34"/>
    </row>
    <row r="3" spans="1:10" ht="15.75" x14ac:dyDescent="0.25">
      <c r="A3" s="7" t="str">
        <f>'RECAP #9491.00'!B3</f>
        <v>Program code 949100</v>
      </c>
      <c r="B3" s="5"/>
      <c r="C3" s="5"/>
      <c r="D3" s="4"/>
      <c r="E3" s="8" t="str">
        <f>'RECAP #9491.00'!E3</f>
        <v>Major Program 4B01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98</v>
      </c>
      <c r="F6" s="49"/>
      <c r="G6" s="50"/>
      <c r="H6" s="46"/>
      <c r="I6" s="41"/>
      <c r="J6" s="34"/>
    </row>
    <row r="7" spans="1:10" ht="15.75" x14ac:dyDescent="0.25">
      <c r="A7" s="13" t="str">
        <f>'RECAP #9491.00'!B6</f>
        <v>Project Manager - Oliver Shimp</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f>5000+5000+5000</f>
        <v>15000</v>
      </c>
      <c r="F9" s="290">
        <f>E9</f>
        <v>15000</v>
      </c>
      <c r="G9" s="291"/>
      <c r="H9" s="291"/>
      <c r="I9" s="291">
        <f>F9</f>
        <v>15000</v>
      </c>
      <c r="J9" s="292"/>
    </row>
    <row r="10" spans="1:10" s="275" customFormat="1" ht="12.75" customHeight="1" x14ac:dyDescent="0.25">
      <c r="A10" s="217" t="s">
        <v>126</v>
      </c>
      <c r="B10" s="218">
        <v>45908</v>
      </c>
      <c r="C10" s="219">
        <v>2507</v>
      </c>
      <c r="D10" s="179" t="s">
        <v>127</v>
      </c>
      <c r="E10" s="290"/>
      <c r="F10" s="290">
        <f t="shared" ref="F10:F26" si="0">F9+E10</f>
        <v>15000</v>
      </c>
      <c r="G10" s="294">
        <v>167.7</v>
      </c>
      <c r="H10" s="291">
        <f t="shared" ref="H10:H26" si="1">H9+G10</f>
        <v>167.7</v>
      </c>
      <c r="I10" s="291">
        <f t="shared" ref="I10:I26" si="2">I9-G10+E10</f>
        <v>14832.3</v>
      </c>
      <c r="J10" s="292"/>
    </row>
    <row r="11" spans="1:10" s="275" customFormat="1" ht="12.75" customHeight="1" x14ac:dyDescent="0.25">
      <c r="A11" s="217" t="s">
        <v>126</v>
      </c>
      <c r="B11" s="218">
        <v>45908</v>
      </c>
      <c r="C11" s="219">
        <v>9500</v>
      </c>
      <c r="D11" s="180" t="s">
        <v>128</v>
      </c>
      <c r="E11" s="290"/>
      <c r="F11" s="290">
        <f t="shared" si="0"/>
        <v>15000</v>
      </c>
      <c r="G11" s="294">
        <v>1292.9000000000001</v>
      </c>
      <c r="H11" s="291">
        <f t="shared" si="1"/>
        <v>1460.6000000000001</v>
      </c>
      <c r="I11" s="291">
        <f t="shared" si="2"/>
        <v>13539.4</v>
      </c>
      <c r="J11" s="292"/>
    </row>
    <row r="12" spans="1:10" s="275" customFormat="1" ht="12.75" customHeight="1" x14ac:dyDescent="0.25">
      <c r="A12" s="220" t="s">
        <v>268</v>
      </c>
      <c r="B12" s="221">
        <v>45937</v>
      </c>
      <c r="C12" s="219" t="s">
        <v>269</v>
      </c>
      <c r="D12" s="179" t="s">
        <v>270</v>
      </c>
      <c r="E12" s="290"/>
      <c r="F12" s="290">
        <f t="shared" si="0"/>
        <v>15000</v>
      </c>
      <c r="G12" s="294">
        <v>431</v>
      </c>
      <c r="H12" s="291">
        <f t="shared" si="1"/>
        <v>1891.6000000000001</v>
      </c>
      <c r="I12" s="291">
        <f t="shared" si="2"/>
        <v>13108.4</v>
      </c>
      <c r="J12" s="292"/>
    </row>
    <row r="13" spans="1:10" s="275" customFormat="1" ht="12.75" customHeight="1" x14ac:dyDescent="0.25">
      <c r="A13" s="220" t="s">
        <v>268</v>
      </c>
      <c r="B13" s="221">
        <v>45937</v>
      </c>
      <c r="C13" s="219">
        <v>9500</v>
      </c>
      <c r="D13" s="222" t="s">
        <v>271</v>
      </c>
      <c r="E13" s="290"/>
      <c r="F13" s="290">
        <f t="shared" si="0"/>
        <v>15000</v>
      </c>
      <c r="G13" s="294">
        <v>2215.6</v>
      </c>
      <c r="H13" s="291">
        <f t="shared" si="1"/>
        <v>4107.2</v>
      </c>
      <c r="I13" s="291">
        <f t="shared" si="2"/>
        <v>10892.8</v>
      </c>
      <c r="J13" s="292"/>
    </row>
    <row r="14" spans="1:10" s="275" customFormat="1" ht="12.75" customHeight="1" x14ac:dyDescent="0.25">
      <c r="A14" s="220" t="s">
        <v>322</v>
      </c>
      <c r="B14" s="221">
        <v>45968</v>
      </c>
      <c r="C14" s="219" t="s">
        <v>269</v>
      </c>
      <c r="D14" s="179" t="s">
        <v>323</v>
      </c>
      <c r="E14" s="290"/>
      <c r="F14" s="290">
        <f t="shared" si="0"/>
        <v>15000</v>
      </c>
      <c r="G14" s="294">
        <v>91</v>
      </c>
      <c r="H14" s="291">
        <f t="shared" si="1"/>
        <v>4198.2</v>
      </c>
      <c r="I14" s="291">
        <f t="shared" si="2"/>
        <v>10801.8</v>
      </c>
      <c r="J14" s="292"/>
    </row>
    <row r="15" spans="1:10" s="275" customFormat="1" ht="12.75" customHeight="1" x14ac:dyDescent="0.25">
      <c r="A15" s="220" t="s">
        <v>322</v>
      </c>
      <c r="B15" s="221">
        <v>45968</v>
      </c>
      <c r="C15" s="219">
        <v>9500</v>
      </c>
      <c r="D15" s="222" t="s">
        <v>324</v>
      </c>
      <c r="E15" s="290"/>
      <c r="F15" s="290">
        <f t="shared" si="0"/>
        <v>15000</v>
      </c>
      <c r="G15" s="294">
        <v>903</v>
      </c>
      <c r="H15" s="291">
        <f t="shared" si="1"/>
        <v>5101.2</v>
      </c>
      <c r="I15" s="291">
        <f t="shared" si="2"/>
        <v>9898.7999999999993</v>
      </c>
      <c r="J15" s="292"/>
    </row>
    <row r="16" spans="1:10" s="275" customFormat="1" ht="12.75" customHeight="1" x14ac:dyDescent="0.2">
      <c r="A16" s="213" t="s">
        <v>373</v>
      </c>
      <c r="B16" s="214">
        <v>45996</v>
      </c>
      <c r="C16" s="332" t="s">
        <v>269</v>
      </c>
      <c r="D16" s="175" t="s">
        <v>374</v>
      </c>
      <c r="E16" s="290"/>
      <c r="F16" s="290">
        <f t="shared" si="0"/>
        <v>15000</v>
      </c>
      <c r="G16" s="294">
        <v>168.32</v>
      </c>
      <c r="H16" s="291">
        <f t="shared" si="1"/>
        <v>5269.5199999999995</v>
      </c>
      <c r="I16" s="291">
        <f t="shared" si="2"/>
        <v>9730.48</v>
      </c>
      <c r="J16" s="292"/>
    </row>
    <row r="17" spans="1:10" s="275" customFormat="1" ht="12.75" customHeight="1" x14ac:dyDescent="0.2">
      <c r="A17" s="213" t="s">
        <v>373</v>
      </c>
      <c r="B17" s="214">
        <v>45996</v>
      </c>
      <c r="C17" s="333">
        <v>9500</v>
      </c>
      <c r="D17" s="78" t="s">
        <v>375</v>
      </c>
      <c r="E17" s="290"/>
      <c r="F17" s="290">
        <f t="shared" si="0"/>
        <v>15000</v>
      </c>
      <c r="G17" s="294">
        <v>1072.3</v>
      </c>
      <c r="H17" s="291">
        <f t="shared" si="1"/>
        <v>6341.82</v>
      </c>
      <c r="I17" s="291">
        <f t="shared" si="2"/>
        <v>8658.18</v>
      </c>
      <c r="J17" s="292"/>
    </row>
    <row r="18" spans="1:10" s="275" customFormat="1" ht="12.75" customHeight="1" x14ac:dyDescent="0.2">
      <c r="A18" s="213" t="s">
        <v>433</v>
      </c>
      <c r="B18" s="214">
        <v>46030</v>
      </c>
      <c r="C18" s="332" t="s">
        <v>269</v>
      </c>
      <c r="D18" s="175" t="s">
        <v>434</v>
      </c>
      <c r="E18" s="290"/>
      <c r="F18" s="290">
        <f t="shared" si="0"/>
        <v>15000</v>
      </c>
      <c r="G18" s="294">
        <v>107.3</v>
      </c>
      <c r="H18" s="291">
        <f t="shared" si="1"/>
        <v>6449.12</v>
      </c>
      <c r="I18" s="291">
        <f t="shared" si="2"/>
        <v>8550.880000000001</v>
      </c>
      <c r="J18" s="292"/>
    </row>
    <row r="19" spans="1:10" s="275" customFormat="1" ht="12.75" customHeight="1" x14ac:dyDescent="0.2">
      <c r="A19" s="213" t="s">
        <v>433</v>
      </c>
      <c r="B19" s="214">
        <v>46030</v>
      </c>
      <c r="C19" s="333">
        <v>9500</v>
      </c>
      <c r="D19" s="78" t="s">
        <v>435</v>
      </c>
      <c r="E19" s="290"/>
      <c r="F19" s="290">
        <f t="shared" si="0"/>
        <v>15000</v>
      </c>
      <c r="G19" s="294">
        <v>1217.5999999999999</v>
      </c>
      <c r="H19" s="291">
        <f t="shared" si="1"/>
        <v>7666.7199999999993</v>
      </c>
      <c r="I19" s="291">
        <f t="shared" si="2"/>
        <v>7333.2800000000007</v>
      </c>
      <c r="J19" s="292"/>
    </row>
    <row r="20" spans="1:10" s="275" customFormat="1" ht="12.75" customHeight="1" x14ac:dyDescent="0.2">
      <c r="A20" s="213" t="s">
        <v>559</v>
      </c>
      <c r="B20" s="214">
        <v>46062</v>
      </c>
      <c r="C20" s="332" t="s">
        <v>269</v>
      </c>
      <c r="D20" s="175" t="s">
        <v>560</v>
      </c>
      <c r="E20" s="290"/>
      <c r="F20" s="290">
        <f t="shared" si="0"/>
        <v>15000</v>
      </c>
      <c r="G20" s="294">
        <v>77.31</v>
      </c>
      <c r="H20" s="291">
        <f t="shared" si="1"/>
        <v>7744.03</v>
      </c>
      <c r="I20" s="291">
        <f t="shared" si="2"/>
        <v>7255.97</v>
      </c>
      <c r="J20" s="292"/>
    </row>
    <row r="21" spans="1:10" s="275" customFormat="1" ht="12.75" customHeight="1" x14ac:dyDescent="0.2">
      <c r="A21" s="213" t="s">
        <v>559</v>
      </c>
      <c r="B21" s="214">
        <v>46062</v>
      </c>
      <c r="C21" s="333">
        <v>9500</v>
      </c>
      <c r="D21" s="78" t="s">
        <v>561</v>
      </c>
      <c r="E21" s="290"/>
      <c r="F21" s="290">
        <f t="shared" si="0"/>
        <v>15000</v>
      </c>
      <c r="G21" s="294">
        <v>965.6</v>
      </c>
      <c r="H21" s="291">
        <f t="shared" si="1"/>
        <v>8709.6299999999992</v>
      </c>
      <c r="I21" s="291">
        <f t="shared" si="2"/>
        <v>6290.37</v>
      </c>
      <c r="J21" s="292"/>
    </row>
    <row r="22" spans="1:10" s="275" customFormat="1" ht="12.75" customHeight="1" x14ac:dyDescent="0.2">
      <c r="A22" s="213" t="s">
        <v>663</v>
      </c>
      <c r="B22" s="214">
        <v>46090</v>
      </c>
      <c r="C22" s="332" t="s">
        <v>269</v>
      </c>
      <c r="D22" s="175" t="s">
        <v>664</v>
      </c>
      <c r="E22" s="290"/>
      <c r="F22" s="290">
        <f t="shared" si="0"/>
        <v>15000</v>
      </c>
      <c r="G22" s="294">
        <v>154.72</v>
      </c>
      <c r="H22" s="291">
        <f t="shared" si="1"/>
        <v>8864.3499999999985</v>
      </c>
      <c r="I22" s="291">
        <f t="shared" si="2"/>
        <v>6135.65</v>
      </c>
      <c r="J22" s="292"/>
    </row>
    <row r="23" spans="1:10" s="275" customFormat="1" ht="12.75" customHeight="1" x14ac:dyDescent="0.2">
      <c r="A23" s="213" t="s">
        <v>663</v>
      </c>
      <c r="B23" s="214">
        <v>46090</v>
      </c>
      <c r="C23" s="333">
        <v>9500</v>
      </c>
      <c r="D23" s="78" t="s">
        <v>665</v>
      </c>
      <c r="E23" s="290"/>
      <c r="F23" s="290">
        <f t="shared" si="0"/>
        <v>15000</v>
      </c>
      <c r="G23" s="294">
        <v>1782.4</v>
      </c>
      <c r="H23" s="291">
        <f t="shared" si="1"/>
        <v>10646.749999999998</v>
      </c>
      <c r="I23" s="291">
        <f t="shared" si="2"/>
        <v>4353.25</v>
      </c>
      <c r="J23" s="292"/>
    </row>
    <row r="24" spans="1:10" s="275" customFormat="1" ht="12.75" customHeight="1" x14ac:dyDescent="0.2">
      <c r="A24" s="213"/>
      <c r="B24" s="214"/>
      <c r="C24" s="333"/>
      <c r="D24" s="78"/>
      <c r="E24" s="290"/>
      <c r="F24" s="290">
        <f t="shared" si="0"/>
        <v>15000</v>
      </c>
      <c r="G24" s="294"/>
      <c r="H24" s="291">
        <f t="shared" si="1"/>
        <v>10646.749999999998</v>
      </c>
      <c r="I24" s="291">
        <f t="shared" si="2"/>
        <v>4353.25</v>
      </c>
      <c r="J24" s="292"/>
    </row>
    <row r="25" spans="1:10" s="275" customFormat="1" ht="12.75" customHeight="1" x14ac:dyDescent="0.2">
      <c r="A25" s="213"/>
      <c r="B25" s="214"/>
      <c r="C25" s="333"/>
      <c r="D25" s="78"/>
      <c r="E25" s="290"/>
      <c r="F25" s="290">
        <f t="shared" si="0"/>
        <v>15000</v>
      </c>
      <c r="G25" s="294"/>
      <c r="H25" s="291">
        <f t="shared" si="1"/>
        <v>10646.749999999998</v>
      </c>
      <c r="I25" s="291">
        <f t="shared" si="2"/>
        <v>4353.25</v>
      </c>
      <c r="J25" s="292"/>
    </row>
    <row r="26" spans="1:10" s="275" customFormat="1" ht="12.75" customHeight="1" x14ac:dyDescent="0.2">
      <c r="A26" s="213"/>
      <c r="B26" s="214"/>
      <c r="C26" s="333"/>
      <c r="D26" s="78"/>
      <c r="E26" s="290"/>
      <c r="F26" s="290">
        <f t="shared" si="0"/>
        <v>15000</v>
      </c>
      <c r="G26" s="295"/>
      <c r="H26" s="291">
        <f t="shared" si="1"/>
        <v>10646.749999999998</v>
      </c>
      <c r="I26" s="291">
        <f t="shared" si="2"/>
        <v>4353.25</v>
      </c>
      <c r="J26" s="292"/>
    </row>
    <row r="27" spans="1:10" s="275" customFormat="1" ht="12.75" customHeight="1" x14ac:dyDescent="0.25">
      <c r="A27" s="286"/>
      <c r="B27" s="288"/>
      <c r="C27" s="219"/>
      <c r="D27" s="297"/>
      <c r="E27" s="291"/>
      <c r="F27" s="291"/>
      <c r="G27" s="291"/>
      <c r="H27" s="291"/>
      <c r="I27" s="291"/>
      <c r="J27" s="292"/>
    </row>
    <row r="28" spans="1:10" s="275" customFormat="1" ht="12.75" customHeight="1" thickBot="1" x14ac:dyDescent="0.3">
      <c r="A28" s="286"/>
      <c r="B28" s="300"/>
      <c r="C28" s="219"/>
      <c r="D28" s="301" t="s">
        <v>24</v>
      </c>
      <c r="E28" s="302">
        <f>SUM(E9:E27)</f>
        <v>15000</v>
      </c>
      <c r="F28" s="302"/>
      <c r="G28" s="302">
        <f>SUM(G9:G27)</f>
        <v>10646.749999999998</v>
      </c>
      <c r="H28" s="302"/>
      <c r="I28" s="302">
        <f>E28-G28</f>
        <v>4353.2500000000018</v>
      </c>
      <c r="J28" s="292"/>
    </row>
    <row r="29" spans="1:10" s="275"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04AE7-DD0A-401A-A090-E4C07665C359}">
  <sheetPr>
    <tabColor indexed="30"/>
    <pageSetUpPr fitToPage="1"/>
  </sheetPr>
  <dimension ref="A1:H105"/>
  <sheetViews>
    <sheetView zoomScaleNormal="100" workbookViewId="0">
      <selection activeCell="M22" sqref="M2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#9491.00'!B1</f>
        <v>DOC 7 JD RTU #2 Replacement</v>
      </c>
      <c r="B1" s="3"/>
      <c r="C1" s="3"/>
      <c r="D1" s="3"/>
      <c r="E1" s="4"/>
      <c r="F1" s="4"/>
      <c r="G1" s="4"/>
      <c r="H1" s="33"/>
    </row>
    <row r="2" spans="1:8" ht="15.75" x14ac:dyDescent="0.25">
      <c r="A2" s="6" t="str">
        <f>'RECAP #9491.00'!B2</f>
        <v>Project # 9491.00</v>
      </c>
      <c r="B2" s="5"/>
      <c r="C2" s="5"/>
      <c r="D2" s="5"/>
      <c r="E2" s="4"/>
      <c r="F2" s="4"/>
      <c r="G2" s="4"/>
      <c r="H2" s="33"/>
    </row>
    <row r="3" spans="1:8" ht="15.75" x14ac:dyDescent="0.25">
      <c r="A3" s="7" t="str">
        <f>'RECAP #9491.00'!B3</f>
        <v>Program code 949100</v>
      </c>
      <c r="B3" s="5"/>
      <c r="C3" s="5"/>
      <c r="D3" s="5"/>
      <c r="E3" s="8" t="str">
        <f>'RECAP #9491.00'!E3</f>
        <v>Major Program 4B01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301</v>
      </c>
      <c r="F6" s="41"/>
      <c r="G6" s="44"/>
      <c r="H6" s="45"/>
    </row>
    <row r="7" spans="1:8" ht="15.75" x14ac:dyDescent="0.25">
      <c r="A7" s="13" t="str">
        <f>'RECAP #9491.00'!B6</f>
        <v>Project Manager - Oliver Shimp</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s="275" customFormat="1" ht="12.75" customHeight="1" thickTop="1" x14ac:dyDescent="0.25"/>
    <row r="24" spans="1:8" s="275" customFormat="1" ht="12.75" customHeight="1" x14ac:dyDescent="0.25"/>
    <row r="25" spans="1:8" s="275" customFormat="1" ht="12.75" customHeight="1" x14ac:dyDescent="0.25"/>
    <row r="26" spans="1:8" s="275" customFormat="1" ht="12.75" customHeight="1" x14ac:dyDescent="0.25"/>
    <row r="27" spans="1:8" s="275" customFormat="1" ht="12.75" customHeight="1" x14ac:dyDescent="0.25"/>
    <row r="28" spans="1:8" s="275" customFormat="1" ht="12.75" customHeight="1" x14ac:dyDescent="0.25"/>
    <row r="29" spans="1:8" s="275" customFormat="1" ht="12.75" customHeight="1" x14ac:dyDescent="0.25"/>
    <row r="30" spans="1:8" s="275" customFormat="1" ht="12.75" customHeight="1" x14ac:dyDescent="0.25"/>
    <row r="31" spans="1:8" s="275" customFormat="1" ht="12.75" customHeight="1" x14ac:dyDescent="0.25"/>
    <row r="32" spans="1:8" s="275" customFormat="1" ht="12.75" customHeight="1" x14ac:dyDescent="0.25"/>
    <row r="33" s="275" customFormat="1" ht="12.75" customHeight="1" x14ac:dyDescent="0.25"/>
    <row r="34" s="275" customFormat="1" ht="12.75" customHeight="1" x14ac:dyDescent="0.25"/>
    <row r="35" s="275" customFormat="1" ht="12.75" customHeight="1" x14ac:dyDescent="0.25"/>
    <row r="36" s="275" customFormat="1" ht="12.75" customHeight="1" x14ac:dyDescent="0.25"/>
    <row r="37" s="275" customFormat="1" ht="12.75" customHeight="1" x14ac:dyDescent="0.25"/>
    <row r="38" s="275" customFormat="1" ht="12.75" customHeight="1" x14ac:dyDescent="0.25"/>
    <row r="39" s="275" customFormat="1" ht="12.75" customHeight="1" x14ac:dyDescent="0.25"/>
    <row r="40" s="275" customFormat="1" ht="12.75" customHeight="1" x14ac:dyDescent="0.25"/>
    <row r="41" s="275" customFormat="1" ht="12.75" customHeight="1" x14ac:dyDescent="0.25"/>
    <row r="42" s="275" customFormat="1" ht="12.75" customHeight="1" x14ac:dyDescent="0.25"/>
    <row r="43" s="275" customFormat="1" ht="12.75" customHeight="1" x14ac:dyDescent="0.25"/>
    <row r="44" s="275" customFormat="1" ht="12.75" customHeight="1" x14ac:dyDescent="0.25"/>
    <row r="45" s="275" customFormat="1" ht="12.75" customHeight="1" x14ac:dyDescent="0.25"/>
    <row r="46" s="275" customFormat="1" ht="12.75" customHeight="1" x14ac:dyDescent="0.25"/>
    <row r="47" s="275" customFormat="1" ht="12.75" customHeight="1" x14ac:dyDescent="0.25"/>
    <row r="48" s="275" customFormat="1" ht="12.75" customHeight="1" x14ac:dyDescent="0.25"/>
    <row r="49" s="275" customFormat="1" ht="12.75" customHeight="1" x14ac:dyDescent="0.25"/>
    <row r="50" s="275" customFormat="1" ht="12.75" customHeight="1" x14ac:dyDescent="0.25"/>
    <row r="51" s="275" customFormat="1" ht="12.75" customHeight="1" x14ac:dyDescent="0.25"/>
    <row r="52" s="275" customFormat="1" ht="12.75" customHeight="1" x14ac:dyDescent="0.25"/>
    <row r="53" s="275" customFormat="1" ht="12.75" customHeight="1" x14ac:dyDescent="0.25"/>
    <row r="54" s="275" customFormat="1" ht="12.75" customHeight="1" x14ac:dyDescent="0.25"/>
    <row r="55" s="275" customFormat="1" ht="12.75" customHeight="1" x14ac:dyDescent="0.25"/>
    <row r="56" s="275" customFormat="1" ht="12.75" customHeight="1" x14ac:dyDescent="0.25"/>
    <row r="57" s="275" customFormat="1" ht="12.75" customHeight="1" x14ac:dyDescent="0.25"/>
    <row r="58" s="275" customFormat="1" ht="12.75" customHeight="1" x14ac:dyDescent="0.25"/>
    <row r="59" s="275" customFormat="1" ht="12.75" customHeight="1" x14ac:dyDescent="0.25"/>
    <row r="60" s="275" customFormat="1" ht="12.75" customHeight="1" x14ac:dyDescent="0.25"/>
    <row r="61" s="275" customFormat="1" ht="12.75" customHeight="1" x14ac:dyDescent="0.25"/>
    <row r="62" s="275" customFormat="1" ht="12.75" customHeight="1" x14ac:dyDescent="0.25"/>
    <row r="63" s="275" customFormat="1" ht="12.75" customHeight="1" x14ac:dyDescent="0.25"/>
    <row r="64" s="275" customFormat="1" ht="12.75" customHeight="1" x14ac:dyDescent="0.25"/>
    <row r="65" s="275" customFormat="1" ht="12.75" customHeight="1" x14ac:dyDescent="0.25"/>
    <row r="66" s="275" customFormat="1" ht="12.75" customHeight="1" x14ac:dyDescent="0.25"/>
    <row r="67" s="275" customFormat="1" ht="12.75" customHeight="1" x14ac:dyDescent="0.25"/>
    <row r="68" s="275" customFormat="1" ht="12.75" customHeight="1" x14ac:dyDescent="0.25"/>
    <row r="69" s="275" customFormat="1" ht="12.75" customHeight="1" x14ac:dyDescent="0.25"/>
    <row r="70" s="275" customFormat="1" ht="12.75" customHeight="1" x14ac:dyDescent="0.25"/>
    <row r="71" s="275" customFormat="1" ht="12.75" customHeight="1" x14ac:dyDescent="0.25"/>
    <row r="72" s="275" customFormat="1" ht="12.75" customHeight="1" x14ac:dyDescent="0.25"/>
    <row r="73" s="275" customFormat="1" ht="12.75" customHeight="1" x14ac:dyDescent="0.25"/>
    <row r="74" s="275" customFormat="1" ht="12.75" customHeight="1" x14ac:dyDescent="0.25"/>
    <row r="75" s="275" customFormat="1" ht="12.75" customHeight="1" x14ac:dyDescent="0.25"/>
    <row r="76" s="275" customFormat="1" ht="12.75" customHeight="1" x14ac:dyDescent="0.25"/>
    <row r="77" s="275" customFormat="1" ht="12.75" customHeight="1" x14ac:dyDescent="0.25"/>
    <row r="78" s="275" customFormat="1" ht="12.75" customHeight="1" x14ac:dyDescent="0.25"/>
    <row r="79" s="275" customFormat="1" ht="12.75" customHeight="1" x14ac:dyDescent="0.25"/>
    <row r="80" s="275" customFormat="1" ht="12.75" customHeight="1" x14ac:dyDescent="0.25"/>
    <row r="81" s="275" customFormat="1" ht="12.75" customHeight="1" x14ac:dyDescent="0.25"/>
    <row r="82" s="275" customFormat="1" ht="12.75" customHeight="1" x14ac:dyDescent="0.25"/>
    <row r="83" s="275" customFormat="1" ht="12.75" customHeight="1" x14ac:dyDescent="0.25"/>
    <row r="84" s="275" customFormat="1" ht="12.75" customHeight="1" x14ac:dyDescent="0.25"/>
    <row r="85" s="275" customFormat="1" ht="12.75" customHeight="1" x14ac:dyDescent="0.25"/>
    <row r="86" s="275" customFormat="1" ht="12.75" customHeight="1" x14ac:dyDescent="0.25"/>
    <row r="87" s="275" customFormat="1" ht="12.75" customHeight="1" x14ac:dyDescent="0.25"/>
    <row r="88" s="275" customFormat="1" ht="12.75" customHeight="1" x14ac:dyDescent="0.25"/>
    <row r="89" s="275" customFormat="1" ht="12.75" customHeight="1" x14ac:dyDescent="0.25"/>
    <row r="90" s="275" customFormat="1" ht="12.75" customHeight="1" x14ac:dyDescent="0.25"/>
    <row r="91" s="275" customFormat="1" ht="12.75" customHeight="1" x14ac:dyDescent="0.25"/>
    <row r="92" s="275" customFormat="1" ht="12.75" customHeight="1" x14ac:dyDescent="0.25"/>
    <row r="93" s="275" customFormat="1" ht="12.75" customHeight="1" x14ac:dyDescent="0.25"/>
    <row r="94" s="275" customFormat="1" ht="12.75" customHeight="1" x14ac:dyDescent="0.25"/>
    <row r="95" s="275" customFormat="1" ht="12.75" customHeight="1" x14ac:dyDescent="0.25"/>
    <row r="96" s="275" customFormat="1" ht="12.75" customHeight="1" x14ac:dyDescent="0.25"/>
    <row r="97" s="275" customFormat="1" ht="12.75" customHeight="1" x14ac:dyDescent="0.25"/>
    <row r="98" s="275" customFormat="1" ht="12.75" customHeight="1" x14ac:dyDescent="0.25"/>
    <row r="99" s="275" customFormat="1" ht="12.75" customHeight="1" x14ac:dyDescent="0.25"/>
    <row r="100" s="275" customFormat="1" ht="12.75" customHeight="1" x14ac:dyDescent="0.25"/>
    <row r="101" s="275" customFormat="1" ht="12.75" customHeight="1" x14ac:dyDescent="0.25"/>
    <row r="102" s="275" customFormat="1" ht="12.75" customHeight="1" x14ac:dyDescent="0.25"/>
    <row r="103" s="275" customFormat="1" ht="12.75" customHeight="1" x14ac:dyDescent="0.25"/>
    <row r="104" s="275" customFormat="1" ht="12.75" customHeight="1" x14ac:dyDescent="0.25"/>
    <row r="105" s="275"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D650-BAB1-4082-8290-F875D9F2D331}">
  <sheetPr>
    <pageSetUpPr fitToPage="1"/>
  </sheetPr>
  <dimension ref="A1:J32"/>
  <sheetViews>
    <sheetView zoomScaleNormal="100" workbookViewId="0">
      <selection activeCell="F33" sqref="F3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10" ht="24.75" customHeight="1" x14ac:dyDescent="0.25">
      <c r="A1" s="2" t="str">
        <f>'RECAP #9491.00'!B1</f>
        <v>DOC 7 JD RTU #2 Replacement</v>
      </c>
      <c r="B1" s="3"/>
      <c r="C1" s="4"/>
      <c r="D1" s="4"/>
      <c r="E1" s="4"/>
      <c r="F1" s="33"/>
      <c r="G1" s="33"/>
      <c r="H1" s="34"/>
      <c r="I1" s="34"/>
      <c r="J1" s="34"/>
    </row>
    <row r="2" spans="1:10" ht="15.75" x14ac:dyDescent="0.25">
      <c r="A2" s="6" t="str">
        <f>'RECAP #9491.00'!B2</f>
        <v>Project # 9491.00</v>
      </c>
      <c r="B2" s="5"/>
      <c r="C2" s="4"/>
      <c r="D2" s="4"/>
      <c r="E2" s="4"/>
      <c r="F2" s="33"/>
      <c r="G2" s="33"/>
      <c r="H2" s="34"/>
      <c r="I2" s="34"/>
      <c r="J2" s="34"/>
    </row>
    <row r="3" spans="1:10" ht="15.75" x14ac:dyDescent="0.25">
      <c r="A3" s="7" t="str">
        <f>'RECAP #9491.00'!B3</f>
        <v>Program code 949100</v>
      </c>
      <c r="B3" s="5"/>
      <c r="C3" s="4"/>
      <c r="D3" s="8" t="str">
        <f>'RECAP #9491.00'!E3</f>
        <v>Major Program 4B01</v>
      </c>
      <c r="E3" s="4"/>
      <c r="F3" s="33"/>
      <c r="G3" s="33"/>
      <c r="H3" s="34"/>
      <c r="I3" s="34"/>
      <c r="J3" s="34"/>
    </row>
    <row r="4" spans="1:10" ht="15.75" x14ac:dyDescent="0.25">
      <c r="A4" s="35" t="s">
        <v>303</v>
      </c>
      <c r="B4" s="36"/>
      <c r="C4" s="37"/>
      <c r="D4" s="38" t="s">
        <v>304</v>
      </c>
      <c r="E4" s="39"/>
      <c r="F4" s="33"/>
      <c r="G4" s="33"/>
      <c r="H4" s="34"/>
      <c r="I4" s="34"/>
      <c r="J4" s="34"/>
    </row>
    <row r="5" spans="1:10" ht="15.75" x14ac:dyDescent="0.25">
      <c r="A5" s="40" t="s">
        <v>117</v>
      </c>
      <c r="B5" s="41"/>
      <c r="C5" s="42"/>
      <c r="D5" s="43" t="s">
        <v>305</v>
      </c>
      <c r="E5" s="44"/>
      <c r="F5" s="45"/>
      <c r="G5" s="46"/>
      <c r="H5" s="41"/>
      <c r="I5" s="34"/>
      <c r="J5" s="34"/>
    </row>
    <row r="6" spans="1:10" ht="15.75" x14ac:dyDescent="0.25">
      <c r="A6" s="13" t="str">
        <f>'RECAP #9491.00'!B6</f>
        <v>Project Manager - Oliver Shimp</v>
      </c>
      <c r="B6" s="11"/>
      <c r="C6" s="47"/>
      <c r="D6" s="48" t="s">
        <v>120</v>
      </c>
      <c r="E6" s="49"/>
      <c r="F6" s="50"/>
      <c r="G6" s="46"/>
      <c r="H6" s="41"/>
      <c r="I6" s="34"/>
      <c r="J6" s="34"/>
    </row>
    <row r="7" spans="1:10" ht="15.75" x14ac:dyDescent="0.25">
      <c r="A7" s="34"/>
      <c r="B7" s="51"/>
      <c r="C7" s="51"/>
      <c r="D7" s="34"/>
      <c r="E7" s="52"/>
      <c r="F7" s="53"/>
      <c r="G7" s="46"/>
      <c r="H7" s="41"/>
      <c r="I7" s="34" t="s">
        <v>2</v>
      </c>
      <c r="J7" s="34"/>
    </row>
    <row r="8" spans="1:10" ht="32.25" thickBot="1" x14ac:dyDescent="0.3">
      <c r="A8" s="54" t="s">
        <v>16</v>
      </c>
      <c r="B8" s="55" t="s">
        <v>17</v>
      </c>
      <c r="C8" s="56" t="s">
        <v>18</v>
      </c>
      <c r="D8" s="57" t="s">
        <v>19</v>
      </c>
      <c r="E8" s="57" t="s">
        <v>20</v>
      </c>
      <c r="F8" s="57" t="s">
        <v>21</v>
      </c>
      <c r="G8" s="57" t="s">
        <v>22</v>
      </c>
      <c r="H8" s="57" t="s">
        <v>23</v>
      </c>
      <c r="I8" s="34"/>
      <c r="J8" s="34"/>
    </row>
    <row r="9" spans="1:10" s="275" customFormat="1" ht="12.75" customHeight="1" x14ac:dyDescent="0.25">
      <c r="A9" s="286" t="s">
        <v>306</v>
      </c>
      <c r="B9" s="287">
        <v>45953</v>
      </c>
      <c r="C9" s="288" t="s">
        <v>111</v>
      </c>
      <c r="D9" s="289">
        <v>17675</v>
      </c>
      <c r="E9" s="290">
        <f>D9</f>
        <v>17675</v>
      </c>
      <c r="F9" s="291"/>
      <c r="G9" s="291"/>
      <c r="H9" s="291">
        <f>E9</f>
        <v>17675</v>
      </c>
      <c r="I9" s="292"/>
      <c r="J9" s="292" t="s">
        <v>309</v>
      </c>
    </row>
    <row r="10" spans="1:10" s="275" customFormat="1" ht="12.75" customHeight="1" x14ac:dyDescent="0.25">
      <c r="A10" s="286" t="s">
        <v>387</v>
      </c>
      <c r="B10" s="293">
        <v>46020</v>
      </c>
      <c r="C10" s="288" t="s">
        <v>388</v>
      </c>
      <c r="D10" s="290"/>
      <c r="E10" s="290">
        <f t="shared" ref="E10:E21" si="0">E9+D10</f>
        <v>17675</v>
      </c>
      <c r="F10" s="294">
        <v>4775</v>
      </c>
      <c r="G10" s="291">
        <f t="shared" ref="G10:G21" si="1">G9+F10</f>
        <v>4775</v>
      </c>
      <c r="H10" s="291">
        <f t="shared" ref="H10:H21" si="2">H9-F10+D10</f>
        <v>12900</v>
      </c>
      <c r="I10" s="292"/>
      <c r="J10" s="292"/>
    </row>
    <row r="11" spans="1:10" s="275" customFormat="1" ht="12.75" customHeight="1" x14ac:dyDescent="0.25">
      <c r="A11" s="286" t="s">
        <v>717</v>
      </c>
      <c r="B11" s="287">
        <v>46104</v>
      </c>
      <c r="C11" s="288" t="s">
        <v>718</v>
      </c>
      <c r="D11" s="290"/>
      <c r="E11" s="290">
        <f t="shared" si="0"/>
        <v>17675</v>
      </c>
      <c r="F11" s="294">
        <v>5900</v>
      </c>
      <c r="G11" s="291">
        <f t="shared" si="1"/>
        <v>10675</v>
      </c>
      <c r="H11" s="291">
        <f t="shared" si="2"/>
        <v>7000</v>
      </c>
      <c r="I11" s="292"/>
      <c r="J11" s="292"/>
    </row>
    <row r="12" spans="1:10" s="275" customFormat="1" ht="12.75" customHeight="1" x14ac:dyDescent="0.25">
      <c r="A12" s="286"/>
      <c r="B12" s="287"/>
      <c r="C12" s="288"/>
      <c r="D12" s="290"/>
      <c r="E12" s="290">
        <f t="shared" si="0"/>
        <v>17675</v>
      </c>
      <c r="F12" s="295"/>
      <c r="G12" s="291">
        <f t="shared" si="1"/>
        <v>10675</v>
      </c>
      <c r="H12" s="291">
        <f t="shared" si="2"/>
        <v>7000</v>
      </c>
      <c r="I12" s="292"/>
      <c r="J12" s="292"/>
    </row>
    <row r="13" spans="1:10" s="275" customFormat="1" ht="12.75" customHeight="1" x14ac:dyDescent="0.25">
      <c r="A13" s="286"/>
      <c r="B13" s="287"/>
      <c r="C13" s="288"/>
      <c r="D13" s="290"/>
      <c r="E13" s="290">
        <f t="shared" si="0"/>
        <v>17675</v>
      </c>
      <c r="F13" s="295"/>
      <c r="G13" s="291">
        <f t="shared" si="1"/>
        <v>10675</v>
      </c>
      <c r="H13" s="291">
        <f t="shared" si="2"/>
        <v>7000</v>
      </c>
      <c r="I13" s="292"/>
      <c r="J13" s="292"/>
    </row>
    <row r="14" spans="1:10" s="275" customFormat="1" ht="12.75" customHeight="1" x14ac:dyDescent="0.25">
      <c r="A14" s="286"/>
      <c r="B14" s="287"/>
      <c r="C14" s="288"/>
      <c r="D14" s="290"/>
      <c r="E14" s="290">
        <f t="shared" si="0"/>
        <v>17675</v>
      </c>
      <c r="F14" s="291"/>
      <c r="G14" s="291">
        <f t="shared" si="1"/>
        <v>10675</v>
      </c>
      <c r="H14" s="291">
        <f t="shared" si="2"/>
        <v>7000</v>
      </c>
      <c r="I14" s="292"/>
      <c r="J14" s="292"/>
    </row>
    <row r="15" spans="1:10" s="275" customFormat="1" ht="12.75" customHeight="1" x14ac:dyDescent="0.25">
      <c r="A15" s="286"/>
      <c r="B15" s="287"/>
      <c r="C15" s="288"/>
      <c r="D15" s="290"/>
      <c r="E15" s="290">
        <f t="shared" si="0"/>
        <v>17675</v>
      </c>
      <c r="F15" s="295"/>
      <c r="G15" s="291">
        <f t="shared" si="1"/>
        <v>10675</v>
      </c>
      <c r="H15" s="291">
        <f t="shared" si="2"/>
        <v>7000</v>
      </c>
      <c r="I15" s="292"/>
      <c r="J15" s="292"/>
    </row>
    <row r="16" spans="1:10" s="275" customFormat="1" ht="12.75" customHeight="1" x14ac:dyDescent="0.25">
      <c r="A16" s="286"/>
      <c r="B16" s="287"/>
      <c r="C16" s="288"/>
      <c r="D16" s="290"/>
      <c r="E16" s="290">
        <f t="shared" si="0"/>
        <v>17675</v>
      </c>
      <c r="F16" s="295"/>
      <c r="G16" s="291">
        <f t="shared" si="1"/>
        <v>10675</v>
      </c>
      <c r="H16" s="291">
        <f t="shared" si="2"/>
        <v>7000</v>
      </c>
      <c r="I16" s="292"/>
      <c r="J16" s="292"/>
    </row>
    <row r="17" spans="1:10" s="275" customFormat="1" ht="12.75" customHeight="1" x14ac:dyDescent="0.25">
      <c r="A17" s="286"/>
      <c r="B17" s="287"/>
      <c r="C17" s="288"/>
      <c r="D17" s="290"/>
      <c r="E17" s="290">
        <f t="shared" si="0"/>
        <v>17675</v>
      </c>
      <c r="F17" s="295"/>
      <c r="G17" s="291">
        <f t="shared" si="1"/>
        <v>10675</v>
      </c>
      <c r="H17" s="291">
        <f t="shared" si="2"/>
        <v>7000</v>
      </c>
      <c r="I17" s="292"/>
      <c r="J17" s="292"/>
    </row>
    <row r="18" spans="1:10" s="275" customFormat="1" ht="12.75" customHeight="1" x14ac:dyDescent="0.25">
      <c r="A18" s="286"/>
      <c r="B18" s="287"/>
      <c r="C18" s="288"/>
      <c r="D18" s="290"/>
      <c r="E18" s="290">
        <f t="shared" si="0"/>
        <v>17675</v>
      </c>
      <c r="F18" s="295"/>
      <c r="G18" s="291">
        <f t="shared" si="1"/>
        <v>10675</v>
      </c>
      <c r="H18" s="291">
        <f t="shared" si="2"/>
        <v>7000</v>
      </c>
      <c r="I18" s="292"/>
      <c r="J18" s="292"/>
    </row>
    <row r="19" spans="1:10" s="275" customFormat="1" ht="12.75" customHeight="1" x14ac:dyDescent="0.25">
      <c r="A19" s="286"/>
      <c r="B19" s="287"/>
      <c r="C19" s="288"/>
      <c r="D19" s="290"/>
      <c r="E19" s="290">
        <f t="shared" si="0"/>
        <v>17675</v>
      </c>
      <c r="F19" s="291"/>
      <c r="G19" s="291">
        <f t="shared" si="1"/>
        <v>10675</v>
      </c>
      <c r="H19" s="291">
        <f t="shared" si="2"/>
        <v>7000</v>
      </c>
      <c r="I19" s="292"/>
      <c r="J19" s="292"/>
    </row>
    <row r="20" spans="1:10" s="275" customFormat="1" ht="12.75" customHeight="1" x14ac:dyDescent="0.25">
      <c r="A20" s="286"/>
      <c r="B20" s="287"/>
      <c r="C20" s="288"/>
      <c r="D20" s="290"/>
      <c r="E20" s="290">
        <f t="shared" si="0"/>
        <v>17675</v>
      </c>
      <c r="F20" s="291"/>
      <c r="G20" s="291">
        <f t="shared" si="1"/>
        <v>10675</v>
      </c>
      <c r="H20" s="291">
        <f t="shared" si="2"/>
        <v>7000</v>
      </c>
      <c r="I20" s="292"/>
      <c r="J20" s="292"/>
    </row>
    <row r="21" spans="1:10" s="275" customFormat="1" ht="12.75" customHeight="1" x14ac:dyDescent="0.25">
      <c r="A21" s="286"/>
      <c r="B21" s="287"/>
      <c r="C21" s="296"/>
      <c r="D21" s="290"/>
      <c r="E21" s="290">
        <f t="shared" si="0"/>
        <v>17675</v>
      </c>
      <c r="F21" s="291"/>
      <c r="G21" s="291">
        <f t="shared" si="1"/>
        <v>10675</v>
      </c>
      <c r="H21" s="291">
        <f t="shared" si="2"/>
        <v>7000</v>
      </c>
      <c r="I21" s="292"/>
      <c r="J21" s="292"/>
    </row>
    <row r="22" spans="1:10" s="275" customFormat="1" ht="12.75" customHeight="1" x14ac:dyDescent="0.25">
      <c r="A22" s="286"/>
      <c r="B22" s="288"/>
      <c r="C22" s="297"/>
      <c r="D22" s="291"/>
      <c r="E22" s="291"/>
      <c r="F22" s="291"/>
      <c r="G22" s="291"/>
      <c r="H22" s="291"/>
      <c r="I22" s="292"/>
      <c r="J22" s="292"/>
    </row>
    <row r="23" spans="1:10" s="275" customFormat="1" ht="12.75" customHeight="1" thickBot="1" x14ac:dyDescent="0.3">
      <c r="A23" s="286"/>
      <c r="B23" s="300"/>
      <c r="C23" s="301" t="s">
        <v>24</v>
      </c>
      <c r="D23" s="302">
        <f>SUM(D9:D22)</f>
        <v>17675</v>
      </c>
      <c r="E23" s="302"/>
      <c r="F23" s="302">
        <f>SUM(F9:F22)</f>
        <v>10675</v>
      </c>
      <c r="G23" s="302"/>
      <c r="H23" s="302">
        <f>D23-F23</f>
        <v>7000</v>
      </c>
      <c r="I23" s="292"/>
      <c r="J23" s="292"/>
    </row>
    <row r="24" spans="1:10" s="275" customFormat="1" ht="12.75" customHeight="1" thickTop="1" x14ac:dyDescent="0.25">
      <c r="A24" s="286"/>
      <c r="B24" s="288"/>
      <c r="C24" s="297"/>
      <c r="D24" s="291"/>
      <c r="E24" s="291"/>
      <c r="F24" s="291"/>
      <c r="G24" s="291"/>
      <c r="H24" s="291"/>
      <c r="I24" s="292"/>
      <c r="J24" s="292"/>
    </row>
    <row r="25" spans="1:10" s="275" customFormat="1" ht="12.75" customHeight="1" x14ac:dyDescent="0.25">
      <c r="A25" s="286"/>
      <c r="B25" s="288"/>
      <c r="C25" s="297"/>
      <c r="D25" s="291"/>
      <c r="E25" s="291"/>
      <c r="F25" s="291"/>
      <c r="G25" s="291"/>
      <c r="H25" s="291"/>
      <c r="I25" s="292"/>
      <c r="J25" s="292"/>
    </row>
    <row r="26" spans="1:10" s="275" customFormat="1" ht="12.75" customHeight="1" x14ac:dyDescent="0.25">
      <c r="A26" s="286"/>
      <c r="B26" s="288"/>
      <c r="C26" s="297" t="s">
        <v>307</v>
      </c>
      <c r="D26" s="291">
        <v>4775</v>
      </c>
      <c r="E26" s="291"/>
      <c r="F26" s="291">
        <f>4775</f>
        <v>4775</v>
      </c>
      <c r="G26" s="291"/>
      <c r="H26" s="291">
        <f>D26-F26</f>
        <v>0</v>
      </c>
      <c r="I26" s="292"/>
      <c r="J26" s="292"/>
    </row>
    <row r="27" spans="1:10" s="275" customFormat="1" ht="12.75" customHeight="1" x14ac:dyDescent="0.25">
      <c r="A27" s="286"/>
      <c r="B27" s="288"/>
      <c r="C27" s="297" t="s">
        <v>123</v>
      </c>
      <c r="D27" s="291">
        <v>5900</v>
      </c>
      <c r="E27" s="291"/>
      <c r="F27" s="291">
        <f>5900</f>
        <v>5900</v>
      </c>
      <c r="G27" s="291"/>
      <c r="H27" s="291">
        <f t="shared" ref="H27:H30" si="3">D27-F27</f>
        <v>0</v>
      </c>
      <c r="I27" s="292"/>
      <c r="J27" s="292"/>
    </row>
    <row r="28" spans="1:10" s="275" customFormat="1" ht="12.75" customHeight="1" x14ac:dyDescent="0.25">
      <c r="A28" s="286"/>
      <c r="B28" s="288"/>
      <c r="C28" s="297" t="s">
        <v>308</v>
      </c>
      <c r="D28" s="291">
        <v>1600</v>
      </c>
      <c r="E28" s="291"/>
      <c r="F28" s="291"/>
      <c r="G28" s="291"/>
      <c r="H28" s="291">
        <f t="shared" si="3"/>
        <v>1600</v>
      </c>
      <c r="I28" s="292"/>
      <c r="J28" s="292"/>
    </row>
    <row r="29" spans="1:10" s="275" customFormat="1" ht="12.75" customHeight="1" x14ac:dyDescent="0.25">
      <c r="A29" s="286"/>
      <c r="B29" s="288"/>
      <c r="C29" s="312" t="s">
        <v>125</v>
      </c>
      <c r="D29" s="313">
        <v>5400</v>
      </c>
      <c r="E29" s="313"/>
      <c r="F29" s="313"/>
      <c r="G29" s="313"/>
      <c r="H29" s="291">
        <f t="shared" si="3"/>
        <v>5400</v>
      </c>
      <c r="I29" s="292"/>
      <c r="J29" s="292"/>
    </row>
    <row r="30" spans="1:10" s="275" customFormat="1" ht="12.75" customHeight="1" x14ac:dyDescent="0.25">
      <c r="A30" s="286"/>
      <c r="B30" s="288"/>
      <c r="C30" s="312" t="s">
        <v>113</v>
      </c>
      <c r="D30" s="313">
        <v>0</v>
      </c>
      <c r="E30" s="313"/>
      <c r="F30" s="313"/>
      <c r="G30" s="313"/>
      <c r="H30" s="291">
        <f t="shared" si="3"/>
        <v>0</v>
      </c>
      <c r="I30" s="292"/>
      <c r="J30" s="292"/>
    </row>
    <row r="31" spans="1:10" s="275" customFormat="1" ht="12.75" customHeight="1" thickBot="1" x14ac:dyDescent="0.3">
      <c r="A31" s="286"/>
      <c r="B31" s="288"/>
      <c r="C31" s="314" t="s">
        <v>67</v>
      </c>
      <c r="D31" s="315">
        <f>SUM(D26:D30)</f>
        <v>17675</v>
      </c>
      <c r="E31" s="316"/>
      <c r="F31" s="315">
        <f>SUM(F26:F30)</f>
        <v>10675</v>
      </c>
      <c r="G31" s="316"/>
      <c r="H31" s="315">
        <f>SUM(H26:H30)</f>
        <v>7000</v>
      </c>
      <c r="I31" s="292"/>
      <c r="J31" s="292"/>
    </row>
    <row r="32" spans="1:10" s="275" customFormat="1" ht="12.75" customHeight="1" thickTop="1" x14ac:dyDescent="0.25"/>
  </sheetData>
  <conditionalFormatting sqref="I8:I23">
    <cfRule type="cellIs" dxfId="46" priority="1" operator="greaterThan">
      <formula>$H$23</formula>
    </cfRule>
  </conditionalFormatting>
  <pageMargins left="0.25" right="0.25" top="0.95" bottom="0.75" header="0.09" footer="0.3"/>
  <pageSetup scale="76" fitToHeight="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26627-4EDF-43C0-B247-6B85A922A60C}">
  <sheetPr>
    <pageSetUpPr fitToPage="1"/>
  </sheetPr>
  <dimension ref="A1:J32"/>
  <sheetViews>
    <sheetView zoomScaleNormal="100" workbookViewId="0">
      <selection activeCell="C30" sqref="C3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10" ht="24.75" customHeight="1" x14ac:dyDescent="0.25">
      <c r="A1" s="2" t="str">
        <f>'RECAP #9491.00'!B1</f>
        <v>DOC 7 JD RTU #2 Replacement</v>
      </c>
      <c r="B1" s="3"/>
      <c r="C1" s="4"/>
      <c r="D1" s="4"/>
      <c r="E1" s="4"/>
      <c r="F1" s="33"/>
      <c r="G1" s="33"/>
      <c r="H1" s="34"/>
      <c r="I1" s="34"/>
      <c r="J1" s="34"/>
    </row>
    <row r="2" spans="1:10" ht="15.75" x14ac:dyDescent="0.25">
      <c r="A2" s="6" t="str">
        <f>'RECAP #9491.00'!B2</f>
        <v>Project # 9491.00</v>
      </c>
      <c r="B2" s="5"/>
      <c r="C2" s="4"/>
      <c r="D2" s="4"/>
      <c r="E2" s="4"/>
      <c r="F2" s="33"/>
      <c r="G2" s="33"/>
      <c r="H2" s="34"/>
      <c r="I2" s="34"/>
      <c r="J2" s="34"/>
    </row>
    <row r="3" spans="1:10" ht="15.75" x14ac:dyDescent="0.25">
      <c r="A3" s="7" t="str">
        <f>'RECAP #9491.00'!B3</f>
        <v>Program code 949100</v>
      </c>
      <c r="B3" s="5"/>
      <c r="C3" s="4"/>
      <c r="D3" s="8" t="str">
        <f>'RECAP #9491.00'!E3</f>
        <v>Major Program 4B01</v>
      </c>
      <c r="E3" s="4"/>
      <c r="F3" s="33"/>
      <c r="G3" s="33"/>
      <c r="H3" s="34"/>
      <c r="I3" s="34"/>
      <c r="J3" s="34"/>
    </row>
    <row r="4" spans="1:10" ht="15.75" x14ac:dyDescent="0.25">
      <c r="A4" s="35" t="s">
        <v>613</v>
      </c>
      <c r="B4" s="36"/>
      <c r="C4" s="37"/>
      <c r="D4" s="38" t="s">
        <v>614</v>
      </c>
      <c r="E4" s="39"/>
      <c r="F4" s="33"/>
      <c r="G4" s="33"/>
      <c r="H4" s="34"/>
      <c r="I4" s="34"/>
      <c r="J4" s="34"/>
    </row>
    <row r="5" spans="1:10" ht="15.75" x14ac:dyDescent="0.25">
      <c r="A5" s="40" t="s">
        <v>106</v>
      </c>
      <c r="B5" s="41"/>
      <c r="C5" s="42"/>
      <c r="D5" s="43" t="s">
        <v>615</v>
      </c>
      <c r="E5" s="44"/>
      <c r="F5" s="45"/>
      <c r="G5" s="46"/>
      <c r="H5" s="41"/>
      <c r="I5" s="34"/>
      <c r="J5" s="34"/>
    </row>
    <row r="6" spans="1:10" ht="15.75" x14ac:dyDescent="0.25">
      <c r="A6" s="13" t="str">
        <f>'RECAP #9491.00'!B6</f>
        <v>Project Manager - Oliver Shimp</v>
      </c>
      <c r="B6" s="11"/>
      <c r="C6" s="47"/>
      <c r="D6" s="48" t="s">
        <v>395</v>
      </c>
      <c r="E6" s="49"/>
      <c r="F6" s="50"/>
      <c r="G6" s="46"/>
      <c r="H6" s="41"/>
      <c r="I6" s="34"/>
      <c r="J6" s="34"/>
    </row>
    <row r="7" spans="1:10" ht="15.75" x14ac:dyDescent="0.25">
      <c r="A7" s="34"/>
      <c r="B7" s="51"/>
      <c r="C7" s="51"/>
      <c r="D7" s="34"/>
      <c r="E7" s="52"/>
      <c r="F7" s="53"/>
      <c r="G7" s="46"/>
      <c r="H7" s="41"/>
      <c r="I7" s="34" t="s">
        <v>2</v>
      </c>
      <c r="J7" s="34"/>
    </row>
    <row r="8" spans="1:10" ht="32.25" thickBot="1" x14ac:dyDescent="0.3">
      <c r="A8" s="54" t="s">
        <v>16</v>
      </c>
      <c r="B8" s="55" t="s">
        <v>17</v>
      </c>
      <c r="C8" s="56" t="s">
        <v>18</v>
      </c>
      <c r="D8" s="57" t="s">
        <v>19</v>
      </c>
      <c r="E8" s="57" t="s">
        <v>20</v>
      </c>
      <c r="F8" s="57" t="s">
        <v>21</v>
      </c>
      <c r="G8" s="57" t="s">
        <v>22</v>
      </c>
      <c r="H8" s="57" t="s">
        <v>23</v>
      </c>
      <c r="I8" s="34"/>
      <c r="J8" s="34"/>
    </row>
    <row r="9" spans="1:10" s="275" customFormat="1" ht="12.75" customHeight="1" x14ac:dyDescent="0.25">
      <c r="A9" s="286" t="s">
        <v>616</v>
      </c>
      <c r="B9" s="287">
        <v>46079</v>
      </c>
      <c r="C9" s="288" t="s">
        <v>111</v>
      </c>
      <c r="D9" s="289">
        <v>203524</v>
      </c>
      <c r="E9" s="290">
        <f>D9</f>
        <v>203524</v>
      </c>
      <c r="F9" s="291"/>
      <c r="G9" s="291"/>
      <c r="H9" s="291">
        <f>E9</f>
        <v>203524</v>
      </c>
      <c r="I9" s="292"/>
      <c r="J9" s="292" t="s">
        <v>309</v>
      </c>
    </row>
    <row r="10" spans="1:10" s="275" customFormat="1" ht="12.75" customHeight="1" x14ac:dyDescent="0.25">
      <c r="A10" s="286"/>
      <c r="B10" s="293"/>
      <c r="C10" s="288"/>
      <c r="D10" s="290"/>
      <c r="E10" s="290">
        <f t="shared" ref="E10:E21" si="0">E9+D10</f>
        <v>203524</v>
      </c>
      <c r="F10" s="294"/>
      <c r="G10" s="291">
        <f t="shared" ref="G10:G21" si="1">G9+F10</f>
        <v>0</v>
      </c>
      <c r="H10" s="291">
        <f t="shared" ref="H10:H21" si="2">H9-F10+D10</f>
        <v>203524</v>
      </c>
      <c r="I10" s="292"/>
      <c r="J10" s="292"/>
    </row>
    <row r="11" spans="1:10" s="275" customFormat="1" ht="12.75" customHeight="1" x14ac:dyDescent="0.25">
      <c r="A11" s="286"/>
      <c r="B11" s="287"/>
      <c r="C11" s="288"/>
      <c r="D11" s="290"/>
      <c r="E11" s="290">
        <f t="shared" si="0"/>
        <v>203524</v>
      </c>
      <c r="F11" s="295"/>
      <c r="G11" s="291">
        <f t="shared" si="1"/>
        <v>0</v>
      </c>
      <c r="H11" s="291">
        <f t="shared" si="2"/>
        <v>203524</v>
      </c>
      <c r="I11" s="292"/>
      <c r="J11" s="292"/>
    </row>
    <row r="12" spans="1:10" s="275" customFormat="1" ht="12.75" customHeight="1" x14ac:dyDescent="0.25">
      <c r="A12" s="286"/>
      <c r="B12" s="287"/>
      <c r="C12" s="288"/>
      <c r="D12" s="290"/>
      <c r="E12" s="290">
        <f t="shared" si="0"/>
        <v>203524</v>
      </c>
      <c r="F12" s="295"/>
      <c r="G12" s="291">
        <f t="shared" si="1"/>
        <v>0</v>
      </c>
      <c r="H12" s="291">
        <f t="shared" si="2"/>
        <v>203524</v>
      </c>
      <c r="I12" s="292"/>
      <c r="J12" s="292"/>
    </row>
    <row r="13" spans="1:10" s="275" customFormat="1" ht="12.75" customHeight="1" x14ac:dyDescent="0.25">
      <c r="A13" s="286"/>
      <c r="B13" s="287"/>
      <c r="C13" s="288"/>
      <c r="D13" s="290"/>
      <c r="E13" s="290">
        <f t="shared" si="0"/>
        <v>203524</v>
      </c>
      <c r="F13" s="295"/>
      <c r="G13" s="291">
        <f t="shared" si="1"/>
        <v>0</v>
      </c>
      <c r="H13" s="291">
        <f t="shared" si="2"/>
        <v>203524</v>
      </c>
      <c r="I13" s="292"/>
      <c r="J13" s="292"/>
    </row>
    <row r="14" spans="1:10" s="275" customFormat="1" ht="12.75" customHeight="1" x14ac:dyDescent="0.25">
      <c r="A14" s="286"/>
      <c r="B14" s="287"/>
      <c r="C14" s="288"/>
      <c r="D14" s="290"/>
      <c r="E14" s="290">
        <f t="shared" si="0"/>
        <v>203524</v>
      </c>
      <c r="F14" s="291"/>
      <c r="G14" s="291">
        <f t="shared" si="1"/>
        <v>0</v>
      </c>
      <c r="H14" s="291">
        <f t="shared" si="2"/>
        <v>203524</v>
      </c>
      <c r="I14" s="292"/>
      <c r="J14" s="292"/>
    </row>
    <row r="15" spans="1:10" s="275" customFormat="1" ht="12.75" customHeight="1" x14ac:dyDescent="0.25">
      <c r="A15" s="286"/>
      <c r="B15" s="287"/>
      <c r="C15" s="288"/>
      <c r="D15" s="290"/>
      <c r="E15" s="290">
        <f t="shared" si="0"/>
        <v>203524</v>
      </c>
      <c r="F15" s="295"/>
      <c r="G15" s="291">
        <f t="shared" si="1"/>
        <v>0</v>
      </c>
      <c r="H15" s="291">
        <f t="shared" si="2"/>
        <v>203524</v>
      </c>
      <c r="I15" s="292"/>
      <c r="J15" s="292"/>
    </row>
    <row r="16" spans="1:10" s="275" customFormat="1" ht="12.75" customHeight="1" x14ac:dyDescent="0.25">
      <c r="A16" s="286"/>
      <c r="B16" s="287"/>
      <c r="C16" s="288"/>
      <c r="D16" s="290"/>
      <c r="E16" s="290">
        <f t="shared" si="0"/>
        <v>203524</v>
      </c>
      <c r="F16" s="295"/>
      <c r="G16" s="291">
        <f t="shared" si="1"/>
        <v>0</v>
      </c>
      <c r="H16" s="291">
        <f t="shared" si="2"/>
        <v>203524</v>
      </c>
      <c r="I16" s="292"/>
      <c r="J16" s="292"/>
    </row>
    <row r="17" spans="1:10" s="275" customFormat="1" ht="12.75" customHeight="1" x14ac:dyDescent="0.25">
      <c r="A17" s="286"/>
      <c r="B17" s="287"/>
      <c r="C17" s="288"/>
      <c r="D17" s="290"/>
      <c r="E17" s="290">
        <f t="shared" si="0"/>
        <v>203524</v>
      </c>
      <c r="F17" s="295"/>
      <c r="G17" s="291">
        <f t="shared" si="1"/>
        <v>0</v>
      </c>
      <c r="H17" s="291">
        <f t="shared" si="2"/>
        <v>203524</v>
      </c>
      <c r="I17" s="292"/>
      <c r="J17" s="292"/>
    </row>
    <row r="18" spans="1:10" s="275" customFormat="1" ht="12.75" customHeight="1" x14ac:dyDescent="0.25">
      <c r="A18" s="286"/>
      <c r="B18" s="287"/>
      <c r="C18" s="288"/>
      <c r="D18" s="290"/>
      <c r="E18" s="290">
        <f t="shared" si="0"/>
        <v>203524</v>
      </c>
      <c r="F18" s="295"/>
      <c r="G18" s="291">
        <f t="shared" si="1"/>
        <v>0</v>
      </c>
      <c r="H18" s="291">
        <f t="shared" si="2"/>
        <v>203524</v>
      </c>
      <c r="I18" s="292"/>
      <c r="J18" s="292"/>
    </row>
    <row r="19" spans="1:10" s="275" customFormat="1" ht="12.75" customHeight="1" x14ac:dyDescent="0.25">
      <c r="A19" s="286"/>
      <c r="B19" s="287"/>
      <c r="C19" s="288"/>
      <c r="D19" s="290"/>
      <c r="E19" s="290">
        <f t="shared" si="0"/>
        <v>203524</v>
      </c>
      <c r="F19" s="291"/>
      <c r="G19" s="291">
        <f t="shared" si="1"/>
        <v>0</v>
      </c>
      <c r="H19" s="291">
        <f t="shared" si="2"/>
        <v>203524</v>
      </c>
      <c r="I19" s="292"/>
      <c r="J19" s="292"/>
    </row>
    <row r="20" spans="1:10" s="275" customFormat="1" ht="12.75" customHeight="1" x14ac:dyDescent="0.25">
      <c r="A20" s="286"/>
      <c r="B20" s="287"/>
      <c r="C20" s="288"/>
      <c r="D20" s="290"/>
      <c r="E20" s="290">
        <f t="shared" si="0"/>
        <v>203524</v>
      </c>
      <c r="F20" s="291"/>
      <c r="G20" s="291">
        <f t="shared" si="1"/>
        <v>0</v>
      </c>
      <c r="H20" s="291">
        <f t="shared" si="2"/>
        <v>203524</v>
      </c>
      <c r="I20" s="292"/>
      <c r="J20" s="292"/>
    </row>
    <row r="21" spans="1:10" s="275" customFormat="1" ht="12.75" customHeight="1" x14ac:dyDescent="0.25">
      <c r="A21" s="286"/>
      <c r="B21" s="287"/>
      <c r="C21" s="296"/>
      <c r="D21" s="290"/>
      <c r="E21" s="290">
        <f t="shared" si="0"/>
        <v>203524</v>
      </c>
      <c r="F21" s="291"/>
      <c r="G21" s="291">
        <f t="shared" si="1"/>
        <v>0</v>
      </c>
      <c r="H21" s="291">
        <f t="shared" si="2"/>
        <v>203524</v>
      </c>
      <c r="I21" s="292"/>
      <c r="J21" s="292"/>
    </row>
    <row r="22" spans="1:10" s="275" customFormat="1" ht="12.75" customHeight="1" x14ac:dyDescent="0.25">
      <c r="A22" s="286"/>
      <c r="B22" s="288"/>
      <c r="C22" s="297"/>
      <c r="D22" s="291"/>
      <c r="E22" s="291"/>
      <c r="F22" s="291"/>
      <c r="G22" s="291"/>
      <c r="H22" s="291"/>
      <c r="I22" s="292"/>
      <c r="J22" s="292"/>
    </row>
    <row r="23" spans="1:10" s="275" customFormat="1" ht="12.75" customHeight="1" thickBot="1" x14ac:dyDescent="0.3">
      <c r="A23" s="286"/>
      <c r="B23" s="300"/>
      <c r="C23" s="301" t="s">
        <v>24</v>
      </c>
      <c r="D23" s="302">
        <f>SUM(D9:D22)</f>
        <v>203524</v>
      </c>
      <c r="E23" s="302"/>
      <c r="F23" s="302">
        <f>SUM(F9:F22)</f>
        <v>0</v>
      </c>
      <c r="G23" s="302"/>
      <c r="H23" s="302">
        <f>D23-F23</f>
        <v>203524</v>
      </c>
      <c r="I23" s="292"/>
      <c r="J23" s="292"/>
    </row>
    <row r="24" spans="1:10" s="275" customFormat="1" ht="12.75" customHeight="1" thickTop="1" x14ac:dyDescent="0.25">
      <c r="A24" s="286"/>
      <c r="B24" s="288"/>
      <c r="C24" s="297"/>
      <c r="D24" s="291"/>
      <c r="E24" s="291"/>
      <c r="F24" s="291"/>
      <c r="G24" s="291"/>
      <c r="H24" s="291"/>
      <c r="I24" s="292"/>
      <c r="J24" s="292"/>
    </row>
    <row r="25" spans="1:10" s="275" customFormat="1" ht="12.75" customHeight="1" x14ac:dyDescent="0.25">
      <c r="A25" s="286"/>
      <c r="B25" s="288"/>
      <c r="C25" s="297"/>
      <c r="D25" s="291"/>
      <c r="E25" s="291"/>
      <c r="F25" s="291"/>
      <c r="G25" s="291"/>
      <c r="H25" s="291"/>
      <c r="I25" s="292"/>
      <c r="J25" s="292"/>
    </row>
    <row r="26" spans="1:10" s="275" customFormat="1" ht="12.75" customHeight="1" x14ac:dyDescent="0.25">
      <c r="A26" s="286"/>
      <c r="B26" s="377"/>
      <c r="C26" s="342"/>
      <c r="D26" s="343"/>
      <c r="E26" s="343"/>
      <c r="F26" s="343"/>
      <c r="G26" s="343"/>
      <c r="H26" s="343"/>
      <c r="I26" s="373"/>
      <c r="J26" s="292"/>
    </row>
    <row r="27" spans="1:10" s="275" customFormat="1" ht="12.75" customHeight="1" x14ac:dyDescent="0.25">
      <c r="A27" s="286"/>
      <c r="B27" s="377"/>
      <c r="C27" s="342"/>
      <c r="D27" s="343"/>
      <c r="E27" s="343"/>
      <c r="F27" s="343"/>
      <c r="G27" s="343"/>
      <c r="H27" s="343"/>
      <c r="I27" s="373"/>
      <c r="J27" s="292"/>
    </row>
    <row r="28" spans="1:10" s="275" customFormat="1" ht="12.75" customHeight="1" x14ac:dyDescent="0.25">
      <c r="A28" s="286"/>
      <c r="B28" s="377"/>
      <c r="C28" s="342"/>
      <c r="D28" s="343"/>
      <c r="E28" s="343"/>
      <c r="F28" s="343"/>
      <c r="G28" s="343"/>
      <c r="H28" s="343"/>
      <c r="I28" s="373"/>
      <c r="J28" s="292"/>
    </row>
    <row r="29" spans="1:10" s="275" customFormat="1" ht="12.75" customHeight="1" x14ac:dyDescent="0.25">
      <c r="A29" s="286"/>
      <c r="B29" s="377"/>
      <c r="C29" s="344"/>
      <c r="D29" s="345"/>
      <c r="E29" s="345"/>
      <c r="F29" s="345"/>
      <c r="G29" s="345"/>
      <c r="H29" s="343"/>
      <c r="I29" s="373"/>
      <c r="J29" s="292"/>
    </row>
    <row r="30" spans="1:10" s="275" customFormat="1" ht="12.75" customHeight="1" x14ac:dyDescent="0.25">
      <c r="A30" s="286"/>
      <c r="B30" s="377"/>
      <c r="C30" s="344"/>
      <c r="D30" s="345"/>
      <c r="E30" s="345"/>
      <c r="F30" s="345"/>
      <c r="G30" s="345"/>
      <c r="H30" s="343"/>
      <c r="I30" s="373"/>
      <c r="J30" s="292"/>
    </row>
    <row r="31" spans="1:10" s="275" customFormat="1" ht="12.75" customHeight="1" x14ac:dyDescent="0.25">
      <c r="A31" s="286"/>
      <c r="B31" s="377"/>
      <c r="C31" s="346"/>
      <c r="D31" s="347"/>
      <c r="E31" s="347"/>
      <c r="F31" s="347"/>
      <c r="G31" s="347"/>
      <c r="H31" s="347"/>
      <c r="I31" s="373"/>
      <c r="J31" s="292"/>
    </row>
    <row r="32" spans="1:10" s="275" customFormat="1" ht="12.75" customHeight="1" x14ac:dyDescent="0.25"/>
  </sheetData>
  <conditionalFormatting sqref="I8:I23">
    <cfRule type="cellIs" dxfId="45" priority="1" operator="greaterThan">
      <formula>$H$23</formula>
    </cfRule>
  </conditionalFormatting>
  <pageMargins left="0.25" right="0.25" top="0.95" bottom="0.75" header="0.09" footer="0.3"/>
  <pageSetup scale="70" fitToHeight="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3607-530B-47EB-85FD-549F0F585890}">
  <sheetPr>
    <tabColor rgb="FF0070C0"/>
    <pageSetUpPr fitToPage="1"/>
  </sheetPr>
  <dimension ref="A1:G17"/>
  <sheetViews>
    <sheetView zoomScaleNormal="100" workbookViewId="0">
      <selection activeCell="B21" sqref="B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83"/>
      <c r="B1" s="35" t="s">
        <v>151</v>
      </c>
      <c r="C1" s="35"/>
      <c r="D1" s="185"/>
      <c r="E1" s="185"/>
      <c r="F1" s="185"/>
      <c r="G1" s="185"/>
    </row>
    <row r="2" spans="1:7" ht="15.75" x14ac:dyDescent="0.25">
      <c r="A2" s="183"/>
      <c r="B2" s="186" t="s">
        <v>179</v>
      </c>
      <c r="C2" s="182"/>
      <c r="D2" s="185"/>
      <c r="E2" s="185"/>
      <c r="F2" s="185"/>
      <c r="G2" s="185"/>
    </row>
    <row r="3" spans="1:7" ht="15.75" x14ac:dyDescent="0.25">
      <c r="A3" s="183"/>
      <c r="B3" s="187" t="s">
        <v>184</v>
      </c>
      <c r="C3" s="182"/>
      <c r="D3" s="185"/>
      <c r="E3" s="188" t="s">
        <v>185</v>
      </c>
      <c r="F3" s="185"/>
      <c r="G3" s="185"/>
    </row>
    <row r="4" spans="1:7" ht="15.75" x14ac:dyDescent="0.25">
      <c r="A4" s="183"/>
      <c r="B4" s="189" t="s">
        <v>1</v>
      </c>
      <c r="C4" s="190" t="s">
        <v>2</v>
      </c>
      <c r="D4" s="185"/>
      <c r="E4" s="185"/>
      <c r="F4" s="185"/>
      <c r="G4" s="185"/>
    </row>
    <row r="5" spans="1:7" ht="15.75" x14ac:dyDescent="0.25">
      <c r="A5" s="183"/>
      <c r="B5" s="36" t="s">
        <v>64</v>
      </c>
      <c r="C5" s="182"/>
      <c r="D5" s="185"/>
      <c r="E5" s="185"/>
      <c r="F5" s="185"/>
      <c r="G5" s="185"/>
    </row>
    <row r="6" spans="1:7" ht="15.75" x14ac:dyDescent="0.25">
      <c r="A6" s="191"/>
      <c r="B6" s="192" t="s">
        <v>180</v>
      </c>
      <c r="C6" s="193"/>
      <c r="D6" s="194" t="s">
        <v>2</v>
      </c>
      <c r="E6" s="195"/>
      <c r="F6" s="195"/>
      <c r="G6" s="195"/>
    </row>
    <row r="7" spans="1:7" ht="26.85" customHeight="1" thickBot="1" x14ac:dyDescent="0.3">
      <c r="A7" s="183"/>
      <c r="B7" s="197" t="s">
        <v>2</v>
      </c>
      <c r="C7" s="198" t="s">
        <v>3</v>
      </c>
      <c r="D7" s="199" t="s">
        <v>4</v>
      </c>
      <c r="E7" s="200" t="s">
        <v>5</v>
      </c>
      <c r="F7" s="201" t="s">
        <v>6</v>
      </c>
      <c r="G7" s="201" t="s">
        <v>7</v>
      </c>
    </row>
    <row r="8" spans="1:7" ht="28.35" customHeight="1" x14ac:dyDescent="0.25">
      <c r="A8" s="183"/>
      <c r="B8" s="183" t="s">
        <v>8</v>
      </c>
      <c r="C8" s="202">
        <f>FINANCIAL!G21</f>
        <v>0</v>
      </c>
      <c r="D8" s="203"/>
      <c r="E8" s="203"/>
      <c r="F8" s="203"/>
      <c r="G8" s="204"/>
    </row>
    <row r="9" spans="1:7" x14ac:dyDescent="0.25">
      <c r="A9" s="183"/>
      <c r="B9" s="182"/>
      <c r="C9" s="205"/>
      <c r="D9" s="206"/>
      <c r="E9" s="206"/>
      <c r="F9" s="206"/>
      <c r="G9" s="204"/>
    </row>
    <row r="10" spans="1:7" x14ac:dyDescent="0.25">
      <c r="A10" s="183"/>
      <c r="B10" s="182" t="s">
        <v>9</v>
      </c>
      <c r="C10" s="205"/>
      <c r="D10" s="203">
        <f>'#9494.00 Vendor A '!D23</f>
        <v>0</v>
      </c>
      <c r="E10" s="203">
        <f>'#9494.00 Vendor A '!F23</f>
        <v>0</v>
      </c>
      <c r="F10" s="203">
        <f>'#9494.00 Vendor A '!H23</f>
        <v>0</v>
      </c>
      <c r="G10" s="204"/>
    </row>
    <row r="11" spans="1:7" x14ac:dyDescent="0.25">
      <c r="A11" s="183"/>
      <c r="B11" s="182" t="s">
        <v>10</v>
      </c>
      <c r="C11" s="205"/>
      <c r="D11" s="203">
        <f>'#9494.00 PM TIME'!E23</f>
        <v>0</v>
      </c>
      <c r="E11" s="203">
        <f>'#9494.00 PM TIME'!G23</f>
        <v>0</v>
      </c>
      <c r="F11" s="203">
        <f>'#9494.00 PM TIME'!I23</f>
        <v>0</v>
      </c>
      <c r="G11" s="204"/>
    </row>
    <row r="12" spans="1:7" x14ac:dyDescent="0.25">
      <c r="A12" s="183"/>
      <c r="B12" s="182" t="s">
        <v>11</v>
      </c>
      <c r="C12" s="206"/>
      <c r="D12" s="207">
        <f>'#9494.00 Misc '!G22</f>
        <v>0</v>
      </c>
      <c r="E12" s="207">
        <f>'#9494.00 Misc '!H22</f>
        <v>0</v>
      </c>
      <c r="F12" s="203">
        <f>D12-E12</f>
        <v>0</v>
      </c>
      <c r="G12" s="204"/>
    </row>
    <row r="13" spans="1:7" ht="13.35" customHeight="1" x14ac:dyDescent="0.25">
      <c r="A13" s="191"/>
      <c r="B13" s="182"/>
      <c r="C13" s="206"/>
      <c r="D13" s="207"/>
      <c r="E13" s="207"/>
      <c r="F13" s="203"/>
      <c r="G13" s="208"/>
    </row>
    <row r="14" spans="1:7" ht="24" customHeight="1" thickBot="1" x14ac:dyDescent="0.3">
      <c r="A14" s="209"/>
      <c r="B14" s="210" t="s">
        <v>12</v>
      </c>
      <c r="C14" s="211">
        <f>SUM(C8:C13)</f>
        <v>0</v>
      </c>
      <c r="D14" s="211">
        <f>SUM(D8:D13)</f>
        <v>0</v>
      </c>
      <c r="E14" s="211">
        <f>SUM(E8:E13)</f>
        <v>0</v>
      </c>
      <c r="F14" s="211">
        <f>SUM(D14-E14)</f>
        <v>0</v>
      </c>
      <c r="G14" s="211">
        <f>C8-D14</f>
        <v>0</v>
      </c>
    </row>
    <row r="15" spans="1:7" ht="13.35" customHeight="1" thickTop="1" x14ac:dyDescent="0.25">
      <c r="A15" s="191"/>
      <c r="B15" s="182"/>
      <c r="C15" s="182"/>
      <c r="D15" s="208"/>
      <c r="E15" s="208"/>
      <c r="F15" s="208"/>
      <c r="G15" s="208"/>
    </row>
    <row r="16" spans="1:7" ht="13.35" customHeight="1" x14ac:dyDescent="0.25">
      <c r="A16" s="191"/>
      <c r="B16" s="182"/>
      <c r="C16" s="182"/>
      <c r="D16" s="208"/>
      <c r="E16" s="208"/>
      <c r="F16" s="208"/>
      <c r="G16" s="208"/>
    </row>
    <row r="17" spans="1:7" ht="13.35" customHeight="1" x14ac:dyDescent="0.25">
      <c r="A17" s="191"/>
      <c r="B17" s="183" t="s">
        <v>281</v>
      </c>
      <c r="C17" s="182"/>
      <c r="D17" s="208"/>
      <c r="E17" s="208"/>
      <c r="F17" s="208"/>
      <c r="G17" s="208"/>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FB872-41DB-4098-A42F-FCB9C6AE6391}">
  <sheetPr>
    <tabColor rgb="FF0070C0"/>
    <pageSetUpPr fitToPage="1"/>
  </sheetPr>
  <dimension ref="A1:I29"/>
  <sheetViews>
    <sheetView zoomScaleNormal="100" workbookViewId="0">
      <selection activeCell="C8" sqref="C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#9494.00'!B1</f>
        <v>IDOE ISD Giangreco Hall Gutter, Dentil and Roof Repairs</v>
      </c>
      <c r="B1" s="3"/>
      <c r="C1" s="4"/>
      <c r="D1" s="4"/>
      <c r="E1" s="4"/>
      <c r="F1" s="33"/>
      <c r="G1" s="33"/>
      <c r="H1" s="34"/>
      <c r="I1" s="34"/>
    </row>
    <row r="2" spans="1:9" ht="15.75" x14ac:dyDescent="0.25">
      <c r="A2" s="6" t="str">
        <f>'RECAP #9494.00'!B2</f>
        <v>Project # 9494.00</v>
      </c>
      <c r="B2" s="5"/>
      <c r="C2" s="4"/>
      <c r="D2" s="4"/>
      <c r="E2" s="4"/>
      <c r="F2" s="33"/>
      <c r="G2" s="33"/>
      <c r="H2" s="34"/>
      <c r="I2" s="34"/>
    </row>
    <row r="3" spans="1:9" ht="15.75" x14ac:dyDescent="0.25">
      <c r="A3" s="7" t="str">
        <f>'RECAP #9494.00'!B3</f>
        <v>Program code 949400</v>
      </c>
      <c r="B3" s="5"/>
      <c r="C3" s="4"/>
      <c r="D3" s="8" t="str">
        <f>'RECAP #9494.00'!E3</f>
        <v>Major Program 4E02</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#9494.00'!B6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6" t="s">
        <v>112</v>
      </c>
      <c r="D26" s="167">
        <v>0</v>
      </c>
      <c r="E26" s="167"/>
      <c r="F26" s="167"/>
      <c r="G26" s="167"/>
      <c r="H26" s="167">
        <f>D26-F26</f>
        <v>0</v>
      </c>
      <c r="I26" s="64"/>
    </row>
    <row r="27" spans="1:9" x14ac:dyDescent="0.25">
      <c r="A27" s="72"/>
      <c r="B27" s="60"/>
      <c r="C27" s="166" t="s">
        <v>113</v>
      </c>
      <c r="D27" s="167">
        <v>0</v>
      </c>
      <c r="E27" s="167"/>
      <c r="F27" s="167"/>
      <c r="G27" s="167"/>
      <c r="H27" s="167">
        <f>D27-F27</f>
        <v>0</v>
      </c>
      <c r="I27" s="64"/>
    </row>
    <row r="28" spans="1:9" ht="15.75" thickBot="1" x14ac:dyDescent="0.3">
      <c r="A28" s="72"/>
      <c r="B28" s="60"/>
      <c r="C28" s="168" t="s">
        <v>67</v>
      </c>
      <c r="D28" s="169">
        <f>SUM(D26:D27)</f>
        <v>0</v>
      </c>
      <c r="E28" s="170"/>
      <c r="F28" s="169">
        <f>SUM(F26:F27)</f>
        <v>0</v>
      </c>
      <c r="G28" s="170"/>
      <c r="H28" s="169">
        <f>SUM(H26:H27)</f>
        <v>0</v>
      </c>
      <c r="I28" s="64"/>
    </row>
    <row r="29" spans="1:9" ht="15" customHeight="1" thickTop="1" x14ac:dyDescent="0.25"/>
  </sheetData>
  <conditionalFormatting sqref="I8:I23">
    <cfRule type="cellIs" dxfId="44"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1ECB0-2FD1-467A-923F-82C1F171790F}">
  <sheetPr>
    <tabColor indexed="30"/>
    <pageSetUpPr fitToPage="1"/>
  </sheetPr>
  <dimension ref="A1:J24"/>
  <sheetViews>
    <sheetView zoomScaleNormal="100" workbookViewId="0">
      <selection activeCell="E6" sqref="E6"/>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#9494.00'!B1</f>
        <v>IDOE ISD Giangreco Hall Gutter, Dentil and Roof Repairs</v>
      </c>
      <c r="B1" s="3"/>
      <c r="C1" s="3"/>
      <c r="D1" s="4"/>
      <c r="E1" s="4"/>
      <c r="F1" s="4"/>
      <c r="G1" s="33"/>
      <c r="H1" s="33"/>
      <c r="I1" s="34"/>
      <c r="J1" s="34"/>
    </row>
    <row r="2" spans="1:10" ht="15.75" x14ac:dyDescent="0.25">
      <c r="A2" s="6" t="str">
        <f>'RECAP #9494.00'!B2</f>
        <v>Project # 9494.00</v>
      </c>
      <c r="B2" s="5"/>
      <c r="C2" s="5"/>
      <c r="D2" s="4"/>
      <c r="E2" s="4"/>
      <c r="F2" s="4"/>
      <c r="G2" s="33"/>
      <c r="H2" s="33"/>
      <c r="I2" s="34"/>
      <c r="J2" s="34"/>
    </row>
    <row r="3" spans="1:10" ht="15.75" x14ac:dyDescent="0.25">
      <c r="A3" s="7" t="str">
        <f>'RECAP #9494.00'!B3</f>
        <v>Program code 949400</v>
      </c>
      <c r="B3" s="5"/>
      <c r="C3" s="5"/>
      <c r="D3" s="4"/>
      <c r="E3" s="8" t="str">
        <f>'RECAP #9494.00'!E3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238</v>
      </c>
      <c r="F6" s="49"/>
      <c r="G6" s="50"/>
      <c r="H6" s="46"/>
      <c r="I6" s="41"/>
      <c r="J6" s="34"/>
    </row>
    <row r="7" spans="1:10" ht="15.75" x14ac:dyDescent="0.25">
      <c r="A7" s="13" t="str">
        <f>'RECAP #9494.00'!B6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61"/>
      <c r="F9" s="62">
        <f>E9</f>
        <v>0</v>
      </c>
      <c r="G9" s="63"/>
      <c r="H9" s="63"/>
      <c r="I9" s="63">
        <f>F9</f>
        <v>0</v>
      </c>
      <c r="J9" s="64"/>
    </row>
    <row r="10" spans="1:10" x14ac:dyDescent="0.25">
      <c r="A10" s="78"/>
      <c r="B10" s="65"/>
      <c r="C10" s="65"/>
      <c r="D10" s="77"/>
      <c r="E10" s="62"/>
      <c r="F10" s="62">
        <f t="shared" ref="F10:F21" si="0">F9+E10</f>
        <v>0</v>
      </c>
      <c r="G10" s="66"/>
      <c r="H10" s="63">
        <f t="shared" ref="H10:H21" si="1">H9+G10</f>
        <v>0</v>
      </c>
      <c r="I10" s="63">
        <f t="shared" ref="I10:I21" si="2">I9-G10+E10</f>
        <v>0</v>
      </c>
      <c r="J10" s="64"/>
    </row>
    <row r="11" spans="1:10" x14ac:dyDescent="0.25">
      <c r="A11" s="79"/>
      <c r="B11" s="59"/>
      <c r="C11" s="59"/>
      <c r="D11" s="77"/>
      <c r="E11" s="62"/>
      <c r="F11" s="62">
        <f t="shared" si="0"/>
        <v>0</v>
      </c>
      <c r="G11" s="66"/>
      <c r="H11" s="63">
        <f t="shared" si="1"/>
        <v>0</v>
      </c>
      <c r="I11" s="63">
        <f t="shared" si="2"/>
        <v>0</v>
      </c>
      <c r="J11" s="64"/>
    </row>
    <row r="12" spans="1:10" x14ac:dyDescent="0.25">
      <c r="A12" s="79"/>
      <c r="B12" s="59"/>
      <c r="C12" s="59"/>
      <c r="D12" s="77"/>
      <c r="E12" s="62"/>
      <c r="F12" s="62">
        <f t="shared" si="0"/>
        <v>0</v>
      </c>
      <c r="G12" s="66"/>
      <c r="H12" s="63">
        <f t="shared" si="1"/>
        <v>0</v>
      </c>
      <c r="I12" s="63">
        <f t="shared" si="2"/>
        <v>0</v>
      </c>
      <c r="J12" s="64"/>
    </row>
    <row r="13" spans="1:10" x14ac:dyDescent="0.25">
      <c r="A13" s="79"/>
      <c r="B13" s="59"/>
      <c r="C13" s="59"/>
      <c r="D13" s="77"/>
      <c r="E13" s="62"/>
      <c r="F13" s="62">
        <f t="shared" si="0"/>
        <v>0</v>
      </c>
      <c r="G13" s="66"/>
      <c r="H13" s="63">
        <f t="shared" si="1"/>
        <v>0</v>
      </c>
      <c r="I13" s="63">
        <f t="shared" si="2"/>
        <v>0</v>
      </c>
      <c r="J13" s="64"/>
    </row>
    <row r="14" spans="1:10" x14ac:dyDescent="0.25">
      <c r="A14" s="79"/>
      <c r="B14" s="59"/>
      <c r="C14" s="59"/>
      <c r="D14" s="77"/>
      <c r="E14" s="62"/>
      <c r="F14" s="62">
        <f t="shared" si="0"/>
        <v>0</v>
      </c>
      <c r="G14" s="63"/>
      <c r="H14" s="63">
        <f t="shared" si="1"/>
        <v>0</v>
      </c>
      <c r="I14" s="63">
        <f t="shared" si="2"/>
        <v>0</v>
      </c>
      <c r="J14" s="64"/>
    </row>
    <row r="15" spans="1:10" x14ac:dyDescent="0.25">
      <c r="A15" s="79"/>
      <c r="B15" s="59"/>
      <c r="C15" s="59"/>
      <c r="D15" s="77"/>
      <c r="E15" s="62"/>
      <c r="F15" s="62">
        <f t="shared" si="0"/>
        <v>0</v>
      </c>
      <c r="G15" s="66"/>
      <c r="H15" s="63">
        <f t="shared" si="1"/>
        <v>0</v>
      </c>
      <c r="I15" s="63">
        <f t="shared" si="2"/>
        <v>0</v>
      </c>
      <c r="J15" s="64"/>
    </row>
    <row r="16" spans="1:10" x14ac:dyDescent="0.25">
      <c r="A16" s="79"/>
      <c r="B16" s="59"/>
      <c r="C16" s="59"/>
      <c r="D16" s="77"/>
      <c r="E16" s="62"/>
      <c r="F16" s="62">
        <f t="shared" si="0"/>
        <v>0</v>
      </c>
      <c r="G16" s="66"/>
      <c r="H16" s="63">
        <f t="shared" si="1"/>
        <v>0</v>
      </c>
      <c r="I16" s="63">
        <f t="shared" si="2"/>
        <v>0</v>
      </c>
      <c r="J16" s="64"/>
    </row>
    <row r="17" spans="1:10" x14ac:dyDescent="0.25">
      <c r="A17" s="79"/>
      <c r="B17" s="59"/>
      <c r="C17" s="59"/>
      <c r="D17" s="77"/>
      <c r="E17" s="62"/>
      <c r="F17" s="62">
        <f t="shared" si="0"/>
        <v>0</v>
      </c>
      <c r="G17" s="66"/>
      <c r="H17" s="63">
        <f t="shared" si="1"/>
        <v>0</v>
      </c>
      <c r="I17" s="63">
        <f t="shared" si="2"/>
        <v>0</v>
      </c>
      <c r="J17" s="64"/>
    </row>
    <row r="18" spans="1:10" x14ac:dyDescent="0.25">
      <c r="A18" s="79"/>
      <c r="B18" s="59"/>
      <c r="C18" s="59"/>
      <c r="D18" s="77"/>
      <c r="E18" s="62"/>
      <c r="F18" s="62">
        <f t="shared" si="0"/>
        <v>0</v>
      </c>
      <c r="G18" s="66"/>
      <c r="H18" s="63">
        <f t="shared" si="1"/>
        <v>0</v>
      </c>
      <c r="I18" s="63">
        <f t="shared" si="2"/>
        <v>0</v>
      </c>
      <c r="J18" s="64"/>
    </row>
    <row r="19" spans="1:10" x14ac:dyDescent="0.25">
      <c r="A19" s="76"/>
      <c r="B19" s="59"/>
      <c r="C19" s="59"/>
      <c r="D19" s="77"/>
      <c r="E19" s="62"/>
      <c r="F19" s="62">
        <f t="shared" si="0"/>
        <v>0</v>
      </c>
      <c r="G19" s="63"/>
      <c r="H19" s="63">
        <f t="shared" si="1"/>
        <v>0</v>
      </c>
      <c r="I19" s="63">
        <f t="shared" si="2"/>
        <v>0</v>
      </c>
      <c r="J19" s="64"/>
    </row>
    <row r="20" spans="1:10" x14ac:dyDescent="0.25">
      <c r="A20" s="76"/>
      <c r="B20" s="59"/>
      <c r="C20" s="59"/>
      <c r="D20" s="77"/>
      <c r="E20" s="62"/>
      <c r="F20" s="62">
        <f t="shared" si="0"/>
        <v>0</v>
      </c>
      <c r="G20" s="63"/>
      <c r="H20" s="63">
        <f t="shared" si="1"/>
        <v>0</v>
      </c>
      <c r="I20" s="63">
        <f t="shared" si="2"/>
        <v>0</v>
      </c>
      <c r="J20" s="64"/>
    </row>
    <row r="21" spans="1:10" x14ac:dyDescent="0.25">
      <c r="A21" s="76"/>
      <c r="B21" s="59"/>
      <c r="C21" s="59"/>
      <c r="D21" s="80"/>
      <c r="E21" s="62"/>
      <c r="F21" s="62">
        <f t="shared" si="0"/>
        <v>0</v>
      </c>
      <c r="G21" s="63"/>
      <c r="H21" s="63">
        <f t="shared" si="1"/>
        <v>0</v>
      </c>
      <c r="I21" s="63">
        <f t="shared" si="2"/>
        <v>0</v>
      </c>
      <c r="J21" s="64"/>
    </row>
    <row r="22" spans="1:10" x14ac:dyDescent="0.25">
      <c r="A22" s="72"/>
      <c r="B22" s="60"/>
      <c r="C22" s="60"/>
      <c r="D22" s="68"/>
      <c r="E22" s="63"/>
      <c r="F22" s="63"/>
      <c r="G22" s="63"/>
      <c r="H22" s="63"/>
      <c r="I22" s="63"/>
      <c r="J22" s="64"/>
    </row>
    <row r="23" spans="1:10" ht="15.75" thickBot="1" x14ac:dyDescent="0.3">
      <c r="A23" s="72"/>
      <c r="B23" s="69"/>
      <c r="C23" s="69"/>
      <c r="D23" s="70" t="s">
        <v>24</v>
      </c>
      <c r="E23" s="71">
        <f>SUM(E9:E22)</f>
        <v>0</v>
      </c>
      <c r="F23" s="71"/>
      <c r="G23" s="71">
        <f>SUM(G9:G22)</f>
        <v>0</v>
      </c>
      <c r="H23" s="71"/>
      <c r="I23" s="71">
        <f>E23-G23</f>
        <v>0</v>
      </c>
      <c r="J23" s="64"/>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D8B7-B464-47B9-9A21-743DEB703303}">
  <sheetPr>
    <tabColor indexed="30"/>
    <pageSetUpPr fitToPage="1"/>
  </sheetPr>
  <dimension ref="A1:H23"/>
  <sheetViews>
    <sheetView zoomScaleNormal="100" workbookViewId="0">
      <selection activeCell="E6" sqref="E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#9494.00'!B1</f>
        <v>IDOE ISD Giangreco Hall Gutter, Dentil and Roof Repairs</v>
      </c>
      <c r="B1" s="3"/>
      <c r="C1" s="3"/>
      <c r="D1" s="3"/>
      <c r="E1" s="4"/>
      <c r="F1" s="4"/>
      <c r="G1" s="4"/>
      <c r="H1" s="33"/>
    </row>
    <row r="2" spans="1:8" ht="15.75" x14ac:dyDescent="0.25">
      <c r="A2" s="6" t="str">
        <f>'RECAP #9494.00'!B2</f>
        <v>Project # 9494.00</v>
      </c>
      <c r="B2" s="5"/>
      <c r="C2" s="5"/>
      <c r="D2" s="5"/>
      <c r="E2" s="4"/>
      <c r="F2" s="4"/>
      <c r="G2" s="4"/>
      <c r="H2" s="33"/>
    </row>
    <row r="3" spans="1:8" ht="15.75" x14ac:dyDescent="0.25">
      <c r="A3" s="7" t="str">
        <f>'RECAP #9494.00'!B3</f>
        <v>Program code 949400</v>
      </c>
      <c r="B3" s="5"/>
      <c r="C3" s="5"/>
      <c r="D3" s="5"/>
      <c r="E3" s="8" t="str">
        <f>'RECAP #9494.00'!E3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#9494.00'!B6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A0C6-C2FD-43C9-A8FF-5EC0A9AE4733}">
  <sheetPr>
    <tabColor rgb="FF0070C0"/>
    <pageSetUpPr fitToPage="1"/>
  </sheetPr>
  <dimension ref="A1:G22"/>
  <sheetViews>
    <sheetView zoomScaleNormal="100" workbookViewId="0">
      <selection activeCell="B21" sqref="B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83"/>
      <c r="B1" s="35" t="s">
        <v>152</v>
      </c>
      <c r="C1" s="35"/>
      <c r="D1" s="185"/>
      <c r="E1" s="185"/>
      <c r="F1" s="185"/>
      <c r="G1" s="185"/>
    </row>
    <row r="2" spans="1:7" ht="15.75" x14ac:dyDescent="0.25">
      <c r="A2" s="183"/>
      <c r="B2" s="186" t="s">
        <v>181</v>
      </c>
      <c r="C2" s="182"/>
      <c r="D2" s="185"/>
      <c r="E2" s="185"/>
      <c r="F2" s="185"/>
      <c r="G2" s="185"/>
    </row>
    <row r="3" spans="1:7" ht="15.75" x14ac:dyDescent="0.25">
      <c r="A3" s="183"/>
      <c r="B3" s="187" t="s">
        <v>182</v>
      </c>
      <c r="C3" s="182"/>
      <c r="D3" s="185"/>
      <c r="E3" s="188" t="s">
        <v>186</v>
      </c>
      <c r="F3" s="185"/>
      <c r="G3" s="185"/>
    </row>
    <row r="4" spans="1:7" ht="15.75" x14ac:dyDescent="0.25">
      <c r="A4" s="183"/>
      <c r="B4" s="189" t="s">
        <v>1</v>
      </c>
      <c r="C4" s="190" t="s">
        <v>2</v>
      </c>
      <c r="D4" s="185"/>
      <c r="E4" s="185"/>
      <c r="F4" s="185"/>
      <c r="G4" s="185"/>
    </row>
    <row r="5" spans="1:7" ht="15.75" x14ac:dyDescent="0.25">
      <c r="A5" s="183"/>
      <c r="B5" s="36" t="s">
        <v>64</v>
      </c>
      <c r="C5" s="182"/>
      <c r="D5" s="185"/>
      <c r="E5" s="185"/>
      <c r="F5" s="185"/>
      <c r="G5" s="185"/>
    </row>
    <row r="6" spans="1:7" ht="15.75" x14ac:dyDescent="0.25">
      <c r="A6" s="191"/>
      <c r="B6" s="192" t="s">
        <v>183</v>
      </c>
      <c r="C6" s="193"/>
      <c r="D6" s="194" t="s">
        <v>2</v>
      </c>
      <c r="E6" s="195"/>
      <c r="F6" s="195"/>
      <c r="G6" s="195"/>
    </row>
    <row r="7" spans="1:7" ht="26.85" customHeight="1" thickBot="1" x14ac:dyDescent="0.3">
      <c r="A7" s="183"/>
      <c r="B7" s="197" t="s">
        <v>2</v>
      </c>
      <c r="C7" s="198" t="s">
        <v>3</v>
      </c>
      <c r="D7" s="199" t="s">
        <v>4</v>
      </c>
      <c r="E7" s="200" t="s">
        <v>5</v>
      </c>
      <c r="F7" s="201" t="s">
        <v>6</v>
      </c>
      <c r="G7" s="201" t="s">
        <v>7</v>
      </c>
    </row>
    <row r="8" spans="1:7" ht="28.35" customHeight="1" x14ac:dyDescent="0.25">
      <c r="A8" s="183"/>
      <c r="B8" s="183" t="s">
        <v>8</v>
      </c>
      <c r="C8" s="202">
        <f>FINANCIAL!G22</f>
        <v>0</v>
      </c>
      <c r="D8" s="203"/>
      <c r="E8" s="203"/>
      <c r="F8" s="203"/>
      <c r="G8" s="204"/>
    </row>
    <row r="9" spans="1:7" x14ac:dyDescent="0.25">
      <c r="A9" s="183"/>
      <c r="B9" s="182"/>
      <c r="C9" s="205"/>
      <c r="D9" s="206"/>
      <c r="E9" s="206"/>
      <c r="F9" s="206"/>
      <c r="G9" s="204"/>
    </row>
    <row r="10" spans="1:7" x14ac:dyDescent="0.25">
      <c r="A10" s="183"/>
      <c r="B10" s="182" t="s">
        <v>9</v>
      </c>
      <c r="C10" s="205"/>
      <c r="D10" s="203">
        <f>'#9495.00 Vendor A '!D23</f>
        <v>0</v>
      </c>
      <c r="E10" s="203">
        <f>'#9495.00 Vendor A '!F23</f>
        <v>0</v>
      </c>
      <c r="F10" s="203">
        <f>'#9495.00 Vendor A '!H23</f>
        <v>0</v>
      </c>
      <c r="G10" s="204"/>
    </row>
    <row r="11" spans="1:7" x14ac:dyDescent="0.25">
      <c r="A11" s="183"/>
      <c r="B11" s="182" t="s">
        <v>10</v>
      </c>
      <c r="C11" s="205"/>
      <c r="D11" s="203">
        <f>'#9495.00 PM TIME '!E23</f>
        <v>0</v>
      </c>
      <c r="E11" s="203">
        <f>'#9495.00 PM TIME '!G23</f>
        <v>0</v>
      </c>
      <c r="F11" s="203">
        <f>'#9495.00 PM TIME '!I23</f>
        <v>0</v>
      </c>
      <c r="G11" s="204"/>
    </row>
    <row r="12" spans="1:7" x14ac:dyDescent="0.25">
      <c r="A12" s="183"/>
      <c r="B12" s="182" t="s">
        <v>11</v>
      </c>
      <c r="C12" s="206"/>
      <c r="D12" s="207">
        <f>'#9495.00 Misc'!G22</f>
        <v>0</v>
      </c>
      <c r="E12" s="207">
        <f>'#9495.00 Misc'!H22</f>
        <v>0</v>
      </c>
      <c r="F12" s="203">
        <f>D12-E12</f>
        <v>0</v>
      </c>
      <c r="G12" s="204"/>
    </row>
    <row r="13" spans="1:7" ht="13.35" customHeight="1" x14ac:dyDescent="0.25">
      <c r="A13" s="191"/>
      <c r="B13" s="182"/>
      <c r="C13" s="206"/>
      <c r="D13" s="207"/>
      <c r="E13" s="207"/>
      <c r="F13" s="203"/>
      <c r="G13" s="208"/>
    </row>
    <row r="14" spans="1:7" ht="24" customHeight="1" thickBot="1" x14ac:dyDescent="0.3">
      <c r="A14" s="209"/>
      <c r="B14" s="210" t="s">
        <v>12</v>
      </c>
      <c r="C14" s="211">
        <f>SUM(C8:C13)</f>
        <v>0</v>
      </c>
      <c r="D14" s="211">
        <f>SUM(D8:D13)</f>
        <v>0</v>
      </c>
      <c r="E14" s="211">
        <f>SUM(E8:E13)</f>
        <v>0</v>
      </c>
      <c r="F14" s="211">
        <f>SUM(D14-E14)</f>
        <v>0</v>
      </c>
      <c r="G14" s="211">
        <f>C8-D14</f>
        <v>0</v>
      </c>
    </row>
    <row r="15" spans="1:7" ht="13.35" customHeight="1" thickTop="1" x14ac:dyDescent="0.25">
      <c r="A15" s="191"/>
      <c r="B15" s="182"/>
      <c r="C15" s="182"/>
      <c r="D15" s="208"/>
      <c r="E15" s="208"/>
      <c r="F15" s="208"/>
      <c r="G15" s="208"/>
    </row>
    <row r="16" spans="1:7" ht="13.35" customHeight="1" x14ac:dyDescent="0.25">
      <c r="A16" s="191"/>
      <c r="B16" s="182"/>
      <c r="C16" s="182"/>
      <c r="D16" s="208"/>
      <c r="E16" s="208"/>
      <c r="F16" s="208"/>
      <c r="G16" s="208"/>
    </row>
    <row r="17" spans="1:7" ht="13.35" customHeight="1" x14ac:dyDescent="0.25">
      <c r="A17" s="191"/>
      <c r="B17" s="183" t="s">
        <v>259</v>
      </c>
      <c r="C17" s="182"/>
      <c r="D17" s="208"/>
      <c r="E17" s="208"/>
      <c r="F17" s="208"/>
      <c r="G17" s="208"/>
    </row>
    <row r="18" spans="1:7" ht="13.35" customHeight="1" x14ac:dyDescent="0.25">
      <c r="A18" s="191"/>
      <c r="B18" s="184"/>
      <c r="C18" s="182"/>
      <c r="D18" s="208"/>
      <c r="E18" s="208"/>
      <c r="F18" s="208"/>
      <c r="G18" s="208"/>
    </row>
    <row r="19" spans="1:7" ht="13.35" customHeight="1" x14ac:dyDescent="0.25">
      <c r="A19" s="191"/>
      <c r="B19" s="182"/>
      <c r="C19" s="182"/>
      <c r="D19" s="208"/>
      <c r="E19" s="208"/>
      <c r="F19" s="208"/>
      <c r="G19" s="208"/>
    </row>
    <row r="20" spans="1:7" ht="13.35" customHeight="1" x14ac:dyDescent="0.25">
      <c r="A20" s="191"/>
      <c r="B20" s="182"/>
      <c r="C20" s="182"/>
      <c r="D20" s="208"/>
      <c r="E20" s="208"/>
      <c r="F20" s="208"/>
      <c r="G20" s="208"/>
    </row>
    <row r="21" spans="1:7" ht="13.35" customHeight="1" x14ac:dyDescent="0.25">
      <c r="A21" s="191"/>
      <c r="B21" s="182"/>
      <c r="C21" s="182"/>
      <c r="D21" s="208"/>
      <c r="E21" s="208"/>
      <c r="F21" s="208"/>
      <c r="G21" s="208"/>
    </row>
    <row r="22" spans="1:7" ht="13.35" customHeight="1" x14ac:dyDescent="0.25">
      <c r="A22" s="191"/>
      <c r="B22" s="182"/>
      <c r="C22" s="182"/>
      <c r="D22" s="208"/>
      <c r="E22" s="208"/>
      <c r="F22" s="208"/>
      <c r="G22" s="208"/>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7BC25-C1CD-447E-8C56-2E750893C45F}">
  <sheetPr>
    <tabColor rgb="FF0070C0"/>
    <pageSetUpPr fitToPage="1"/>
  </sheetPr>
  <dimension ref="A1:I29"/>
  <sheetViews>
    <sheetView zoomScaleNormal="100" workbookViewId="0">
      <selection activeCell="C8" sqref="C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#9495.00'!B1</f>
        <v>HHS IMHI Boiler #3 Replacement</v>
      </c>
      <c r="B1" s="3"/>
      <c r="C1" s="4"/>
      <c r="D1" s="4"/>
      <c r="E1" s="4"/>
      <c r="F1" s="33"/>
      <c r="G1" s="33"/>
      <c r="H1" s="34"/>
      <c r="I1" s="34"/>
    </row>
    <row r="2" spans="1:9" ht="15.75" x14ac:dyDescent="0.25">
      <c r="A2" s="6" t="str">
        <f>'RECAP #9495.00'!B2</f>
        <v>Project # 9495.00</v>
      </c>
      <c r="B2" s="5"/>
      <c r="C2" s="4"/>
      <c r="D2" s="4"/>
      <c r="E2" s="4"/>
      <c r="F2" s="33"/>
      <c r="G2" s="33"/>
      <c r="H2" s="34"/>
      <c r="I2" s="34"/>
    </row>
    <row r="3" spans="1:9" ht="15.75" x14ac:dyDescent="0.25">
      <c r="A3" s="7" t="str">
        <f>'RECAP #9495.00'!B3</f>
        <v>Program code 949500</v>
      </c>
      <c r="B3" s="5"/>
      <c r="C3" s="4"/>
      <c r="D3" s="8" t="str">
        <f>'RECAP #9495.00'!E3</f>
        <v>Major Program 4E19</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#9495.00'!B6</f>
        <v>Project Manager - Oliver S. (JE)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6" t="s">
        <v>112</v>
      </c>
      <c r="D26" s="167">
        <v>0</v>
      </c>
      <c r="E26" s="167"/>
      <c r="F26" s="167"/>
      <c r="G26" s="167"/>
      <c r="H26" s="167">
        <f>D26-F26</f>
        <v>0</v>
      </c>
      <c r="I26" s="64"/>
    </row>
    <row r="27" spans="1:9" x14ac:dyDescent="0.25">
      <c r="A27" s="72"/>
      <c r="B27" s="60"/>
      <c r="C27" s="166" t="s">
        <v>113</v>
      </c>
      <c r="D27" s="167">
        <v>0</v>
      </c>
      <c r="E27" s="167"/>
      <c r="F27" s="167"/>
      <c r="G27" s="167"/>
      <c r="H27" s="167">
        <f>D27-F27</f>
        <v>0</v>
      </c>
      <c r="I27" s="64"/>
    </row>
    <row r="28" spans="1:9" ht="15.75" thickBot="1" x14ac:dyDescent="0.3">
      <c r="A28" s="72"/>
      <c r="B28" s="60"/>
      <c r="C28" s="168" t="s">
        <v>67</v>
      </c>
      <c r="D28" s="169">
        <f>SUM(D26:D27)</f>
        <v>0</v>
      </c>
      <c r="E28" s="170"/>
      <c r="F28" s="169">
        <f>SUM(F26:F27)</f>
        <v>0</v>
      </c>
      <c r="G28" s="170"/>
      <c r="H28" s="169">
        <f>SUM(H26:H27)</f>
        <v>0</v>
      </c>
      <c r="I28" s="64"/>
    </row>
    <row r="29" spans="1:9" ht="15" customHeight="1" thickTop="1" x14ac:dyDescent="0.25"/>
  </sheetData>
  <conditionalFormatting sqref="I8:I23">
    <cfRule type="cellIs" dxfId="43"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0150-524A-45FC-A8E0-1E689F64FFAA}">
  <sheetPr>
    <pageSetUpPr fitToPage="1"/>
  </sheetPr>
  <dimension ref="A1:J41"/>
  <sheetViews>
    <sheetView zoomScaleNormal="100" workbookViewId="0">
      <selection activeCell="C44" sqref="C44"/>
    </sheetView>
  </sheetViews>
  <sheetFormatPr defaultColWidth="11.42578125" defaultRowHeight="15" customHeight="1" x14ac:dyDescent="0.25"/>
  <cols>
    <col min="1" max="1" width="24.5703125" customWidth="1"/>
    <col min="2" max="3" width="9.42578125" customWidth="1"/>
    <col min="4" max="4" width="37.85546875" customWidth="1"/>
    <col min="5" max="5" width="12.5703125" customWidth="1"/>
    <col min="6" max="6" width="13.5703125" customWidth="1"/>
    <col min="7" max="7" width="12.42578125" customWidth="1"/>
    <col min="8" max="8" width="10.5703125" customWidth="1"/>
    <col min="9" max="9" width="11.42578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#9997.26'!B1</f>
        <v>Project Management Time</v>
      </c>
      <c r="B1" s="3"/>
      <c r="C1" s="3"/>
      <c r="D1" s="4"/>
      <c r="E1" s="4"/>
      <c r="F1" s="4"/>
      <c r="G1" s="33"/>
      <c r="H1" s="33"/>
      <c r="I1" s="34"/>
      <c r="J1" s="34"/>
    </row>
    <row r="2" spans="1:10" ht="15.75" x14ac:dyDescent="0.25">
      <c r="A2" s="6" t="str">
        <f>'RECAP #9997.26'!B2</f>
        <v>Project # 9997.26</v>
      </c>
      <c r="B2" s="5"/>
      <c r="C2" s="5"/>
      <c r="D2" s="4"/>
      <c r="E2" s="4"/>
      <c r="F2" s="4"/>
      <c r="G2" s="33"/>
      <c r="H2" s="33"/>
      <c r="I2" s="34"/>
      <c r="J2" s="34"/>
    </row>
    <row r="3" spans="1:10" ht="15.75" x14ac:dyDescent="0.25">
      <c r="A3" s="7" t="str">
        <f>'RECAP #9997.26'!B3</f>
        <v>Program code 999726</v>
      </c>
      <c r="B3" s="5"/>
      <c r="C3" s="5"/>
      <c r="D3" s="4"/>
      <c r="E3" s="8" t="str">
        <f>'RECAP #9997.26'!E3</f>
        <v>Major Program xxxx</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70</v>
      </c>
      <c r="F6" s="49"/>
      <c r="G6" s="50"/>
      <c r="H6" s="46"/>
      <c r="I6" s="41"/>
      <c r="J6" s="34"/>
    </row>
    <row r="7" spans="1:10" ht="15.75" x14ac:dyDescent="0.25">
      <c r="A7" s="13" t="str">
        <f>'RECAP #9997.26'!B6</f>
        <v>Project Manager - Geoff W.</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75000</v>
      </c>
      <c r="F9" s="290">
        <f>E9</f>
        <v>75000</v>
      </c>
      <c r="G9" s="291"/>
      <c r="H9" s="291"/>
      <c r="I9" s="291">
        <f>F9</f>
        <v>75000</v>
      </c>
      <c r="J9" s="292"/>
    </row>
    <row r="10" spans="1:10" s="275" customFormat="1" ht="12.75" customHeight="1" x14ac:dyDescent="0.25">
      <c r="A10" s="222"/>
      <c r="B10" s="293"/>
      <c r="C10" s="293"/>
      <c r="D10" s="297"/>
      <c r="E10" s="290"/>
      <c r="F10" s="290">
        <f t="shared" ref="F10:F37" si="0">F9+E10</f>
        <v>75000</v>
      </c>
      <c r="G10" s="295"/>
      <c r="H10" s="291">
        <f t="shared" ref="H10:H37" si="1">H9+G10</f>
        <v>0</v>
      </c>
      <c r="I10" s="291">
        <f t="shared" ref="I10:I37" si="2">I9-G10+E10</f>
        <v>75000</v>
      </c>
      <c r="J10" s="292"/>
    </row>
    <row r="11" spans="1:10" s="275" customFormat="1" ht="12.75" customHeight="1" x14ac:dyDescent="0.25">
      <c r="A11" s="217" t="s">
        <v>87</v>
      </c>
      <c r="B11" s="218">
        <v>45876</v>
      </c>
      <c r="C11" s="219">
        <v>2507</v>
      </c>
      <c r="D11" s="179" t="s">
        <v>88</v>
      </c>
      <c r="E11" s="290"/>
      <c r="F11" s="290">
        <f t="shared" si="0"/>
        <v>75000</v>
      </c>
      <c r="G11" s="294">
        <f>424.26+1038.89</f>
        <v>1463.15</v>
      </c>
      <c r="H11" s="291">
        <f t="shared" si="1"/>
        <v>1463.15</v>
      </c>
      <c r="I11" s="291">
        <f t="shared" si="2"/>
        <v>73536.850000000006</v>
      </c>
      <c r="J11" s="292"/>
    </row>
    <row r="12" spans="1:10" s="275" customFormat="1" ht="12.75" customHeight="1" x14ac:dyDescent="0.25">
      <c r="A12" s="217" t="s">
        <v>87</v>
      </c>
      <c r="B12" s="218">
        <v>45876</v>
      </c>
      <c r="C12" s="219">
        <v>9500</v>
      </c>
      <c r="D12" s="180" t="s">
        <v>89</v>
      </c>
      <c r="E12" s="290"/>
      <c r="F12" s="290">
        <f t="shared" si="0"/>
        <v>75000</v>
      </c>
      <c r="G12" s="294">
        <f>1449.7+4661.5</f>
        <v>6111.2</v>
      </c>
      <c r="H12" s="291">
        <f t="shared" si="1"/>
        <v>7574.35</v>
      </c>
      <c r="I12" s="291">
        <f t="shared" si="2"/>
        <v>67425.650000000009</v>
      </c>
      <c r="J12" s="292"/>
    </row>
    <row r="13" spans="1:10" s="275" customFormat="1" ht="12.75" customHeight="1" x14ac:dyDescent="0.25">
      <c r="A13" s="217" t="s">
        <v>101</v>
      </c>
      <c r="B13" s="287">
        <v>45911</v>
      </c>
      <c r="C13" s="219">
        <v>2507</v>
      </c>
      <c r="D13" s="179" t="s">
        <v>102</v>
      </c>
      <c r="E13" s="290"/>
      <c r="F13" s="290">
        <f t="shared" si="0"/>
        <v>75000</v>
      </c>
      <c r="G13" s="299">
        <v>-110.44</v>
      </c>
      <c r="H13" s="291">
        <f t="shared" si="1"/>
        <v>7463.9100000000008</v>
      </c>
      <c r="I13" s="291">
        <f t="shared" si="2"/>
        <v>67536.090000000011</v>
      </c>
      <c r="J13" s="292"/>
    </row>
    <row r="14" spans="1:10" s="275" customFormat="1" ht="12.75" customHeight="1" x14ac:dyDescent="0.25">
      <c r="A14" s="217" t="s">
        <v>101</v>
      </c>
      <c r="B14" s="287">
        <v>45911</v>
      </c>
      <c r="C14" s="219">
        <v>2507</v>
      </c>
      <c r="D14" s="179" t="s">
        <v>103</v>
      </c>
      <c r="E14" s="290"/>
      <c r="F14" s="290">
        <f t="shared" si="0"/>
        <v>75000</v>
      </c>
      <c r="G14" s="299">
        <v>-144.13999999999999</v>
      </c>
      <c r="H14" s="291">
        <f t="shared" si="1"/>
        <v>7319.77</v>
      </c>
      <c r="I14" s="291">
        <f t="shared" si="2"/>
        <v>67680.23000000001</v>
      </c>
      <c r="J14" s="292"/>
    </row>
    <row r="15" spans="1:10" s="275" customFormat="1" ht="12.75" customHeight="1" x14ac:dyDescent="0.25">
      <c r="A15" s="217" t="s">
        <v>101</v>
      </c>
      <c r="B15" s="287">
        <v>45911</v>
      </c>
      <c r="C15" s="219">
        <v>2507</v>
      </c>
      <c r="D15" s="179" t="s">
        <v>104</v>
      </c>
      <c r="E15" s="290"/>
      <c r="F15" s="290">
        <f t="shared" si="0"/>
        <v>75000</v>
      </c>
      <c r="G15" s="299">
        <v>-169.68</v>
      </c>
      <c r="H15" s="291">
        <f t="shared" si="1"/>
        <v>7150.09</v>
      </c>
      <c r="I15" s="291">
        <f t="shared" si="2"/>
        <v>67849.91</v>
      </c>
      <c r="J15" s="292"/>
    </row>
    <row r="16" spans="1:10" s="275" customFormat="1" ht="12.75" customHeight="1" x14ac:dyDescent="0.25">
      <c r="A16" s="217" t="s">
        <v>101</v>
      </c>
      <c r="B16" s="287">
        <v>45911</v>
      </c>
      <c r="C16" s="219">
        <v>9500</v>
      </c>
      <c r="D16" s="179" t="s">
        <v>102</v>
      </c>
      <c r="E16" s="290"/>
      <c r="F16" s="290">
        <f t="shared" si="0"/>
        <v>75000</v>
      </c>
      <c r="G16" s="299">
        <v>-1211.0999999999999</v>
      </c>
      <c r="H16" s="291">
        <f t="shared" si="1"/>
        <v>5938.99</v>
      </c>
      <c r="I16" s="291">
        <f t="shared" si="2"/>
        <v>69061.010000000009</v>
      </c>
      <c r="J16" s="292"/>
    </row>
    <row r="17" spans="1:10" s="275" customFormat="1" ht="12.75" customHeight="1" x14ac:dyDescent="0.25">
      <c r="A17" s="217" t="s">
        <v>101</v>
      </c>
      <c r="B17" s="287">
        <v>45911</v>
      </c>
      <c r="C17" s="219">
        <v>9500</v>
      </c>
      <c r="D17" s="179" t="s">
        <v>103</v>
      </c>
      <c r="E17" s="290"/>
      <c r="F17" s="290">
        <f t="shared" si="0"/>
        <v>75000</v>
      </c>
      <c r="G17" s="299">
        <v>-1595.5</v>
      </c>
      <c r="H17" s="291">
        <f t="shared" si="1"/>
        <v>4343.49</v>
      </c>
      <c r="I17" s="291">
        <f t="shared" si="2"/>
        <v>70656.510000000009</v>
      </c>
      <c r="J17" s="292"/>
    </row>
    <row r="18" spans="1:10" s="275" customFormat="1" ht="12.75" customHeight="1" x14ac:dyDescent="0.25">
      <c r="A18" s="217" t="s">
        <v>101</v>
      </c>
      <c r="B18" s="287">
        <v>45911</v>
      </c>
      <c r="C18" s="219">
        <v>9500</v>
      </c>
      <c r="D18" s="179" t="s">
        <v>104</v>
      </c>
      <c r="E18" s="290"/>
      <c r="F18" s="290">
        <f t="shared" si="0"/>
        <v>75000</v>
      </c>
      <c r="G18" s="299">
        <v>-1854.9</v>
      </c>
      <c r="H18" s="291">
        <f t="shared" si="1"/>
        <v>2488.5899999999997</v>
      </c>
      <c r="I18" s="291">
        <f t="shared" si="2"/>
        <v>72511.41</v>
      </c>
      <c r="J18" s="292"/>
    </row>
    <row r="19" spans="1:10" s="275" customFormat="1" ht="12.75" customHeight="1" x14ac:dyDescent="0.25">
      <c r="A19" s="217" t="s">
        <v>126</v>
      </c>
      <c r="B19" s="218">
        <v>45908</v>
      </c>
      <c r="C19" s="219">
        <v>2507</v>
      </c>
      <c r="D19" s="179" t="s">
        <v>127</v>
      </c>
      <c r="E19" s="290"/>
      <c r="F19" s="290">
        <f t="shared" si="0"/>
        <v>75000</v>
      </c>
      <c r="G19" s="294">
        <v>2070.0700000000002</v>
      </c>
      <c r="H19" s="291">
        <f t="shared" si="1"/>
        <v>4558.66</v>
      </c>
      <c r="I19" s="291">
        <f t="shared" si="2"/>
        <v>70441.34</v>
      </c>
      <c r="J19" s="292"/>
    </row>
    <row r="20" spans="1:10" s="275" customFormat="1" ht="12.75" customHeight="1" x14ac:dyDescent="0.25">
      <c r="A20" s="217" t="s">
        <v>126</v>
      </c>
      <c r="B20" s="218">
        <v>45908</v>
      </c>
      <c r="C20" s="219">
        <v>9500</v>
      </c>
      <c r="D20" s="179" t="s">
        <v>128</v>
      </c>
      <c r="E20" s="290"/>
      <c r="F20" s="290">
        <f t="shared" si="0"/>
        <v>75000</v>
      </c>
      <c r="G20" s="294">
        <v>2472.3000000000002</v>
      </c>
      <c r="H20" s="291">
        <f t="shared" si="1"/>
        <v>7030.96</v>
      </c>
      <c r="I20" s="291">
        <f t="shared" si="2"/>
        <v>67969.039999999994</v>
      </c>
      <c r="J20" s="292"/>
    </row>
    <row r="21" spans="1:10" s="275" customFormat="1" ht="12.75" customHeight="1" x14ac:dyDescent="0.25">
      <c r="A21" s="220" t="s">
        <v>268</v>
      </c>
      <c r="B21" s="221">
        <v>45937</v>
      </c>
      <c r="C21" s="219" t="s">
        <v>269</v>
      </c>
      <c r="D21" s="179" t="s">
        <v>270</v>
      </c>
      <c r="E21" s="290"/>
      <c r="F21" s="290">
        <f t="shared" si="0"/>
        <v>75000</v>
      </c>
      <c r="G21" s="294">
        <v>3801.19</v>
      </c>
      <c r="H21" s="291">
        <f t="shared" si="1"/>
        <v>10832.15</v>
      </c>
      <c r="I21" s="291">
        <f t="shared" si="2"/>
        <v>64167.849999999991</v>
      </c>
      <c r="J21" s="292"/>
    </row>
    <row r="22" spans="1:10" s="275" customFormat="1" ht="12.75" customHeight="1" x14ac:dyDescent="0.25">
      <c r="A22" s="220" t="s">
        <v>268</v>
      </c>
      <c r="B22" s="221">
        <v>45937</v>
      </c>
      <c r="C22" s="219">
        <v>9500</v>
      </c>
      <c r="D22" s="222" t="s">
        <v>271</v>
      </c>
      <c r="E22" s="290"/>
      <c r="F22" s="290">
        <f t="shared" si="0"/>
        <v>75000</v>
      </c>
      <c r="G22" s="294">
        <v>2413.6</v>
      </c>
      <c r="H22" s="291">
        <f t="shared" si="1"/>
        <v>13245.75</v>
      </c>
      <c r="I22" s="291">
        <f t="shared" si="2"/>
        <v>61754.249999999993</v>
      </c>
      <c r="J22" s="292"/>
    </row>
    <row r="23" spans="1:10" s="275" customFormat="1" ht="12.75" customHeight="1" x14ac:dyDescent="0.25">
      <c r="A23" s="220" t="s">
        <v>322</v>
      </c>
      <c r="B23" s="221">
        <v>45968</v>
      </c>
      <c r="C23" s="219" t="s">
        <v>269</v>
      </c>
      <c r="D23" s="179" t="s">
        <v>323</v>
      </c>
      <c r="E23" s="290"/>
      <c r="F23" s="290">
        <f t="shared" si="0"/>
        <v>75000</v>
      </c>
      <c r="G23" s="294">
        <v>2021.01</v>
      </c>
      <c r="H23" s="291">
        <f t="shared" si="1"/>
        <v>15266.76</v>
      </c>
      <c r="I23" s="291">
        <f t="shared" si="2"/>
        <v>59733.239999999991</v>
      </c>
      <c r="J23" s="292"/>
    </row>
    <row r="24" spans="1:10" s="275" customFormat="1" ht="12.75" customHeight="1" x14ac:dyDescent="0.25">
      <c r="A24" s="220" t="s">
        <v>322</v>
      </c>
      <c r="B24" s="221">
        <v>45968</v>
      </c>
      <c r="C24" s="219">
        <v>9500</v>
      </c>
      <c r="D24" s="222" t="s">
        <v>324</v>
      </c>
      <c r="E24" s="290"/>
      <c r="F24" s="290">
        <f t="shared" si="0"/>
        <v>75000</v>
      </c>
      <c r="G24" s="294">
        <v>27910.6</v>
      </c>
      <c r="H24" s="291">
        <f t="shared" si="1"/>
        <v>43177.36</v>
      </c>
      <c r="I24" s="291">
        <f t="shared" si="2"/>
        <v>31822.639999999992</v>
      </c>
      <c r="J24" s="292"/>
    </row>
    <row r="25" spans="1:10" s="275" customFormat="1" ht="12.75" customHeight="1" x14ac:dyDescent="0.25">
      <c r="A25" s="222" t="s">
        <v>325</v>
      </c>
      <c r="B25" s="221">
        <v>45974</v>
      </c>
      <c r="C25" s="219">
        <v>2507</v>
      </c>
      <c r="D25" s="222" t="s">
        <v>326</v>
      </c>
      <c r="E25" s="290"/>
      <c r="F25" s="290">
        <f t="shared" si="0"/>
        <v>75000</v>
      </c>
      <c r="G25" s="294">
        <v>300.33999999999997</v>
      </c>
      <c r="H25" s="291">
        <f t="shared" si="1"/>
        <v>43477.7</v>
      </c>
      <c r="I25" s="291">
        <f t="shared" si="2"/>
        <v>31522.299999999992</v>
      </c>
      <c r="J25" s="292"/>
    </row>
    <row r="26" spans="1:10" s="275" customFormat="1" ht="12.75" customHeight="1" x14ac:dyDescent="0.25">
      <c r="A26" s="222" t="s">
        <v>325</v>
      </c>
      <c r="B26" s="221">
        <v>45974</v>
      </c>
      <c r="C26" s="219">
        <v>9500</v>
      </c>
      <c r="D26" s="222" t="s">
        <v>326</v>
      </c>
      <c r="E26" s="290"/>
      <c r="F26" s="290">
        <f t="shared" si="0"/>
        <v>75000</v>
      </c>
      <c r="G26" s="294">
        <v>571.20000000000005</v>
      </c>
      <c r="H26" s="291">
        <f t="shared" si="1"/>
        <v>44048.899999999994</v>
      </c>
      <c r="I26" s="291">
        <f t="shared" si="2"/>
        <v>30951.099999999991</v>
      </c>
      <c r="J26" s="292"/>
    </row>
    <row r="27" spans="1:10" s="275" customFormat="1" ht="12.75" customHeight="1" x14ac:dyDescent="0.2">
      <c r="A27" s="213" t="s">
        <v>373</v>
      </c>
      <c r="B27" s="214">
        <v>45996</v>
      </c>
      <c r="C27" s="332" t="s">
        <v>269</v>
      </c>
      <c r="D27" s="175" t="s">
        <v>374</v>
      </c>
      <c r="E27" s="290"/>
      <c r="F27" s="290">
        <f t="shared" si="0"/>
        <v>75000</v>
      </c>
      <c r="G27" s="294">
        <v>2222.6999999999998</v>
      </c>
      <c r="H27" s="291">
        <f t="shared" si="1"/>
        <v>46271.599999999991</v>
      </c>
      <c r="I27" s="291">
        <f t="shared" si="2"/>
        <v>28728.399999999991</v>
      </c>
      <c r="J27" s="292"/>
    </row>
    <row r="28" spans="1:10" s="275" customFormat="1" ht="12.75" customHeight="1" x14ac:dyDescent="0.2">
      <c r="A28" s="213" t="s">
        <v>373</v>
      </c>
      <c r="B28" s="214">
        <v>45996</v>
      </c>
      <c r="C28" s="333">
        <v>9500</v>
      </c>
      <c r="D28" s="78" t="s">
        <v>375</v>
      </c>
      <c r="E28" s="290"/>
      <c r="F28" s="290">
        <f t="shared" si="0"/>
        <v>75000</v>
      </c>
      <c r="G28" s="294">
        <v>1513.8</v>
      </c>
      <c r="H28" s="291">
        <f t="shared" si="1"/>
        <v>47785.399999999994</v>
      </c>
      <c r="I28" s="291">
        <f t="shared" si="2"/>
        <v>27214.599999999991</v>
      </c>
      <c r="J28" s="292"/>
    </row>
    <row r="29" spans="1:10" s="275" customFormat="1" ht="12.75" customHeight="1" x14ac:dyDescent="0.2">
      <c r="A29" s="213" t="s">
        <v>433</v>
      </c>
      <c r="B29" s="214">
        <v>46030</v>
      </c>
      <c r="C29" s="332" t="s">
        <v>269</v>
      </c>
      <c r="D29" s="175" t="s">
        <v>434</v>
      </c>
      <c r="E29" s="290"/>
      <c r="F29" s="290">
        <f t="shared" si="0"/>
        <v>75000</v>
      </c>
      <c r="G29" s="294">
        <v>1572.63</v>
      </c>
      <c r="H29" s="291">
        <f t="shared" si="1"/>
        <v>49358.029999999992</v>
      </c>
      <c r="I29" s="291">
        <f t="shared" si="2"/>
        <v>25641.96999999999</v>
      </c>
      <c r="J29" s="292"/>
    </row>
    <row r="30" spans="1:10" s="275" customFormat="1" ht="12.75" customHeight="1" x14ac:dyDescent="0.2">
      <c r="A30" s="213" t="s">
        <v>433</v>
      </c>
      <c r="B30" s="214">
        <v>46030</v>
      </c>
      <c r="C30" s="333">
        <v>9500</v>
      </c>
      <c r="D30" s="78" t="s">
        <v>435</v>
      </c>
      <c r="E30" s="290"/>
      <c r="F30" s="290">
        <f t="shared" si="0"/>
        <v>75000</v>
      </c>
      <c r="G30" s="294">
        <v>2305.9</v>
      </c>
      <c r="H30" s="291">
        <f t="shared" si="1"/>
        <v>51663.929999999993</v>
      </c>
      <c r="I30" s="291">
        <f t="shared" si="2"/>
        <v>23336.069999999989</v>
      </c>
      <c r="J30" s="292"/>
    </row>
    <row r="31" spans="1:10" s="275" customFormat="1" ht="12.75" customHeight="1" x14ac:dyDescent="0.2">
      <c r="A31" s="213" t="s">
        <v>559</v>
      </c>
      <c r="B31" s="214">
        <v>46062</v>
      </c>
      <c r="C31" s="332" t="s">
        <v>269</v>
      </c>
      <c r="D31" s="175" t="s">
        <v>560</v>
      </c>
      <c r="E31" s="290"/>
      <c r="F31" s="290">
        <f t="shared" si="0"/>
        <v>75000</v>
      </c>
      <c r="G31" s="294">
        <v>1295.7</v>
      </c>
      <c r="H31" s="291">
        <f t="shared" si="1"/>
        <v>52959.62999999999</v>
      </c>
      <c r="I31" s="291">
        <f t="shared" si="2"/>
        <v>22040.369999999988</v>
      </c>
      <c r="J31" s="292"/>
    </row>
    <row r="32" spans="1:10" s="275" customFormat="1" ht="12.75" customHeight="1" x14ac:dyDescent="0.2">
      <c r="A32" s="213" t="s">
        <v>559</v>
      </c>
      <c r="B32" s="214">
        <v>46062</v>
      </c>
      <c r="C32" s="333">
        <v>9500</v>
      </c>
      <c r="D32" s="78" t="s">
        <v>561</v>
      </c>
      <c r="E32" s="290"/>
      <c r="F32" s="290">
        <f t="shared" si="0"/>
        <v>75000</v>
      </c>
      <c r="G32" s="294">
        <v>1468.4</v>
      </c>
      <c r="H32" s="291">
        <f t="shared" si="1"/>
        <v>54428.029999999992</v>
      </c>
      <c r="I32" s="291">
        <f t="shared" si="2"/>
        <v>20571.969999999987</v>
      </c>
      <c r="J32" s="292"/>
    </row>
    <row r="33" spans="1:10" s="275" customFormat="1" ht="12.75" customHeight="1" x14ac:dyDescent="0.2">
      <c r="A33" s="213" t="s">
        <v>663</v>
      </c>
      <c r="B33" s="214">
        <v>46090</v>
      </c>
      <c r="C33" s="332" t="s">
        <v>269</v>
      </c>
      <c r="D33" s="175" t="s">
        <v>664</v>
      </c>
      <c r="E33" s="290"/>
      <c r="F33" s="290">
        <f t="shared" si="0"/>
        <v>75000</v>
      </c>
      <c r="G33" s="294">
        <v>1448.3</v>
      </c>
      <c r="H33" s="291">
        <f t="shared" si="1"/>
        <v>55876.329999999994</v>
      </c>
      <c r="I33" s="291">
        <f t="shared" si="2"/>
        <v>19123.669999999987</v>
      </c>
      <c r="J33" s="292"/>
    </row>
    <row r="34" spans="1:10" s="275" customFormat="1" ht="12.75" customHeight="1" x14ac:dyDescent="0.2">
      <c r="A34" s="213" t="s">
        <v>663</v>
      </c>
      <c r="B34" s="214">
        <v>46090</v>
      </c>
      <c r="C34" s="333">
        <v>9500</v>
      </c>
      <c r="D34" s="78" t="s">
        <v>665</v>
      </c>
      <c r="E34" s="290"/>
      <c r="F34" s="290">
        <f t="shared" si="0"/>
        <v>75000</v>
      </c>
      <c r="G34" s="294">
        <v>1782.4</v>
      </c>
      <c r="H34" s="291">
        <f t="shared" si="1"/>
        <v>57658.729999999996</v>
      </c>
      <c r="I34" s="291">
        <f t="shared" si="2"/>
        <v>17341.269999999986</v>
      </c>
      <c r="J34" s="292"/>
    </row>
    <row r="35" spans="1:10" s="275" customFormat="1" ht="12.75" customHeight="1" x14ac:dyDescent="0.2">
      <c r="A35" s="213"/>
      <c r="B35" s="214"/>
      <c r="C35" s="333"/>
      <c r="D35" s="78"/>
      <c r="E35" s="290"/>
      <c r="F35" s="290">
        <f t="shared" si="0"/>
        <v>75000</v>
      </c>
      <c r="G35" s="294"/>
      <c r="H35" s="291">
        <f t="shared" si="1"/>
        <v>57658.729999999996</v>
      </c>
      <c r="I35" s="291">
        <f t="shared" si="2"/>
        <v>17341.269999999986</v>
      </c>
      <c r="J35" s="292"/>
    </row>
    <row r="36" spans="1:10" s="275" customFormat="1" ht="12.75" customHeight="1" x14ac:dyDescent="0.2">
      <c r="A36" s="213"/>
      <c r="B36" s="214"/>
      <c r="C36" s="333"/>
      <c r="D36" s="78"/>
      <c r="E36" s="290"/>
      <c r="F36" s="290">
        <f t="shared" si="0"/>
        <v>75000</v>
      </c>
      <c r="G36" s="294"/>
      <c r="H36" s="291">
        <f t="shared" si="1"/>
        <v>57658.729999999996</v>
      </c>
      <c r="I36" s="291">
        <f t="shared" si="2"/>
        <v>17341.269999999986</v>
      </c>
      <c r="J36" s="292"/>
    </row>
    <row r="37" spans="1:10" s="275" customFormat="1" ht="12.75" customHeight="1" x14ac:dyDescent="0.25">
      <c r="A37" s="217"/>
      <c r="B37" s="218"/>
      <c r="C37" s="219"/>
      <c r="D37" s="180"/>
      <c r="E37" s="290"/>
      <c r="F37" s="290">
        <f t="shared" si="0"/>
        <v>75000</v>
      </c>
      <c r="G37" s="299"/>
      <c r="H37" s="291">
        <f t="shared" si="1"/>
        <v>57658.729999999996</v>
      </c>
      <c r="I37" s="291">
        <f t="shared" si="2"/>
        <v>17341.269999999986</v>
      </c>
      <c r="J37" s="292"/>
    </row>
    <row r="38" spans="1:10" s="275" customFormat="1" ht="12.75" customHeight="1" x14ac:dyDescent="0.25">
      <c r="A38" s="286"/>
      <c r="B38" s="288"/>
      <c r="C38" s="219"/>
      <c r="D38" s="297"/>
      <c r="E38" s="291"/>
      <c r="F38" s="291"/>
      <c r="G38" s="291"/>
      <c r="H38" s="291"/>
      <c r="I38" s="291"/>
      <c r="J38" s="292"/>
    </row>
    <row r="39" spans="1:10" s="275" customFormat="1" ht="12.75" customHeight="1" thickBot="1" x14ac:dyDescent="0.3">
      <c r="A39" s="286"/>
      <c r="B39" s="300"/>
      <c r="C39" s="219"/>
      <c r="D39" s="301" t="s">
        <v>24</v>
      </c>
      <c r="E39" s="302">
        <f>SUM(E9:E38)</f>
        <v>75000</v>
      </c>
      <c r="F39" s="302"/>
      <c r="G39" s="302">
        <f>SUM(G9:G38)</f>
        <v>57658.729999999996</v>
      </c>
      <c r="H39" s="302"/>
      <c r="I39" s="302">
        <f>E39-G39</f>
        <v>17341.270000000004</v>
      </c>
      <c r="J39" s="292"/>
    </row>
    <row r="40" spans="1:10" s="275" customFormat="1" ht="12.75" customHeight="1" thickTop="1" x14ac:dyDescent="0.25"/>
    <row r="41" spans="1:10" s="275"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BF20-9D9C-4F09-BE96-A0F6F6231FA0}">
  <sheetPr>
    <tabColor indexed="30"/>
    <pageSetUpPr fitToPage="1"/>
  </sheetPr>
  <dimension ref="A1:J24"/>
  <sheetViews>
    <sheetView zoomScaleNormal="100" workbookViewId="0">
      <selection activeCell="G11" sqref="G11"/>
    </sheetView>
  </sheetViews>
  <sheetFormatPr defaultColWidth="11.42578125" defaultRowHeight="15" customHeight="1" x14ac:dyDescent="0.25"/>
  <cols>
    <col min="1" max="1" width="24.5703125" customWidth="1"/>
    <col min="2" max="3" width="9.42578125" customWidth="1"/>
    <col min="4" max="4" width="43.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#9495.00'!B1</f>
        <v>HHS IMHI Boiler #3 Replacement</v>
      </c>
      <c r="B1" s="3"/>
      <c r="C1" s="3"/>
      <c r="D1" s="4"/>
      <c r="E1" s="4"/>
      <c r="F1" s="4"/>
      <c r="G1" s="33"/>
      <c r="H1" s="33"/>
      <c r="I1" s="34"/>
      <c r="J1" s="34"/>
    </row>
    <row r="2" spans="1:10" ht="15.75" x14ac:dyDescent="0.25">
      <c r="A2" s="6" t="str">
        <f>'RECAP #9495.00'!B2</f>
        <v>Project # 9495.00</v>
      </c>
      <c r="B2" s="5"/>
      <c r="C2" s="5"/>
      <c r="D2" s="4"/>
      <c r="E2" s="4"/>
      <c r="F2" s="4"/>
      <c r="G2" s="33"/>
      <c r="H2" s="33"/>
      <c r="I2" s="34"/>
      <c r="J2" s="34"/>
    </row>
    <row r="3" spans="1:10" ht="15.75" x14ac:dyDescent="0.25">
      <c r="A3" s="7" t="str">
        <f>'RECAP #9495.00'!B3</f>
        <v>Program code 949500</v>
      </c>
      <c r="B3" s="5"/>
      <c r="C3" s="5"/>
      <c r="D3" s="4"/>
      <c r="E3" s="8" t="str">
        <f>'RECAP #9495.00'!E3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239</v>
      </c>
      <c r="F6" s="49"/>
      <c r="G6" s="50"/>
      <c r="H6" s="46"/>
      <c r="I6" s="41"/>
      <c r="J6" s="34"/>
    </row>
    <row r="7" spans="1:10" ht="15.75" x14ac:dyDescent="0.25">
      <c r="A7" s="13" t="str">
        <f>'RECAP #9495.00'!B6</f>
        <v>Project Manager - Oliver S. (JE)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61"/>
      <c r="F9" s="62">
        <f>E9</f>
        <v>0</v>
      </c>
      <c r="G9" s="63"/>
      <c r="H9" s="63"/>
      <c r="I9" s="178">
        <f>F9</f>
        <v>0</v>
      </c>
      <c r="J9" s="64"/>
    </row>
    <row r="10" spans="1:10" x14ac:dyDescent="0.25">
      <c r="A10" s="213" t="s">
        <v>268</v>
      </c>
      <c r="B10" s="214">
        <v>45937</v>
      </c>
      <c r="C10" s="215" t="s">
        <v>269</v>
      </c>
      <c r="D10" s="175" t="s">
        <v>270</v>
      </c>
      <c r="E10" s="62"/>
      <c r="F10" s="62">
        <f t="shared" ref="F10:F21" si="0">F9+E10</f>
        <v>0</v>
      </c>
      <c r="G10" s="176">
        <v>274.14</v>
      </c>
      <c r="H10" s="63">
        <f t="shared" ref="H10:H21" si="1">H9+G10</f>
        <v>274.14</v>
      </c>
      <c r="I10" s="74">
        <f t="shared" ref="I10:I21" si="2">I9-G10+E10</f>
        <v>-274.14</v>
      </c>
      <c r="J10" s="64"/>
    </row>
    <row r="11" spans="1:10" x14ac:dyDescent="0.25">
      <c r="A11" s="213" t="s">
        <v>268</v>
      </c>
      <c r="B11" s="214">
        <v>45937</v>
      </c>
      <c r="C11" s="216">
        <v>9500</v>
      </c>
      <c r="D11" s="78" t="s">
        <v>271</v>
      </c>
      <c r="E11" s="62"/>
      <c r="F11" s="62">
        <f t="shared" si="0"/>
        <v>0</v>
      </c>
      <c r="G11" s="176">
        <v>1410.3</v>
      </c>
      <c r="H11" s="63">
        <f t="shared" si="1"/>
        <v>1684.44</v>
      </c>
      <c r="I11" s="74">
        <f t="shared" si="2"/>
        <v>-1684.44</v>
      </c>
      <c r="J11" s="64"/>
    </row>
    <row r="12" spans="1:10" x14ac:dyDescent="0.25">
      <c r="A12" s="174" t="s">
        <v>272</v>
      </c>
      <c r="B12" s="59">
        <v>45937</v>
      </c>
      <c r="C12" s="215">
        <v>2507</v>
      </c>
      <c r="D12" s="77" t="s">
        <v>273</v>
      </c>
      <c r="E12" s="62"/>
      <c r="F12" s="62">
        <f t="shared" si="0"/>
        <v>0</v>
      </c>
      <c r="G12" s="178">
        <v>-274.14</v>
      </c>
      <c r="H12" s="63">
        <f t="shared" si="1"/>
        <v>1410.3000000000002</v>
      </c>
      <c r="I12" s="74">
        <f t="shared" si="2"/>
        <v>-1410.3000000000002</v>
      </c>
      <c r="J12" s="64"/>
    </row>
    <row r="13" spans="1:10" x14ac:dyDescent="0.25">
      <c r="A13" s="174" t="s">
        <v>272</v>
      </c>
      <c r="B13" s="59">
        <v>45937</v>
      </c>
      <c r="C13" s="216">
        <v>9500</v>
      </c>
      <c r="D13" s="77" t="s">
        <v>273</v>
      </c>
      <c r="E13" s="62"/>
      <c r="F13" s="62">
        <f t="shared" si="0"/>
        <v>0</v>
      </c>
      <c r="G13" s="178">
        <v>-1410.3</v>
      </c>
      <c r="H13" s="63">
        <f t="shared" si="1"/>
        <v>0</v>
      </c>
      <c r="I13" s="63">
        <f t="shared" si="2"/>
        <v>-2.2737367544323206E-13</v>
      </c>
      <c r="J13" s="64"/>
    </row>
    <row r="14" spans="1:10" x14ac:dyDescent="0.25">
      <c r="A14" s="79"/>
      <c r="B14" s="59"/>
      <c r="C14" s="59"/>
      <c r="D14" s="77"/>
      <c r="E14" s="62"/>
      <c r="F14" s="62">
        <f t="shared" si="0"/>
        <v>0</v>
      </c>
      <c r="G14" s="63"/>
      <c r="H14" s="63">
        <f t="shared" si="1"/>
        <v>0</v>
      </c>
      <c r="I14" s="63">
        <f t="shared" si="2"/>
        <v>-2.2737367544323206E-13</v>
      </c>
      <c r="J14" s="64"/>
    </row>
    <row r="15" spans="1:10" x14ac:dyDescent="0.25">
      <c r="A15" s="79"/>
      <c r="B15" s="59"/>
      <c r="C15" s="59"/>
      <c r="D15" s="77"/>
      <c r="E15" s="62"/>
      <c r="F15" s="62">
        <f t="shared" si="0"/>
        <v>0</v>
      </c>
      <c r="G15" s="66"/>
      <c r="H15" s="63">
        <f t="shared" si="1"/>
        <v>0</v>
      </c>
      <c r="I15" s="63">
        <f t="shared" si="2"/>
        <v>-2.2737367544323206E-13</v>
      </c>
      <c r="J15" s="64"/>
    </row>
    <row r="16" spans="1:10" x14ac:dyDescent="0.25">
      <c r="A16" s="79"/>
      <c r="B16" s="59"/>
      <c r="C16" s="59"/>
      <c r="D16" s="77"/>
      <c r="E16" s="62"/>
      <c r="F16" s="62">
        <f t="shared" si="0"/>
        <v>0</v>
      </c>
      <c r="G16" s="66"/>
      <c r="H16" s="63">
        <f t="shared" si="1"/>
        <v>0</v>
      </c>
      <c r="I16" s="63">
        <f t="shared" si="2"/>
        <v>-2.2737367544323206E-13</v>
      </c>
      <c r="J16" s="64"/>
    </row>
    <row r="17" spans="1:10" x14ac:dyDescent="0.25">
      <c r="A17" s="79"/>
      <c r="B17" s="59"/>
      <c r="C17" s="59"/>
      <c r="D17" s="77"/>
      <c r="E17" s="62"/>
      <c r="F17" s="62">
        <f t="shared" si="0"/>
        <v>0</v>
      </c>
      <c r="G17" s="66"/>
      <c r="H17" s="63">
        <f t="shared" si="1"/>
        <v>0</v>
      </c>
      <c r="I17" s="63">
        <f t="shared" si="2"/>
        <v>-2.2737367544323206E-13</v>
      </c>
      <c r="J17" s="64"/>
    </row>
    <row r="18" spans="1:10" x14ac:dyDescent="0.25">
      <c r="A18" s="79"/>
      <c r="B18" s="59"/>
      <c r="C18" s="59"/>
      <c r="D18" s="77"/>
      <c r="E18" s="62"/>
      <c r="F18" s="62">
        <f t="shared" si="0"/>
        <v>0</v>
      </c>
      <c r="G18" s="66"/>
      <c r="H18" s="63">
        <f t="shared" si="1"/>
        <v>0</v>
      </c>
      <c r="I18" s="63">
        <f t="shared" si="2"/>
        <v>-2.2737367544323206E-13</v>
      </c>
      <c r="J18" s="64"/>
    </row>
    <row r="19" spans="1:10" x14ac:dyDescent="0.25">
      <c r="A19" s="76"/>
      <c r="B19" s="59"/>
      <c r="C19" s="59"/>
      <c r="D19" s="77"/>
      <c r="E19" s="62"/>
      <c r="F19" s="62">
        <f t="shared" si="0"/>
        <v>0</v>
      </c>
      <c r="G19" s="63"/>
      <c r="H19" s="63">
        <f t="shared" si="1"/>
        <v>0</v>
      </c>
      <c r="I19" s="63">
        <f t="shared" si="2"/>
        <v>-2.2737367544323206E-13</v>
      </c>
      <c r="J19" s="64"/>
    </row>
    <row r="20" spans="1:10" x14ac:dyDescent="0.25">
      <c r="A20" s="76"/>
      <c r="B20" s="59"/>
      <c r="C20" s="59"/>
      <c r="D20" s="77"/>
      <c r="E20" s="62"/>
      <c r="F20" s="62">
        <f t="shared" si="0"/>
        <v>0</v>
      </c>
      <c r="G20" s="63"/>
      <c r="H20" s="63">
        <f t="shared" si="1"/>
        <v>0</v>
      </c>
      <c r="I20" s="63">
        <f t="shared" si="2"/>
        <v>-2.2737367544323206E-13</v>
      </c>
      <c r="J20" s="64"/>
    </row>
    <row r="21" spans="1:10" x14ac:dyDescent="0.25">
      <c r="A21" s="76"/>
      <c r="B21" s="59"/>
      <c r="C21" s="59"/>
      <c r="D21" s="80"/>
      <c r="E21" s="62"/>
      <c r="F21" s="62">
        <f t="shared" si="0"/>
        <v>0</v>
      </c>
      <c r="G21" s="63"/>
      <c r="H21" s="63">
        <f t="shared" si="1"/>
        <v>0</v>
      </c>
      <c r="I21" s="63">
        <f t="shared" si="2"/>
        <v>-2.2737367544323206E-13</v>
      </c>
      <c r="J21" s="64"/>
    </row>
    <row r="22" spans="1:10" x14ac:dyDescent="0.25">
      <c r="A22" s="72"/>
      <c r="B22" s="60"/>
      <c r="C22" s="60"/>
      <c r="D22" s="68"/>
      <c r="E22" s="63"/>
      <c r="F22" s="63"/>
      <c r="G22" s="63"/>
      <c r="H22" s="63"/>
      <c r="I22" s="63"/>
      <c r="J22" s="64"/>
    </row>
    <row r="23" spans="1:10" ht="15.75" thickBot="1" x14ac:dyDescent="0.3">
      <c r="A23" s="72"/>
      <c r="B23" s="69"/>
      <c r="C23" s="69"/>
      <c r="D23" s="70" t="s">
        <v>24</v>
      </c>
      <c r="E23" s="71">
        <f>SUM(E9:E22)</f>
        <v>0</v>
      </c>
      <c r="F23" s="71"/>
      <c r="G23" s="71">
        <f>SUM(G9:G22)</f>
        <v>0</v>
      </c>
      <c r="H23" s="71"/>
      <c r="I23" s="71">
        <f>E23-G23</f>
        <v>0</v>
      </c>
      <c r="J23" s="64"/>
    </row>
    <row r="24" spans="1:10" ht="1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4D5CD-B65A-498B-864D-58FB5989CAC0}">
  <sheetPr>
    <tabColor indexed="30"/>
    <pageSetUpPr fitToPage="1"/>
  </sheetPr>
  <dimension ref="A1:H23"/>
  <sheetViews>
    <sheetView zoomScaleNormal="100" workbookViewId="0">
      <selection activeCell="C8" sqref="C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#9495.00'!B1</f>
        <v>HHS IMHI Boiler #3 Replacement</v>
      </c>
      <c r="B1" s="3"/>
      <c r="C1" s="3"/>
      <c r="D1" s="3"/>
      <c r="E1" s="4"/>
      <c r="F1" s="4"/>
      <c r="G1" s="4"/>
      <c r="H1" s="33"/>
    </row>
    <row r="2" spans="1:8" ht="15.75" x14ac:dyDescent="0.25">
      <c r="A2" s="6" t="str">
        <f>'RECAP #9495.00'!B2</f>
        <v>Project # 9495.00</v>
      </c>
      <c r="B2" s="5"/>
      <c r="C2" s="5"/>
      <c r="D2" s="5"/>
      <c r="E2" s="4"/>
      <c r="F2" s="4"/>
      <c r="G2" s="4"/>
      <c r="H2" s="33"/>
    </row>
    <row r="3" spans="1:8" ht="15.75" x14ac:dyDescent="0.25">
      <c r="A3" s="7" t="str">
        <f>'RECAP #9495.00'!B3</f>
        <v>Program code 949500</v>
      </c>
      <c r="B3" s="5"/>
      <c r="C3" s="5"/>
      <c r="D3" s="5"/>
      <c r="E3" s="8" t="str">
        <f>'RECAP #9495.00'!E3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#9495.00'!B6</f>
        <v>Project Manager - Oliver S. (JE)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40BD7-C025-4206-8E58-5E640FFFE08F}">
  <sheetPr>
    <pageSetUpPr fitToPage="1"/>
  </sheetPr>
  <dimension ref="A1:G16"/>
  <sheetViews>
    <sheetView zoomScaleNormal="100" workbookViewId="0">
      <selection activeCell="K24" sqref="K2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153</v>
      </c>
      <c r="C1" s="3"/>
      <c r="D1" s="4"/>
      <c r="E1" s="4"/>
      <c r="F1" s="4"/>
      <c r="G1" s="4"/>
    </row>
    <row r="2" spans="1:7" ht="15.75" x14ac:dyDescent="0.25">
      <c r="A2" s="1"/>
      <c r="B2" s="6" t="s">
        <v>187</v>
      </c>
      <c r="C2" s="5"/>
      <c r="D2" s="4"/>
      <c r="E2" s="4"/>
      <c r="F2" s="4"/>
      <c r="G2" s="4"/>
    </row>
    <row r="3" spans="1:7" ht="15.75" x14ac:dyDescent="0.25">
      <c r="A3" s="1"/>
      <c r="B3" s="7" t="s">
        <v>188</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472</v>
      </c>
      <c r="C6" s="14"/>
      <c r="D6" s="15" t="s">
        <v>2</v>
      </c>
      <c r="E6" s="16"/>
      <c r="F6" s="16"/>
      <c r="G6" s="16"/>
    </row>
    <row r="7" spans="1:7" ht="31.5" customHeight="1" thickBot="1" x14ac:dyDescent="0.3">
      <c r="A7" s="1"/>
      <c r="B7" s="18" t="s">
        <v>2</v>
      </c>
      <c r="C7" s="19" t="s">
        <v>3</v>
      </c>
      <c r="D7" s="20" t="s">
        <v>4</v>
      </c>
      <c r="E7" s="21" t="s">
        <v>5</v>
      </c>
      <c r="F7" s="22" t="s">
        <v>6</v>
      </c>
      <c r="G7" s="22" t="s">
        <v>7</v>
      </c>
    </row>
    <row r="8" spans="1:7" ht="28.35" customHeight="1" x14ac:dyDescent="0.25">
      <c r="A8" s="1"/>
      <c r="B8" s="1" t="s">
        <v>8</v>
      </c>
      <c r="C8" s="23">
        <f>FINANCIAL!G23</f>
        <v>250000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03"/>
      <c r="B10" s="304" t="s">
        <v>261</v>
      </c>
      <c r="C10" s="305"/>
      <c r="D10" s="308">
        <f>'#9496.00 McGough Construction'!D23</f>
        <v>17978.830000000002</v>
      </c>
      <c r="E10" s="308">
        <f>'#9496.00 McGough Construction'!F23</f>
        <v>3526.81</v>
      </c>
      <c r="F10" s="308">
        <f>'#9496.00 McGough Construction'!H23</f>
        <v>14452.020000000002</v>
      </c>
      <c r="G10" s="307"/>
    </row>
    <row r="11" spans="1:7" s="275" customFormat="1" ht="12.75" customHeight="1" x14ac:dyDescent="0.25">
      <c r="A11" s="303"/>
      <c r="B11" s="304" t="s">
        <v>10</v>
      </c>
      <c r="C11" s="305"/>
      <c r="D11" s="308">
        <f>'#9496.00 PM TIME'!E23</f>
        <v>10000</v>
      </c>
      <c r="E11" s="308">
        <f>'#9496.00 PM TIME'!G23</f>
        <v>2466.3200000000002</v>
      </c>
      <c r="F11" s="308">
        <f>'#9496.00 PM TIME'!I23</f>
        <v>7533.68</v>
      </c>
      <c r="G11" s="307"/>
    </row>
    <row r="12" spans="1:7" s="275" customFormat="1" ht="12.75" customHeight="1" x14ac:dyDescent="0.25">
      <c r="A12" s="303"/>
      <c r="B12" s="304" t="s">
        <v>11</v>
      </c>
      <c r="C12" s="306"/>
      <c r="D12" s="309">
        <f>'#9496.00 Misc'!G22</f>
        <v>0</v>
      </c>
      <c r="E12" s="309">
        <f>'#9496.00 Misc'!H22</f>
        <v>0</v>
      </c>
      <c r="F12" s="308">
        <f>D12-E12</f>
        <v>0</v>
      </c>
      <c r="G12" s="307"/>
    </row>
    <row r="13" spans="1:7" s="275" customFormat="1" ht="12.75" customHeight="1" x14ac:dyDescent="0.25">
      <c r="A13" s="303"/>
      <c r="B13" s="304" t="s">
        <v>404</v>
      </c>
      <c r="C13" s="306"/>
      <c r="D13" s="309">
        <f>'#9496.00 CMB Architects'!D23</f>
        <v>37360</v>
      </c>
      <c r="E13" s="309">
        <f>'#9496.00 CMB Architects'!F23</f>
        <v>1500</v>
      </c>
      <c r="F13" s="308">
        <f>'#9496.00 CMB Architects'!H23</f>
        <v>35860</v>
      </c>
      <c r="G13" s="307"/>
    </row>
    <row r="14" spans="1:7" s="275" customFormat="1" ht="12.75" customHeight="1" x14ac:dyDescent="0.25">
      <c r="A14" s="310"/>
      <c r="B14" s="304"/>
      <c r="C14" s="306"/>
      <c r="D14" s="309"/>
      <c r="E14" s="309"/>
      <c r="F14" s="308"/>
      <c r="G14" s="311"/>
    </row>
    <row r="15" spans="1:7" ht="24" customHeight="1" thickBot="1" x14ac:dyDescent="0.3">
      <c r="A15" s="30"/>
      <c r="B15" s="31" t="s">
        <v>12</v>
      </c>
      <c r="C15" s="32">
        <f>SUM(C8:C14)</f>
        <v>250000</v>
      </c>
      <c r="D15" s="32">
        <f>SUM(D8:D14)</f>
        <v>65338.83</v>
      </c>
      <c r="E15" s="32">
        <f>SUM(E8:E14)</f>
        <v>7493.13</v>
      </c>
      <c r="F15" s="32">
        <f>SUM(D15-E15)</f>
        <v>57845.700000000004</v>
      </c>
      <c r="G15" s="32">
        <f>C8-D15</f>
        <v>184661.16999999998</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7A34-561C-4D5F-B438-4044B2FED772}">
  <sheetPr>
    <pageSetUpPr fitToPage="1"/>
  </sheetPr>
  <dimension ref="A1:I176"/>
  <sheetViews>
    <sheetView zoomScaleNormal="100" workbookViewId="0">
      <selection activeCell="R15" sqref="R1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#9496.00'!B1</f>
        <v>DOC NCCF Replace Windows in Education Building</v>
      </c>
      <c r="B1" s="3"/>
      <c r="C1" s="4"/>
      <c r="D1" s="4"/>
      <c r="E1" s="4"/>
      <c r="F1" s="33"/>
      <c r="G1" s="33"/>
      <c r="H1" s="34"/>
      <c r="I1" s="34"/>
    </row>
    <row r="2" spans="1:9" ht="15.75" x14ac:dyDescent="0.25">
      <c r="A2" s="6" t="str">
        <f>'RECAP #9496.00'!B2</f>
        <v>Project # 9496.00</v>
      </c>
      <c r="B2" s="5"/>
      <c r="C2" s="4"/>
      <c r="D2" s="4"/>
      <c r="E2" s="4"/>
      <c r="F2" s="33"/>
      <c r="G2" s="33"/>
      <c r="H2" s="34"/>
      <c r="I2" s="34"/>
    </row>
    <row r="3" spans="1:9" ht="15.75" x14ac:dyDescent="0.25">
      <c r="A3" s="7" t="str">
        <f>'RECAP #9496.00'!B3</f>
        <v>Program code 949600</v>
      </c>
      <c r="B3" s="5"/>
      <c r="C3" s="4"/>
      <c r="D3" s="8" t="str">
        <f>'RECAP #9496.00'!E3</f>
        <v>Major Program 4E01</v>
      </c>
      <c r="E3" s="4"/>
      <c r="F3" s="33"/>
      <c r="G3" s="33"/>
      <c r="H3" s="34"/>
      <c r="I3" s="34"/>
    </row>
    <row r="4" spans="1:9" ht="15.75" x14ac:dyDescent="0.25">
      <c r="A4" s="35" t="s">
        <v>261</v>
      </c>
      <c r="B4" s="36"/>
      <c r="C4" s="37"/>
      <c r="D4" s="38" t="s">
        <v>262</v>
      </c>
      <c r="E4" s="39"/>
      <c r="F4" s="33"/>
      <c r="G4" s="33"/>
      <c r="H4" s="34"/>
      <c r="I4" s="34"/>
    </row>
    <row r="5" spans="1:9" ht="15.75" x14ac:dyDescent="0.25">
      <c r="A5" s="40" t="s">
        <v>106</v>
      </c>
      <c r="B5" s="41"/>
      <c r="C5" s="42"/>
      <c r="D5" s="43" t="s">
        <v>263</v>
      </c>
      <c r="E5" s="44"/>
      <c r="F5" s="45"/>
      <c r="G5" s="46"/>
      <c r="H5" s="41"/>
      <c r="I5" s="34"/>
    </row>
    <row r="6" spans="1:9" ht="15.75" x14ac:dyDescent="0.25">
      <c r="A6" s="13" t="str">
        <f>'RECAP #9496.00'!B6</f>
        <v>Project Manager - Jennie 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473</v>
      </c>
      <c r="B9" s="287">
        <v>46045</v>
      </c>
      <c r="C9" s="288" t="s">
        <v>111</v>
      </c>
      <c r="D9" s="289">
        <v>17978.830000000002</v>
      </c>
      <c r="E9" s="290">
        <f>D9</f>
        <v>17978.830000000002</v>
      </c>
      <c r="F9" s="291"/>
      <c r="G9" s="291"/>
      <c r="H9" s="291">
        <f>E9</f>
        <v>17978.830000000002</v>
      </c>
      <c r="I9" s="292"/>
    </row>
    <row r="10" spans="1:9" s="275" customFormat="1" ht="12.75" customHeight="1" x14ac:dyDescent="0.25">
      <c r="A10" s="286" t="s">
        <v>562</v>
      </c>
      <c r="B10" s="293">
        <v>46065</v>
      </c>
      <c r="C10" s="288" t="s">
        <v>563</v>
      </c>
      <c r="D10" s="290"/>
      <c r="E10" s="290">
        <f t="shared" ref="E10:E21" si="0">E9+D10</f>
        <v>17978.830000000002</v>
      </c>
      <c r="F10" s="294">
        <v>1050.8499999999999</v>
      </c>
      <c r="G10" s="291">
        <f t="shared" ref="G10:G21" si="1">G9+F10</f>
        <v>1050.8499999999999</v>
      </c>
      <c r="H10" s="291">
        <f t="shared" ref="H10:H21" si="2">H9-F10+D10</f>
        <v>16927.980000000003</v>
      </c>
      <c r="I10" s="292"/>
    </row>
    <row r="11" spans="1:9" s="275" customFormat="1" ht="12.75" customHeight="1" x14ac:dyDescent="0.25">
      <c r="A11" s="286" t="s">
        <v>659</v>
      </c>
      <c r="B11" s="287">
        <v>46091</v>
      </c>
      <c r="C11" s="288" t="s">
        <v>660</v>
      </c>
      <c r="D11" s="290"/>
      <c r="E11" s="290">
        <f t="shared" si="0"/>
        <v>17978.830000000002</v>
      </c>
      <c r="F11" s="294">
        <v>2475.96</v>
      </c>
      <c r="G11" s="291">
        <f t="shared" si="1"/>
        <v>3526.81</v>
      </c>
      <c r="H11" s="291">
        <f t="shared" si="2"/>
        <v>14452.020000000004</v>
      </c>
      <c r="I11" s="292"/>
    </row>
    <row r="12" spans="1:9" s="275" customFormat="1" ht="12.75" customHeight="1" x14ac:dyDescent="0.25">
      <c r="A12" s="286"/>
      <c r="B12" s="287"/>
      <c r="C12" s="288"/>
      <c r="D12" s="290"/>
      <c r="E12" s="290">
        <f t="shared" si="0"/>
        <v>17978.830000000002</v>
      </c>
      <c r="F12" s="295"/>
      <c r="G12" s="291">
        <f t="shared" si="1"/>
        <v>3526.81</v>
      </c>
      <c r="H12" s="291">
        <f t="shared" si="2"/>
        <v>14452.020000000004</v>
      </c>
      <c r="I12" s="292"/>
    </row>
    <row r="13" spans="1:9" s="275" customFormat="1" ht="12.75" customHeight="1" x14ac:dyDescent="0.25">
      <c r="A13" s="286"/>
      <c r="B13" s="287"/>
      <c r="C13" s="288"/>
      <c r="D13" s="290"/>
      <c r="E13" s="290">
        <f t="shared" si="0"/>
        <v>17978.830000000002</v>
      </c>
      <c r="F13" s="295"/>
      <c r="G13" s="291">
        <f t="shared" si="1"/>
        <v>3526.81</v>
      </c>
      <c r="H13" s="291">
        <f t="shared" si="2"/>
        <v>14452.020000000004</v>
      </c>
      <c r="I13" s="292"/>
    </row>
    <row r="14" spans="1:9" s="275" customFormat="1" ht="12.75" customHeight="1" x14ac:dyDescent="0.25">
      <c r="A14" s="286"/>
      <c r="B14" s="287"/>
      <c r="C14" s="288"/>
      <c r="D14" s="290"/>
      <c r="E14" s="290">
        <f t="shared" si="0"/>
        <v>17978.830000000002</v>
      </c>
      <c r="F14" s="291"/>
      <c r="G14" s="291">
        <f t="shared" si="1"/>
        <v>3526.81</v>
      </c>
      <c r="H14" s="291">
        <f t="shared" si="2"/>
        <v>14452.020000000004</v>
      </c>
      <c r="I14" s="292"/>
    </row>
    <row r="15" spans="1:9" s="275" customFormat="1" ht="12.75" customHeight="1" x14ac:dyDescent="0.25">
      <c r="A15" s="286"/>
      <c r="B15" s="287"/>
      <c r="C15" s="288"/>
      <c r="D15" s="290"/>
      <c r="E15" s="290">
        <f t="shared" si="0"/>
        <v>17978.830000000002</v>
      </c>
      <c r="F15" s="295"/>
      <c r="G15" s="291">
        <f t="shared" si="1"/>
        <v>3526.81</v>
      </c>
      <c r="H15" s="291">
        <f t="shared" si="2"/>
        <v>14452.020000000004</v>
      </c>
      <c r="I15" s="292"/>
    </row>
    <row r="16" spans="1:9" s="275" customFormat="1" ht="12.75" customHeight="1" x14ac:dyDescent="0.25">
      <c r="A16" s="286"/>
      <c r="B16" s="287"/>
      <c r="C16" s="288"/>
      <c r="D16" s="290"/>
      <c r="E16" s="290">
        <f t="shared" si="0"/>
        <v>17978.830000000002</v>
      </c>
      <c r="F16" s="295"/>
      <c r="G16" s="291">
        <f t="shared" si="1"/>
        <v>3526.81</v>
      </c>
      <c r="H16" s="291">
        <f t="shared" si="2"/>
        <v>14452.020000000004</v>
      </c>
      <c r="I16" s="292"/>
    </row>
    <row r="17" spans="1:9" s="275" customFormat="1" ht="12.75" customHeight="1" x14ac:dyDescent="0.25">
      <c r="A17" s="286"/>
      <c r="B17" s="287"/>
      <c r="C17" s="288"/>
      <c r="D17" s="290"/>
      <c r="E17" s="290">
        <f t="shared" si="0"/>
        <v>17978.830000000002</v>
      </c>
      <c r="F17" s="295"/>
      <c r="G17" s="291">
        <f t="shared" si="1"/>
        <v>3526.81</v>
      </c>
      <c r="H17" s="291">
        <f t="shared" si="2"/>
        <v>14452.020000000004</v>
      </c>
      <c r="I17" s="292"/>
    </row>
    <row r="18" spans="1:9" s="275" customFormat="1" ht="12.75" customHeight="1" x14ac:dyDescent="0.25">
      <c r="A18" s="286"/>
      <c r="B18" s="287"/>
      <c r="C18" s="288"/>
      <c r="D18" s="290"/>
      <c r="E18" s="290">
        <f t="shared" si="0"/>
        <v>17978.830000000002</v>
      </c>
      <c r="F18" s="295"/>
      <c r="G18" s="291">
        <f t="shared" si="1"/>
        <v>3526.81</v>
      </c>
      <c r="H18" s="291">
        <f t="shared" si="2"/>
        <v>14452.020000000004</v>
      </c>
      <c r="I18" s="292"/>
    </row>
    <row r="19" spans="1:9" s="275" customFormat="1" ht="12.75" customHeight="1" x14ac:dyDescent="0.25">
      <c r="A19" s="286"/>
      <c r="B19" s="287"/>
      <c r="C19" s="288"/>
      <c r="D19" s="290"/>
      <c r="E19" s="290">
        <f t="shared" si="0"/>
        <v>17978.830000000002</v>
      </c>
      <c r="F19" s="291"/>
      <c r="G19" s="291">
        <f t="shared" si="1"/>
        <v>3526.81</v>
      </c>
      <c r="H19" s="291">
        <f t="shared" si="2"/>
        <v>14452.020000000004</v>
      </c>
      <c r="I19" s="292"/>
    </row>
    <row r="20" spans="1:9" s="275" customFormat="1" ht="12.75" customHeight="1" x14ac:dyDescent="0.25">
      <c r="A20" s="286"/>
      <c r="B20" s="287"/>
      <c r="C20" s="288"/>
      <c r="D20" s="290"/>
      <c r="E20" s="290">
        <f t="shared" si="0"/>
        <v>17978.830000000002</v>
      </c>
      <c r="F20" s="291"/>
      <c r="G20" s="291">
        <f t="shared" si="1"/>
        <v>3526.81</v>
      </c>
      <c r="H20" s="291">
        <f t="shared" si="2"/>
        <v>14452.020000000004</v>
      </c>
      <c r="I20" s="292"/>
    </row>
    <row r="21" spans="1:9" s="275" customFormat="1" ht="12.75" customHeight="1" x14ac:dyDescent="0.25">
      <c r="A21" s="286"/>
      <c r="B21" s="287"/>
      <c r="C21" s="296"/>
      <c r="D21" s="290"/>
      <c r="E21" s="290">
        <f t="shared" si="0"/>
        <v>17978.830000000002</v>
      </c>
      <c r="F21" s="291"/>
      <c r="G21" s="291">
        <f t="shared" si="1"/>
        <v>3526.81</v>
      </c>
      <c r="H21" s="291">
        <f t="shared" si="2"/>
        <v>14452.020000000004</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17978.830000000002</v>
      </c>
      <c r="E23" s="302"/>
      <c r="F23" s="302">
        <f>SUM(F9:F22)</f>
        <v>3526.81</v>
      </c>
      <c r="G23" s="302"/>
      <c r="H23" s="302">
        <f>D23-F23</f>
        <v>14452.020000000002</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17378.830000000002</v>
      </c>
      <c r="E26" s="313"/>
      <c r="F26" s="313">
        <f>1050.85+2416.46</f>
        <v>3467.31</v>
      </c>
      <c r="G26" s="313"/>
      <c r="H26" s="313">
        <f>D26-F26</f>
        <v>13911.520000000002</v>
      </c>
      <c r="I26" s="292"/>
    </row>
    <row r="27" spans="1:9" s="275" customFormat="1" ht="12.75" customHeight="1" x14ac:dyDescent="0.25">
      <c r="A27" s="286"/>
      <c r="B27" s="288"/>
      <c r="C27" s="312" t="s">
        <v>113</v>
      </c>
      <c r="D27" s="313">
        <v>600</v>
      </c>
      <c r="E27" s="313"/>
      <c r="F27" s="313">
        <f>59.5</f>
        <v>59.5</v>
      </c>
      <c r="G27" s="313"/>
      <c r="H27" s="313">
        <f>D27-F27</f>
        <v>540.5</v>
      </c>
      <c r="I27" s="292"/>
    </row>
    <row r="28" spans="1:9" s="275" customFormat="1" ht="12.75" customHeight="1" thickBot="1" x14ac:dyDescent="0.3">
      <c r="A28" s="286"/>
      <c r="B28" s="288"/>
      <c r="C28" s="314" t="s">
        <v>67</v>
      </c>
      <c r="D28" s="315">
        <f>SUM(D26:D27)</f>
        <v>17978.830000000002</v>
      </c>
      <c r="E28" s="316"/>
      <c r="F28" s="315">
        <f>SUM(F26:F27)</f>
        <v>3526.81</v>
      </c>
      <c r="G28" s="316"/>
      <c r="H28" s="315">
        <f>SUM(H26:H27)</f>
        <v>14452.020000000002</v>
      </c>
      <c r="I28" s="292"/>
    </row>
    <row r="29" spans="1:9" s="275" customFormat="1" ht="12.75" customHeight="1" thickTop="1" x14ac:dyDescent="0.25"/>
    <row r="30" spans="1:9" s="275" customFormat="1" ht="12.75" customHeight="1" x14ac:dyDescent="0.25"/>
    <row r="31" spans="1:9" s="275" customFormat="1" ht="12.75" customHeight="1" x14ac:dyDescent="0.25"/>
    <row r="32" spans="1:9" s="275" customFormat="1" ht="12.75" customHeight="1" x14ac:dyDescent="0.25"/>
    <row r="33" s="275" customFormat="1" ht="12.75" customHeight="1" x14ac:dyDescent="0.25"/>
    <row r="34" s="275" customFormat="1" ht="12.75" customHeight="1" x14ac:dyDescent="0.25"/>
    <row r="35" s="275" customFormat="1" ht="12.75" customHeight="1" x14ac:dyDescent="0.25"/>
    <row r="36" s="275" customFormat="1" ht="12.75" customHeight="1" x14ac:dyDescent="0.25"/>
    <row r="37" s="275" customFormat="1" ht="12.75" customHeight="1" x14ac:dyDescent="0.25"/>
    <row r="38" s="275" customFormat="1" ht="12.75" customHeight="1" x14ac:dyDescent="0.25"/>
    <row r="39" s="275" customFormat="1" ht="12.75" customHeight="1" x14ac:dyDescent="0.25"/>
    <row r="40" s="275" customFormat="1" ht="12.75" customHeight="1" x14ac:dyDescent="0.25"/>
    <row r="41" s="275" customFormat="1" ht="12.75" customHeight="1" x14ac:dyDescent="0.25"/>
    <row r="42" s="275" customFormat="1" ht="12.75" customHeight="1" x14ac:dyDescent="0.25"/>
    <row r="43" s="275" customFormat="1" ht="12.75" customHeight="1" x14ac:dyDescent="0.25"/>
    <row r="44" s="275" customFormat="1" ht="12.75" customHeight="1" x14ac:dyDescent="0.25"/>
    <row r="45" s="275" customFormat="1" ht="12.75" customHeight="1" x14ac:dyDescent="0.25"/>
    <row r="46" s="275" customFormat="1" ht="12.75" customHeight="1" x14ac:dyDescent="0.25"/>
    <row r="47" s="275" customFormat="1" ht="12.75" customHeight="1" x14ac:dyDescent="0.25"/>
    <row r="48" s="275" customFormat="1" ht="12.75" customHeight="1" x14ac:dyDescent="0.25"/>
    <row r="49" s="275" customFormat="1" ht="12.75" customHeight="1" x14ac:dyDescent="0.25"/>
    <row r="50" s="275" customFormat="1" ht="12.75" customHeight="1" x14ac:dyDescent="0.25"/>
    <row r="51" s="275" customFormat="1" ht="12.75" customHeight="1" x14ac:dyDescent="0.25"/>
    <row r="52" s="275" customFormat="1" ht="12.75" customHeight="1" x14ac:dyDescent="0.25"/>
    <row r="53" s="275" customFormat="1" ht="12.75" customHeight="1" x14ac:dyDescent="0.25"/>
    <row r="54" s="275" customFormat="1" ht="12.75" customHeight="1" x14ac:dyDescent="0.25"/>
    <row r="55" s="275" customFormat="1" ht="12.75" customHeight="1" x14ac:dyDescent="0.25"/>
    <row r="56" s="275" customFormat="1" ht="12.75" customHeight="1" x14ac:dyDescent="0.25"/>
    <row r="57" s="275" customFormat="1" ht="12.75" customHeight="1" x14ac:dyDescent="0.25"/>
    <row r="58" s="275" customFormat="1" ht="12.75" customHeight="1" x14ac:dyDescent="0.25"/>
    <row r="59" s="275" customFormat="1" ht="12.75" customHeight="1" x14ac:dyDescent="0.25"/>
    <row r="60" s="275" customFormat="1" ht="12.75" customHeight="1" x14ac:dyDescent="0.25"/>
    <row r="61" s="275" customFormat="1" ht="12.75" customHeight="1" x14ac:dyDescent="0.25"/>
    <row r="62" s="275" customFormat="1" ht="12.75" customHeight="1" x14ac:dyDescent="0.25"/>
    <row r="63" s="275" customFormat="1" ht="12.75" customHeight="1" x14ac:dyDescent="0.25"/>
    <row r="64" s="275" customFormat="1" ht="12.75" customHeight="1" x14ac:dyDescent="0.25"/>
    <row r="65" s="275" customFormat="1" ht="12.75" customHeight="1" x14ac:dyDescent="0.25"/>
    <row r="66" s="275" customFormat="1" ht="12.75" customHeight="1" x14ac:dyDescent="0.25"/>
    <row r="67" s="275" customFormat="1" ht="12.75" customHeight="1" x14ac:dyDescent="0.25"/>
    <row r="68" s="275" customFormat="1" ht="12.75" customHeight="1" x14ac:dyDescent="0.25"/>
    <row r="69" s="275" customFormat="1" ht="12.75" customHeight="1" x14ac:dyDescent="0.25"/>
    <row r="70" s="275" customFormat="1" ht="12.75" customHeight="1" x14ac:dyDescent="0.25"/>
    <row r="71" s="275" customFormat="1" ht="12.75" customHeight="1" x14ac:dyDescent="0.25"/>
    <row r="72" s="275" customFormat="1" ht="12.75" customHeight="1" x14ac:dyDescent="0.25"/>
    <row r="73" s="275" customFormat="1" ht="12.75" customHeight="1" x14ac:dyDescent="0.25"/>
    <row r="74" s="275" customFormat="1" ht="12.75" customHeight="1" x14ac:dyDescent="0.25"/>
    <row r="75" s="275" customFormat="1" ht="12.75" customHeight="1" x14ac:dyDescent="0.25"/>
    <row r="76" s="275" customFormat="1" ht="12.75" customHeight="1" x14ac:dyDescent="0.25"/>
    <row r="77" s="275" customFormat="1" ht="12.75" customHeight="1" x14ac:dyDescent="0.25"/>
    <row r="78" s="275" customFormat="1" ht="12.75" customHeight="1" x14ac:dyDescent="0.25"/>
    <row r="79" s="275" customFormat="1" ht="12.75" customHeight="1" x14ac:dyDescent="0.25"/>
    <row r="80" s="275" customFormat="1" ht="12.75" customHeight="1" x14ac:dyDescent="0.25"/>
    <row r="81" s="275" customFormat="1" ht="12.75" customHeight="1" x14ac:dyDescent="0.25"/>
    <row r="82" s="275" customFormat="1" ht="12.75" customHeight="1" x14ac:dyDescent="0.25"/>
    <row r="83" s="275" customFormat="1" ht="12.75" customHeight="1" x14ac:dyDescent="0.25"/>
    <row r="84" s="275" customFormat="1" ht="12.75" customHeight="1" x14ac:dyDescent="0.25"/>
    <row r="85" s="275" customFormat="1" ht="12.75" customHeight="1" x14ac:dyDescent="0.25"/>
    <row r="86" s="275" customFormat="1" ht="12.75" customHeight="1" x14ac:dyDescent="0.25"/>
    <row r="87" s="275" customFormat="1" ht="12.75" customHeight="1" x14ac:dyDescent="0.25"/>
    <row r="88" s="275" customFormat="1" ht="12.75" customHeight="1" x14ac:dyDescent="0.25"/>
    <row r="89" s="275" customFormat="1" ht="12.75" customHeight="1" x14ac:dyDescent="0.25"/>
    <row r="90" s="275" customFormat="1" ht="12.75" customHeight="1" x14ac:dyDescent="0.25"/>
    <row r="91" s="275" customFormat="1" ht="12.75" customHeight="1" x14ac:dyDescent="0.25"/>
    <row r="92" s="275" customFormat="1" ht="12.75" customHeight="1" x14ac:dyDescent="0.25"/>
    <row r="93" s="275" customFormat="1" ht="12.75" customHeight="1" x14ac:dyDescent="0.25"/>
    <row r="94" s="275" customFormat="1" ht="12.75" customHeight="1" x14ac:dyDescent="0.25"/>
    <row r="95" s="275" customFormat="1" ht="12.75" customHeight="1" x14ac:dyDescent="0.25"/>
    <row r="96" s="275" customFormat="1" ht="12.75" customHeight="1" x14ac:dyDescent="0.25"/>
    <row r="97" s="275" customFormat="1" ht="12.75" customHeight="1" x14ac:dyDescent="0.25"/>
    <row r="98" s="275" customFormat="1" ht="12.75" customHeight="1" x14ac:dyDescent="0.25"/>
    <row r="99" s="275" customFormat="1" ht="12.75" customHeight="1" x14ac:dyDescent="0.25"/>
    <row r="100" s="275" customFormat="1" ht="12.75" customHeight="1" x14ac:dyDescent="0.25"/>
    <row r="101" s="275" customFormat="1" ht="12.75" customHeight="1" x14ac:dyDescent="0.25"/>
    <row r="102" s="275" customFormat="1" ht="12.75" customHeight="1" x14ac:dyDescent="0.25"/>
    <row r="103" s="275" customFormat="1" ht="12.75" customHeight="1" x14ac:dyDescent="0.25"/>
    <row r="104" s="275" customFormat="1" ht="12.75" customHeight="1" x14ac:dyDescent="0.25"/>
    <row r="105" s="275" customFormat="1" ht="12.75" customHeight="1" x14ac:dyDescent="0.25"/>
    <row r="106" s="275" customFormat="1" ht="12.75" customHeight="1" x14ac:dyDescent="0.25"/>
    <row r="107" s="275" customFormat="1" ht="12.75" customHeight="1" x14ac:dyDescent="0.25"/>
    <row r="108" s="275" customFormat="1" ht="12.75" customHeight="1" x14ac:dyDescent="0.25"/>
    <row r="109" s="275" customFormat="1" ht="12.75" customHeight="1" x14ac:dyDescent="0.25"/>
    <row r="110" s="275" customFormat="1" ht="12.75" customHeight="1" x14ac:dyDescent="0.25"/>
    <row r="111" s="275" customFormat="1" ht="12.75" customHeight="1" x14ac:dyDescent="0.25"/>
    <row r="112" s="275" customFormat="1" ht="12.75" customHeight="1" x14ac:dyDescent="0.25"/>
    <row r="113" s="275" customFormat="1" ht="12.75" customHeight="1" x14ac:dyDescent="0.25"/>
    <row r="114" s="275" customFormat="1" ht="12.75" customHeight="1" x14ac:dyDescent="0.25"/>
    <row r="115" s="275" customFormat="1" ht="12.75" customHeight="1" x14ac:dyDescent="0.25"/>
    <row r="116" s="275" customFormat="1" ht="12.75" customHeight="1" x14ac:dyDescent="0.25"/>
    <row r="117" s="275" customFormat="1" ht="12.75" customHeight="1" x14ac:dyDescent="0.25"/>
    <row r="118" s="275" customFormat="1" ht="12.75" customHeight="1" x14ac:dyDescent="0.25"/>
    <row r="119" s="275" customFormat="1" ht="12.75" customHeight="1" x14ac:dyDescent="0.25"/>
    <row r="120" s="275" customFormat="1" ht="12.75" customHeight="1" x14ac:dyDescent="0.25"/>
    <row r="121" s="275" customFormat="1" ht="12.75" customHeight="1" x14ac:dyDescent="0.25"/>
    <row r="122" s="275" customFormat="1" ht="12.75" customHeight="1" x14ac:dyDescent="0.25"/>
    <row r="123" s="275" customFormat="1" ht="12.75" customHeight="1" x14ac:dyDescent="0.25"/>
    <row r="124" s="275" customFormat="1" ht="12.75" customHeight="1" x14ac:dyDescent="0.25"/>
    <row r="125" s="275" customFormat="1" ht="12.75" customHeight="1" x14ac:dyDescent="0.25"/>
    <row r="126" s="275" customFormat="1" ht="12.75" customHeight="1" x14ac:dyDescent="0.25"/>
    <row r="127" s="275" customFormat="1" ht="12.75" customHeight="1" x14ac:dyDescent="0.25"/>
    <row r="128" s="275" customFormat="1" ht="12.75" customHeight="1" x14ac:dyDescent="0.25"/>
    <row r="129" s="275" customFormat="1" ht="12.75" customHeight="1" x14ac:dyDescent="0.25"/>
    <row r="130" s="275" customFormat="1" ht="12.75" customHeight="1" x14ac:dyDescent="0.25"/>
    <row r="131" s="275" customFormat="1" ht="12.75" customHeight="1" x14ac:dyDescent="0.25"/>
    <row r="132" s="275" customFormat="1" ht="12.75" customHeight="1" x14ac:dyDescent="0.25"/>
    <row r="133" s="275" customFormat="1" ht="12.75" customHeight="1" x14ac:dyDescent="0.25"/>
    <row r="134" s="275" customFormat="1" ht="12.75" customHeight="1" x14ac:dyDescent="0.25"/>
    <row r="135" s="275" customFormat="1" ht="12.75" customHeight="1" x14ac:dyDescent="0.25"/>
    <row r="136" s="275" customFormat="1" ht="12.75" customHeight="1" x14ac:dyDescent="0.25"/>
    <row r="137" s="275" customFormat="1" ht="12.75" customHeight="1" x14ac:dyDescent="0.25"/>
    <row r="138" s="275" customFormat="1" ht="12.75" customHeight="1" x14ac:dyDescent="0.25"/>
    <row r="139" s="275" customFormat="1" ht="12.75" customHeight="1" x14ac:dyDescent="0.25"/>
    <row r="140" s="275" customFormat="1" ht="12.75" customHeight="1" x14ac:dyDescent="0.25"/>
    <row r="141" s="275" customFormat="1" ht="12.75" customHeight="1" x14ac:dyDescent="0.25"/>
    <row r="142" s="275" customFormat="1" ht="12.75" customHeight="1" x14ac:dyDescent="0.25"/>
    <row r="143" s="275" customFormat="1" ht="12.75" customHeight="1" x14ac:dyDescent="0.25"/>
    <row r="144" s="275" customFormat="1" ht="12.75" customHeight="1" x14ac:dyDescent="0.25"/>
    <row r="145" s="275" customFormat="1" ht="12.75" customHeight="1" x14ac:dyDescent="0.25"/>
    <row r="146" s="275" customFormat="1" ht="12.75" customHeight="1" x14ac:dyDescent="0.25"/>
    <row r="147" s="275" customFormat="1" ht="12.75" customHeight="1" x14ac:dyDescent="0.25"/>
    <row r="148" s="275" customFormat="1" ht="12.75" customHeight="1" x14ac:dyDescent="0.25"/>
    <row r="149" s="275" customFormat="1" ht="12.75" customHeight="1" x14ac:dyDescent="0.25"/>
    <row r="150" s="275" customFormat="1" ht="12.75" customHeight="1" x14ac:dyDescent="0.25"/>
    <row r="151" s="275" customFormat="1" ht="12.75" customHeight="1" x14ac:dyDescent="0.25"/>
    <row r="152" s="275" customFormat="1" ht="12.75" customHeight="1" x14ac:dyDescent="0.25"/>
    <row r="153" s="275" customFormat="1" ht="12.75" customHeight="1" x14ac:dyDescent="0.25"/>
    <row r="154" s="275" customFormat="1" ht="12.75" customHeight="1" x14ac:dyDescent="0.25"/>
    <row r="155" s="275" customFormat="1" ht="12.75" customHeight="1" x14ac:dyDescent="0.25"/>
    <row r="156" s="275" customFormat="1" ht="12.75" customHeight="1" x14ac:dyDescent="0.25"/>
    <row r="157" s="275" customFormat="1" ht="12.75" customHeight="1" x14ac:dyDescent="0.25"/>
    <row r="158" s="275" customFormat="1" ht="12.75" customHeight="1" x14ac:dyDescent="0.25"/>
    <row r="159" s="275" customFormat="1" ht="12.75" customHeight="1" x14ac:dyDescent="0.25"/>
    <row r="160" s="275" customFormat="1" ht="12.75" customHeight="1" x14ac:dyDescent="0.25"/>
    <row r="161" s="275" customFormat="1" ht="12.75" customHeight="1" x14ac:dyDescent="0.25"/>
    <row r="162" s="275" customFormat="1" ht="12.75" customHeight="1" x14ac:dyDescent="0.25"/>
    <row r="163" s="275" customFormat="1" ht="12.75" customHeight="1" x14ac:dyDescent="0.25"/>
    <row r="164" s="275" customFormat="1" ht="12.75" customHeight="1" x14ac:dyDescent="0.25"/>
    <row r="165" s="275" customFormat="1" ht="12.75" customHeight="1" x14ac:dyDescent="0.25"/>
    <row r="166" s="275" customFormat="1" ht="12.75" customHeight="1" x14ac:dyDescent="0.25"/>
    <row r="167" s="275" customFormat="1" ht="12.75" customHeight="1" x14ac:dyDescent="0.25"/>
    <row r="168" s="275" customFormat="1" ht="12.75" customHeight="1" x14ac:dyDescent="0.25"/>
    <row r="169" s="275" customFormat="1" ht="12.75" customHeight="1" x14ac:dyDescent="0.25"/>
    <row r="170" s="275" customFormat="1" ht="12.75" customHeight="1" x14ac:dyDescent="0.25"/>
    <row r="171" s="275" customFormat="1" ht="12.75" customHeight="1" x14ac:dyDescent="0.25"/>
    <row r="172" s="275" customFormat="1" ht="12.75" customHeight="1" x14ac:dyDescent="0.25"/>
    <row r="173" s="275" customFormat="1" ht="12.75" customHeight="1" x14ac:dyDescent="0.25"/>
    <row r="174" s="275" customFormat="1" ht="12.75" customHeight="1" x14ac:dyDescent="0.25"/>
    <row r="175" s="275" customFormat="1" ht="12.75" customHeight="1" x14ac:dyDescent="0.25"/>
    <row r="176" s="275" customFormat="1" ht="12.75" customHeight="1" x14ac:dyDescent="0.25"/>
  </sheetData>
  <conditionalFormatting sqref="I8:I23">
    <cfRule type="cellIs" dxfId="42"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C3394-390E-497E-BAC4-A211461A6AD1}">
  <sheetPr>
    <pageSetUpPr fitToPage="1"/>
  </sheetPr>
  <dimension ref="A1:J26"/>
  <sheetViews>
    <sheetView zoomScaleNormal="100" workbookViewId="0">
      <selection activeCell="D28" sqref="D28"/>
    </sheetView>
  </sheetViews>
  <sheetFormatPr defaultColWidth="11.42578125" defaultRowHeight="15" customHeight="1" x14ac:dyDescent="0.25"/>
  <cols>
    <col min="1" max="1" width="24.5703125" customWidth="1"/>
    <col min="2" max="3" width="9.42578125" customWidth="1"/>
    <col min="4" max="4" width="34.5703125" customWidth="1"/>
    <col min="5" max="5" width="12.5703125" customWidth="1"/>
    <col min="6" max="6" width="13.5703125" customWidth="1"/>
    <col min="7" max="7" width="12.42578125" customWidth="1"/>
    <col min="8" max="8" width="10.5703125" customWidth="1"/>
    <col min="9" max="9" width="11.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#9496.00'!B1</f>
        <v>DOC NCCF Replace Windows in Education Building</v>
      </c>
      <c r="B1" s="3"/>
      <c r="C1" s="3"/>
      <c r="D1" s="4"/>
      <c r="E1" s="4"/>
      <c r="F1" s="4"/>
      <c r="G1" s="33"/>
      <c r="H1" s="33"/>
      <c r="I1" s="34"/>
      <c r="J1" s="34"/>
    </row>
    <row r="2" spans="1:10" ht="15.75" x14ac:dyDescent="0.25">
      <c r="A2" s="6" t="str">
        <f>'RECAP #9496.00'!B2</f>
        <v>Project # 9496.00</v>
      </c>
      <c r="B2" s="5"/>
      <c r="C2" s="5"/>
      <c r="D2" s="4"/>
      <c r="E2" s="4"/>
      <c r="F2" s="4"/>
      <c r="G2" s="33"/>
      <c r="H2" s="33"/>
      <c r="I2" s="34"/>
      <c r="J2" s="34"/>
    </row>
    <row r="3" spans="1:10" ht="15.75" x14ac:dyDescent="0.25">
      <c r="A3" s="7" t="str">
        <f>'RECAP #9496.00'!B3</f>
        <v>Program code 949600</v>
      </c>
      <c r="B3" s="5"/>
      <c r="C3" s="5"/>
      <c r="D3" s="4"/>
      <c r="E3" s="8" t="str">
        <f>'RECAP #9496.00'!E3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240</v>
      </c>
      <c r="F6" s="49"/>
      <c r="G6" s="50"/>
      <c r="H6" s="46"/>
      <c r="I6" s="41"/>
      <c r="J6" s="34"/>
    </row>
    <row r="7" spans="1:10" ht="15.75" x14ac:dyDescent="0.25">
      <c r="A7" s="13" t="str">
        <f>'RECAP #9496.00'!B6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10000</v>
      </c>
      <c r="F9" s="290">
        <f>E9</f>
        <v>10000</v>
      </c>
      <c r="G9" s="291"/>
      <c r="H9" s="291"/>
      <c r="I9" s="291">
        <f>F9</f>
        <v>10000</v>
      </c>
      <c r="J9" s="292"/>
    </row>
    <row r="10" spans="1:10" s="275" customFormat="1" ht="12.75" customHeight="1" x14ac:dyDescent="0.25">
      <c r="A10" s="220" t="s">
        <v>322</v>
      </c>
      <c r="B10" s="221">
        <v>45968</v>
      </c>
      <c r="C10" s="329" t="s">
        <v>269</v>
      </c>
      <c r="D10" s="179" t="s">
        <v>323</v>
      </c>
      <c r="E10" s="290"/>
      <c r="F10" s="290">
        <f t="shared" ref="F10:F21" si="0">F9+E10</f>
        <v>10000</v>
      </c>
      <c r="G10" s="294">
        <v>44.07</v>
      </c>
      <c r="H10" s="291">
        <f t="shared" ref="H10:H21" si="1">H9+G10</f>
        <v>44.07</v>
      </c>
      <c r="I10" s="291">
        <f t="shared" ref="I10:I21" si="2">I9-G10+E10</f>
        <v>9955.93</v>
      </c>
      <c r="J10" s="292"/>
    </row>
    <row r="11" spans="1:10" s="275" customFormat="1" ht="12.75" customHeight="1" x14ac:dyDescent="0.25">
      <c r="A11" s="220" t="s">
        <v>322</v>
      </c>
      <c r="B11" s="221">
        <v>45968</v>
      </c>
      <c r="C11" s="329">
        <v>9500</v>
      </c>
      <c r="D11" s="222" t="s">
        <v>324</v>
      </c>
      <c r="E11" s="290"/>
      <c r="F11" s="290">
        <f t="shared" si="0"/>
        <v>10000</v>
      </c>
      <c r="G11" s="294">
        <v>438.1</v>
      </c>
      <c r="H11" s="291">
        <f t="shared" si="1"/>
        <v>482.17</v>
      </c>
      <c r="I11" s="291">
        <f t="shared" si="2"/>
        <v>9517.83</v>
      </c>
      <c r="J11" s="292"/>
    </row>
    <row r="12" spans="1:10" s="275" customFormat="1" ht="12.75" customHeight="1" x14ac:dyDescent="0.2">
      <c r="A12" s="213" t="s">
        <v>373</v>
      </c>
      <c r="B12" s="214">
        <v>45996</v>
      </c>
      <c r="C12" s="332" t="s">
        <v>269</v>
      </c>
      <c r="D12" s="175" t="s">
        <v>374</v>
      </c>
      <c r="E12" s="290"/>
      <c r="F12" s="290">
        <f t="shared" si="0"/>
        <v>10000</v>
      </c>
      <c r="G12" s="294">
        <v>6.95</v>
      </c>
      <c r="H12" s="291">
        <f t="shared" si="1"/>
        <v>489.12</v>
      </c>
      <c r="I12" s="291">
        <f t="shared" si="2"/>
        <v>9510.8799999999992</v>
      </c>
      <c r="J12" s="292"/>
    </row>
    <row r="13" spans="1:10" s="275" customFormat="1" ht="12.75" customHeight="1" x14ac:dyDescent="0.2">
      <c r="A13" s="213" t="s">
        <v>373</v>
      </c>
      <c r="B13" s="214">
        <v>45996</v>
      </c>
      <c r="C13" s="333">
        <v>9500</v>
      </c>
      <c r="D13" s="78" t="s">
        <v>375</v>
      </c>
      <c r="E13" s="290"/>
      <c r="F13" s="290">
        <f t="shared" si="0"/>
        <v>10000</v>
      </c>
      <c r="G13" s="294">
        <v>44.3</v>
      </c>
      <c r="H13" s="291">
        <f t="shared" si="1"/>
        <v>533.41999999999996</v>
      </c>
      <c r="I13" s="291">
        <f t="shared" si="2"/>
        <v>9466.58</v>
      </c>
      <c r="J13" s="292"/>
    </row>
    <row r="14" spans="1:10" s="275" customFormat="1" ht="12.75" customHeight="1" x14ac:dyDescent="0.2">
      <c r="A14" s="213" t="s">
        <v>559</v>
      </c>
      <c r="B14" s="214">
        <v>46062</v>
      </c>
      <c r="C14" s="332" t="s">
        <v>269</v>
      </c>
      <c r="D14" s="175" t="s">
        <v>560</v>
      </c>
      <c r="E14" s="290"/>
      <c r="F14" s="290">
        <f t="shared" si="0"/>
        <v>10000</v>
      </c>
      <c r="G14" s="294">
        <v>34.96</v>
      </c>
      <c r="H14" s="291">
        <f t="shared" si="1"/>
        <v>568.38</v>
      </c>
      <c r="I14" s="291">
        <f t="shared" si="2"/>
        <v>9431.6200000000008</v>
      </c>
      <c r="J14" s="292"/>
    </row>
    <row r="15" spans="1:10" s="275" customFormat="1" ht="12.75" customHeight="1" x14ac:dyDescent="0.2">
      <c r="A15" s="213" t="s">
        <v>559</v>
      </c>
      <c r="B15" s="214">
        <v>46062</v>
      </c>
      <c r="C15" s="333">
        <v>9500</v>
      </c>
      <c r="D15" s="78" t="s">
        <v>561</v>
      </c>
      <c r="E15" s="290"/>
      <c r="F15" s="290">
        <f t="shared" si="0"/>
        <v>10000</v>
      </c>
      <c r="G15" s="294">
        <v>437.4</v>
      </c>
      <c r="H15" s="291">
        <f t="shared" si="1"/>
        <v>1005.78</v>
      </c>
      <c r="I15" s="291">
        <f t="shared" si="2"/>
        <v>8994.2200000000012</v>
      </c>
      <c r="J15" s="292"/>
    </row>
    <row r="16" spans="1:10" s="275" customFormat="1" ht="12.75" customHeight="1" x14ac:dyDescent="0.2">
      <c r="A16" s="213" t="s">
        <v>663</v>
      </c>
      <c r="B16" s="214">
        <v>46090</v>
      </c>
      <c r="C16" s="332" t="s">
        <v>269</v>
      </c>
      <c r="D16" s="175" t="s">
        <v>664</v>
      </c>
      <c r="E16" s="290"/>
      <c r="F16" s="290">
        <f t="shared" si="0"/>
        <v>10000</v>
      </c>
      <c r="G16" s="294">
        <v>116.64</v>
      </c>
      <c r="H16" s="291">
        <f t="shared" si="1"/>
        <v>1122.42</v>
      </c>
      <c r="I16" s="291">
        <f t="shared" si="2"/>
        <v>8877.5800000000017</v>
      </c>
      <c r="J16" s="292"/>
    </row>
    <row r="17" spans="1:10" s="275" customFormat="1" ht="12.75" customHeight="1" x14ac:dyDescent="0.2">
      <c r="A17" s="213" t="s">
        <v>663</v>
      </c>
      <c r="B17" s="214">
        <v>46090</v>
      </c>
      <c r="C17" s="333">
        <v>9500</v>
      </c>
      <c r="D17" s="78" t="s">
        <v>665</v>
      </c>
      <c r="E17" s="290"/>
      <c r="F17" s="290">
        <f t="shared" si="0"/>
        <v>10000</v>
      </c>
      <c r="G17" s="294">
        <v>1343.9</v>
      </c>
      <c r="H17" s="291">
        <f t="shared" si="1"/>
        <v>2466.3200000000002</v>
      </c>
      <c r="I17" s="291">
        <f t="shared" si="2"/>
        <v>7533.6800000000021</v>
      </c>
      <c r="J17" s="292"/>
    </row>
    <row r="18" spans="1:10" s="275" customFormat="1" ht="12.75" customHeight="1" x14ac:dyDescent="0.25">
      <c r="A18" s="317"/>
      <c r="B18" s="287"/>
      <c r="C18" s="329"/>
      <c r="D18" s="297"/>
      <c r="E18" s="290"/>
      <c r="F18" s="290">
        <f t="shared" si="0"/>
        <v>10000</v>
      </c>
      <c r="G18" s="295"/>
      <c r="H18" s="291">
        <f t="shared" si="1"/>
        <v>2466.3200000000002</v>
      </c>
      <c r="I18" s="291">
        <f t="shared" si="2"/>
        <v>7533.6800000000021</v>
      </c>
      <c r="J18" s="292"/>
    </row>
    <row r="19" spans="1:10" s="275" customFormat="1" ht="12.75" customHeight="1" x14ac:dyDescent="0.25">
      <c r="A19" s="298"/>
      <c r="B19" s="287"/>
      <c r="C19" s="329"/>
      <c r="D19" s="297"/>
      <c r="E19" s="290"/>
      <c r="F19" s="290">
        <f t="shared" si="0"/>
        <v>10000</v>
      </c>
      <c r="G19" s="291"/>
      <c r="H19" s="291">
        <f t="shared" si="1"/>
        <v>2466.3200000000002</v>
      </c>
      <c r="I19" s="291">
        <f t="shared" si="2"/>
        <v>7533.6800000000021</v>
      </c>
      <c r="J19" s="292"/>
    </row>
    <row r="20" spans="1:10" s="275" customFormat="1" ht="12.75" customHeight="1" x14ac:dyDescent="0.25">
      <c r="A20" s="298"/>
      <c r="B20" s="287"/>
      <c r="C20" s="329"/>
      <c r="D20" s="297"/>
      <c r="E20" s="290"/>
      <c r="F20" s="290">
        <f t="shared" si="0"/>
        <v>10000</v>
      </c>
      <c r="G20" s="291"/>
      <c r="H20" s="291">
        <f t="shared" si="1"/>
        <v>2466.3200000000002</v>
      </c>
      <c r="I20" s="291">
        <f t="shared" si="2"/>
        <v>7533.6800000000021</v>
      </c>
      <c r="J20" s="292"/>
    </row>
    <row r="21" spans="1:10" s="275" customFormat="1" ht="12.75" customHeight="1" x14ac:dyDescent="0.25">
      <c r="A21" s="298"/>
      <c r="B21" s="287"/>
      <c r="C21" s="329"/>
      <c r="D21" s="318"/>
      <c r="E21" s="290"/>
      <c r="F21" s="290">
        <f t="shared" si="0"/>
        <v>10000</v>
      </c>
      <c r="G21" s="291"/>
      <c r="H21" s="291">
        <f t="shared" si="1"/>
        <v>2466.3200000000002</v>
      </c>
      <c r="I21" s="291">
        <f t="shared" si="2"/>
        <v>7533.6800000000021</v>
      </c>
      <c r="J21" s="292"/>
    </row>
    <row r="22" spans="1:10" s="275" customFormat="1" ht="12.75" customHeight="1" x14ac:dyDescent="0.25">
      <c r="A22" s="286"/>
      <c r="B22" s="288"/>
      <c r="C22" s="329"/>
      <c r="D22" s="297"/>
      <c r="E22" s="291"/>
      <c r="F22" s="291"/>
      <c r="G22" s="291"/>
      <c r="H22" s="291"/>
      <c r="I22" s="291"/>
      <c r="J22" s="292"/>
    </row>
    <row r="23" spans="1:10" s="275" customFormat="1" ht="12.75" customHeight="1" thickBot="1" x14ac:dyDescent="0.3">
      <c r="A23" s="286"/>
      <c r="B23" s="300"/>
      <c r="C23" s="329"/>
      <c r="D23" s="301" t="s">
        <v>24</v>
      </c>
      <c r="E23" s="302">
        <f>SUM(E9:E22)</f>
        <v>10000</v>
      </c>
      <c r="F23" s="302"/>
      <c r="G23" s="302">
        <f>SUM(G9:G22)</f>
        <v>2466.3200000000002</v>
      </c>
      <c r="H23" s="302"/>
      <c r="I23" s="302">
        <f>E23-G23</f>
        <v>7533.68</v>
      </c>
      <c r="J23" s="292"/>
    </row>
    <row r="24" spans="1:10" s="275" customFormat="1" ht="12.75" customHeight="1" thickTop="1" x14ac:dyDescent="0.25"/>
    <row r="25" spans="1:10" s="275" customFormat="1" ht="12.75" customHeight="1" x14ac:dyDescent="0.25"/>
    <row r="26" spans="1:10" s="275"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AB9C-6A6E-4E84-9CB2-D5293D47FC3B}">
  <sheetPr>
    <tabColor indexed="30"/>
    <pageSetUpPr fitToPage="1"/>
  </sheetPr>
  <dimension ref="A1:H87"/>
  <sheetViews>
    <sheetView zoomScaleNormal="100" workbookViewId="0">
      <selection activeCell="L7" sqref="L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#9496.00'!B1</f>
        <v>DOC NCCF Replace Windows in Education Building</v>
      </c>
      <c r="B1" s="3"/>
      <c r="C1" s="3"/>
      <c r="D1" s="3"/>
      <c r="E1" s="4"/>
      <c r="F1" s="4"/>
      <c r="G1" s="4"/>
      <c r="H1" s="33"/>
    </row>
    <row r="2" spans="1:8" ht="15.75" x14ac:dyDescent="0.25">
      <c r="A2" s="6" t="str">
        <f>'RECAP #9496.00'!B2</f>
        <v>Project # 9496.00</v>
      </c>
      <c r="B2" s="5"/>
      <c r="C2" s="5"/>
      <c r="D2" s="5"/>
      <c r="E2" s="4"/>
      <c r="F2" s="4"/>
      <c r="G2" s="4"/>
      <c r="H2" s="33"/>
    </row>
    <row r="3" spans="1:8" ht="15.75" x14ac:dyDescent="0.25">
      <c r="A3" s="7" t="str">
        <f>'RECAP #9496.00'!B3</f>
        <v>Program code 949600</v>
      </c>
      <c r="B3" s="5"/>
      <c r="C3" s="5"/>
      <c r="D3" s="5"/>
      <c r="E3" s="8" t="str">
        <f>'RECAP #9496.00'!E3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643</v>
      </c>
      <c r="F6" s="41"/>
      <c r="G6" s="44"/>
      <c r="H6" s="45"/>
    </row>
    <row r="7" spans="1:8" ht="15.75" x14ac:dyDescent="0.25">
      <c r="A7" s="13" t="str">
        <f>'RECAP #9496.00'!B6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s="275" customFormat="1" ht="12.75" customHeight="1" thickTop="1" x14ac:dyDescent="0.25"/>
    <row r="24" spans="1:8" s="275" customFormat="1" ht="12.75" customHeight="1" x14ac:dyDescent="0.25"/>
    <row r="25" spans="1:8" s="275" customFormat="1" ht="12.75" customHeight="1" x14ac:dyDescent="0.25"/>
    <row r="26" spans="1:8" s="275" customFormat="1" ht="12.75" customHeight="1" x14ac:dyDescent="0.25"/>
    <row r="27" spans="1:8" s="275" customFormat="1" ht="12.75" customHeight="1" x14ac:dyDescent="0.25"/>
    <row r="28" spans="1:8" s="275" customFormat="1" ht="12.75" customHeight="1" x14ac:dyDescent="0.25"/>
    <row r="29" spans="1:8" s="275" customFormat="1" ht="12.75" customHeight="1" x14ac:dyDescent="0.25"/>
    <row r="30" spans="1:8" s="275" customFormat="1" ht="12.75" customHeight="1" x14ac:dyDescent="0.25"/>
    <row r="31" spans="1:8" s="275" customFormat="1" ht="12.75" customHeight="1" x14ac:dyDescent="0.25"/>
    <row r="32" spans="1:8" s="275" customFormat="1" ht="12.75" customHeight="1" x14ac:dyDescent="0.25"/>
    <row r="33" s="275" customFormat="1" ht="12.75" customHeight="1" x14ac:dyDescent="0.25"/>
    <row r="34" s="275" customFormat="1" ht="12.75" customHeight="1" x14ac:dyDescent="0.25"/>
    <row r="35" s="275" customFormat="1" ht="12.75" customHeight="1" x14ac:dyDescent="0.25"/>
    <row r="36" s="275" customFormat="1" ht="12.75" customHeight="1" x14ac:dyDescent="0.25"/>
    <row r="37" s="275" customFormat="1" ht="12.75" customHeight="1" x14ac:dyDescent="0.25"/>
    <row r="38" s="275" customFormat="1" ht="12.75" customHeight="1" x14ac:dyDescent="0.25"/>
    <row r="39" s="275" customFormat="1" ht="12.75" customHeight="1" x14ac:dyDescent="0.25"/>
    <row r="40" s="275" customFormat="1" ht="12.75" customHeight="1" x14ac:dyDescent="0.25"/>
    <row r="41" s="275" customFormat="1" ht="12.75" customHeight="1" x14ac:dyDescent="0.25"/>
    <row r="42" s="275" customFormat="1" ht="12.75" customHeight="1" x14ac:dyDescent="0.25"/>
    <row r="43" s="275" customFormat="1" ht="12.75" customHeight="1" x14ac:dyDescent="0.25"/>
    <row r="44" s="275" customFormat="1" ht="12.75" customHeight="1" x14ac:dyDescent="0.25"/>
    <row r="45" s="275" customFormat="1" ht="12.75" customHeight="1" x14ac:dyDescent="0.25"/>
    <row r="46" s="275" customFormat="1" ht="12.75" customHeight="1" x14ac:dyDescent="0.25"/>
    <row r="47" s="275" customFormat="1" ht="12.75" customHeight="1" x14ac:dyDescent="0.25"/>
    <row r="48" s="275" customFormat="1" ht="12.75" customHeight="1" x14ac:dyDescent="0.25"/>
    <row r="49" s="275" customFormat="1" ht="12.75" customHeight="1" x14ac:dyDescent="0.25"/>
    <row r="50" s="275" customFormat="1" ht="12.75" customHeight="1" x14ac:dyDescent="0.25"/>
    <row r="51" s="275" customFormat="1" ht="12.75" customHeight="1" x14ac:dyDescent="0.25"/>
    <row r="52" s="275" customFormat="1" ht="12.75" customHeight="1" x14ac:dyDescent="0.25"/>
    <row r="53" s="275" customFormat="1" ht="12.75" customHeight="1" x14ac:dyDescent="0.25"/>
    <row r="54" s="275" customFormat="1" ht="12.75" customHeight="1" x14ac:dyDescent="0.25"/>
    <row r="55" s="275" customFormat="1" ht="12.75" customHeight="1" x14ac:dyDescent="0.25"/>
    <row r="56" s="275" customFormat="1" ht="12.75" customHeight="1" x14ac:dyDescent="0.25"/>
    <row r="57" s="275" customFormat="1" ht="12.75" customHeight="1" x14ac:dyDescent="0.25"/>
    <row r="58" s="275" customFormat="1" ht="12.75" customHeight="1" x14ac:dyDescent="0.25"/>
    <row r="59" s="275" customFormat="1" ht="12.75" customHeight="1" x14ac:dyDescent="0.25"/>
    <row r="60" s="275" customFormat="1" ht="12.75" customHeight="1" x14ac:dyDescent="0.25"/>
    <row r="61" s="275" customFormat="1" ht="12.75" customHeight="1" x14ac:dyDescent="0.25"/>
    <row r="62" s="275" customFormat="1" ht="12.75" customHeight="1" x14ac:dyDescent="0.25"/>
    <row r="63" s="275" customFormat="1" ht="12.75" customHeight="1" x14ac:dyDescent="0.25"/>
    <row r="64" s="275" customFormat="1" ht="12.75" customHeight="1" x14ac:dyDescent="0.25"/>
    <row r="65" s="275" customFormat="1" ht="12.75" customHeight="1" x14ac:dyDescent="0.25"/>
    <row r="66" s="275" customFormat="1" ht="12.75" customHeight="1" x14ac:dyDescent="0.25"/>
    <row r="67" s="275" customFormat="1" ht="12.75" customHeight="1" x14ac:dyDescent="0.25"/>
    <row r="68" s="275" customFormat="1" ht="12.75" customHeight="1" x14ac:dyDescent="0.25"/>
    <row r="69" s="275" customFormat="1" ht="12.75" customHeight="1" x14ac:dyDescent="0.25"/>
    <row r="70" s="275" customFormat="1" ht="12.75" customHeight="1" x14ac:dyDescent="0.25"/>
    <row r="71" s="275" customFormat="1" ht="12.75" customHeight="1" x14ac:dyDescent="0.25"/>
    <row r="72" s="275" customFormat="1" ht="12.75" customHeight="1" x14ac:dyDescent="0.25"/>
    <row r="73" s="275" customFormat="1" ht="12.75" customHeight="1" x14ac:dyDescent="0.25"/>
    <row r="74" s="275" customFormat="1" ht="12.75" customHeight="1" x14ac:dyDescent="0.25"/>
    <row r="75" s="275" customFormat="1" ht="12.75" customHeight="1" x14ac:dyDescent="0.25"/>
    <row r="76" s="275" customFormat="1" ht="12.75" customHeight="1" x14ac:dyDescent="0.25"/>
    <row r="77" s="275" customFormat="1" ht="12.75" customHeight="1" x14ac:dyDescent="0.25"/>
    <row r="78" s="275" customFormat="1" ht="12.75" customHeight="1" x14ac:dyDescent="0.25"/>
    <row r="79" s="275" customFormat="1" ht="12.75" customHeight="1" x14ac:dyDescent="0.25"/>
    <row r="80" s="275" customFormat="1" ht="12.75" customHeight="1" x14ac:dyDescent="0.25"/>
    <row r="81" s="275" customFormat="1" ht="12.75" customHeight="1" x14ac:dyDescent="0.25"/>
    <row r="82" s="275" customFormat="1" ht="12.75" customHeight="1" x14ac:dyDescent="0.25"/>
    <row r="83" s="275" customFormat="1" ht="12.75" customHeight="1" x14ac:dyDescent="0.25"/>
    <row r="84" s="275" customFormat="1" ht="12.75" customHeight="1" x14ac:dyDescent="0.25"/>
    <row r="85" s="275" customFormat="1" ht="12.75" customHeight="1" x14ac:dyDescent="0.25"/>
    <row r="86" s="275" customFormat="1" ht="12.75" customHeight="1" x14ac:dyDescent="0.25"/>
    <row r="87" s="275"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C6D72-189E-4399-8A47-E0DA8A81F3A6}">
  <sheetPr>
    <pageSetUpPr fitToPage="1"/>
  </sheetPr>
  <dimension ref="A1:I179"/>
  <sheetViews>
    <sheetView zoomScaleNormal="100" workbookViewId="0">
      <selection activeCell="F33" sqref="F3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#9496.00'!B1</f>
        <v>DOC NCCF Replace Windows in Education Building</v>
      </c>
      <c r="B1" s="3"/>
      <c r="C1" s="4"/>
      <c r="D1" s="4"/>
      <c r="E1" s="4"/>
      <c r="F1" s="33"/>
      <c r="G1" s="33"/>
      <c r="H1" s="34"/>
      <c r="I1" s="34"/>
    </row>
    <row r="2" spans="1:9" ht="15.75" x14ac:dyDescent="0.25">
      <c r="A2" s="6" t="str">
        <f>'RECAP #9496.00'!B2</f>
        <v>Project # 9496.00</v>
      </c>
      <c r="B2" s="5"/>
      <c r="C2" s="4"/>
      <c r="D2" s="4"/>
      <c r="E2" s="4"/>
      <c r="F2" s="33"/>
      <c r="G2" s="33"/>
      <c r="H2" s="34"/>
      <c r="I2" s="34"/>
    </row>
    <row r="3" spans="1:9" ht="15.75" x14ac:dyDescent="0.25">
      <c r="A3" s="7" t="str">
        <f>'RECAP #9496.00'!B3</f>
        <v>Program code 949600</v>
      </c>
      <c r="B3" s="5"/>
      <c r="C3" s="4"/>
      <c r="D3" s="8" t="str">
        <f>'RECAP #9496.00'!E3</f>
        <v>Major Program 4E01</v>
      </c>
      <c r="E3" s="4"/>
      <c r="F3" s="33"/>
      <c r="G3" s="33"/>
      <c r="H3" s="34"/>
      <c r="I3" s="34"/>
    </row>
    <row r="4" spans="1:9" ht="15.75" x14ac:dyDescent="0.25">
      <c r="A4" s="35" t="s">
        <v>404</v>
      </c>
      <c r="B4" s="36"/>
      <c r="C4" s="37"/>
      <c r="D4" s="38" t="s">
        <v>405</v>
      </c>
      <c r="E4" s="39"/>
      <c r="F4" s="33"/>
      <c r="G4" s="33"/>
      <c r="H4" s="34"/>
      <c r="I4" s="34"/>
    </row>
    <row r="5" spans="1:9" ht="15.75" x14ac:dyDescent="0.25">
      <c r="A5" s="40" t="s">
        <v>117</v>
      </c>
      <c r="B5" s="41"/>
      <c r="C5" s="42"/>
      <c r="D5" s="43" t="s">
        <v>641</v>
      </c>
      <c r="E5" s="44"/>
      <c r="F5" s="45"/>
      <c r="G5" s="46"/>
      <c r="H5" s="41"/>
      <c r="I5" s="34"/>
    </row>
    <row r="6" spans="1:9" ht="15.75" x14ac:dyDescent="0.25">
      <c r="A6" s="13" t="str">
        <f>'RECAP #9496.00'!B6</f>
        <v>Project Manager - Jennie E</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642</v>
      </c>
      <c r="B9" s="287">
        <v>46084</v>
      </c>
      <c r="C9" s="288" t="s">
        <v>111</v>
      </c>
      <c r="D9" s="289">
        <v>37360</v>
      </c>
      <c r="E9" s="290">
        <f>D9</f>
        <v>37360</v>
      </c>
      <c r="F9" s="291"/>
      <c r="G9" s="291"/>
      <c r="H9" s="291">
        <f>E9</f>
        <v>37360</v>
      </c>
      <c r="I9" s="292"/>
    </row>
    <row r="10" spans="1:9" s="275" customFormat="1" ht="12.75" customHeight="1" x14ac:dyDescent="0.25">
      <c r="A10" s="286" t="s">
        <v>694</v>
      </c>
      <c r="B10" s="293">
        <v>46101</v>
      </c>
      <c r="C10" s="288" t="s">
        <v>695</v>
      </c>
      <c r="D10" s="290"/>
      <c r="E10" s="290">
        <f t="shared" ref="E10:E21" si="0">E9+D10</f>
        <v>37360</v>
      </c>
      <c r="F10" s="294">
        <v>1500</v>
      </c>
      <c r="G10" s="291">
        <f t="shared" ref="G10:G21" si="1">G9+F10</f>
        <v>1500</v>
      </c>
      <c r="H10" s="291">
        <f t="shared" ref="H10:H21" si="2">H9-F10+D10</f>
        <v>35860</v>
      </c>
      <c r="I10" s="292"/>
    </row>
    <row r="11" spans="1:9" s="275" customFormat="1" ht="12.75" customHeight="1" x14ac:dyDescent="0.25">
      <c r="A11" s="286"/>
      <c r="B11" s="287"/>
      <c r="C11" s="288"/>
      <c r="D11" s="290"/>
      <c r="E11" s="290">
        <f t="shared" si="0"/>
        <v>37360</v>
      </c>
      <c r="F11" s="295"/>
      <c r="G11" s="291">
        <f t="shared" si="1"/>
        <v>1500</v>
      </c>
      <c r="H11" s="291">
        <f t="shared" si="2"/>
        <v>35860</v>
      </c>
      <c r="I11" s="292"/>
    </row>
    <row r="12" spans="1:9" s="275" customFormat="1" ht="12.75" customHeight="1" x14ac:dyDescent="0.25">
      <c r="A12" s="286"/>
      <c r="B12" s="287"/>
      <c r="C12" s="288"/>
      <c r="D12" s="290"/>
      <c r="E12" s="290">
        <f t="shared" si="0"/>
        <v>37360</v>
      </c>
      <c r="F12" s="295"/>
      <c r="G12" s="291">
        <f t="shared" si="1"/>
        <v>1500</v>
      </c>
      <c r="H12" s="291">
        <f t="shared" si="2"/>
        <v>35860</v>
      </c>
      <c r="I12" s="292"/>
    </row>
    <row r="13" spans="1:9" s="275" customFormat="1" ht="12.75" customHeight="1" x14ac:dyDescent="0.25">
      <c r="A13" s="286"/>
      <c r="B13" s="287"/>
      <c r="C13" s="288"/>
      <c r="D13" s="290"/>
      <c r="E13" s="290">
        <f t="shared" si="0"/>
        <v>37360</v>
      </c>
      <c r="F13" s="295"/>
      <c r="G13" s="291">
        <f t="shared" si="1"/>
        <v>1500</v>
      </c>
      <c r="H13" s="291">
        <f t="shared" si="2"/>
        <v>35860</v>
      </c>
      <c r="I13" s="292"/>
    </row>
    <row r="14" spans="1:9" s="275" customFormat="1" ht="12.75" customHeight="1" x14ac:dyDescent="0.25">
      <c r="A14" s="286"/>
      <c r="B14" s="287"/>
      <c r="C14" s="288"/>
      <c r="D14" s="290"/>
      <c r="E14" s="290">
        <f t="shared" si="0"/>
        <v>37360</v>
      </c>
      <c r="F14" s="291"/>
      <c r="G14" s="291">
        <f t="shared" si="1"/>
        <v>1500</v>
      </c>
      <c r="H14" s="291">
        <f t="shared" si="2"/>
        <v>35860</v>
      </c>
      <c r="I14" s="292"/>
    </row>
    <row r="15" spans="1:9" s="275" customFormat="1" ht="12.75" customHeight="1" x14ac:dyDescent="0.25">
      <c r="A15" s="286"/>
      <c r="B15" s="287"/>
      <c r="C15" s="288"/>
      <c r="D15" s="290"/>
      <c r="E15" s="290">
        <f t="shared" si="0"/>
        <v>37360</v>
      </c>
      <c r="F15" s="295"/>
      <c r="G15" s="291">
        <f t="shared" si="1"/>
        <v>1500</v>
      </c>
      <c r="H15" s="291">
        <f t="shared" si="2"/>
        <v>35860</v>
      </c>
      <c r="I15" s="292"/>
    </row>
    <row r="16" spans="1:9" s="275" customFormat="1" ht="12.75" customHeight="1" x14ac:dyDescent="0.25">
      <c r="A16" s="286"/>
      <c r="B16" s="287"/>
      <c r="C16" s="288"/>
      <c r="D16" s="290"/>
      <c r="E16" s="290">
        <f t="shared" si="0"/>
        <v>37360</v>
      </c>
      <c r="F16" s="295"/>
      <c r="G16" s="291">
        <f t="shared" si="1"/>
        <v>1500</v>
      </c>
      <c r="H16" s="291">
        <f t="shared" si="2"/>
        <v>35860</v>
      </c>
      <c r="I16" s="292"/>
    </row>
    <row r="17" spans="1:9" s="275" customFormat="1" ht="12.75" customHeight="1" x14ac:dyDescent="0.25">
      <c r="A17" s="286"/>
      <c r="B17" s="287"/>
      <c r="C17" s="288"/>
      <c r="D17" s="290"/>
      <c r="E17" s="290">
        <f t="shared" si="0"/>
        <v>37360</v>
      </c>
      <c r="F17" s="295"/>
      <c r="G17" s="291">
        <f t="shared" si="1"/>
        <v>1500</v>
      </c>
      <c r="H17" s="291">
        <f t="shared" si="2"/>
        <v>35860</v>
      </c>
      <c r="I17" s="292"/>
    </row>
    <row r="18" spans="1:9" s="275" customFormat="1" ht="12.75" customHeight="1" x14ac:dyDescent="0.25">
      <c r="A18" s="286"/>
      <c r="B18" s="287"/>
      <c r="C18" s="288"/>
      <c r="D18" s="290"/>
      <c r="E18" s="290">
        <f t="shared" si="0"/>
        <v>37360</v>
      </c>
      <c r="F18" s="295"/>
      <c r="G18" s="291">
        <f t="shared" si="1"/>
        <v>1500</v>
      </c>
      <c r="H18" s="291">
        <f t="shared" si="2"/>
        <v>35860</v>
      </c>
      <c r="I18" s="292"/>
    </row>
    <row r="19" spans="1:9" s="275" customFormat="1" ht="12.75" customHeight="1" x14ac:dyDescent="0.25">
      <c r="A19" s="286"/>
      <c r="B19" s="287"/>
      <c r="C19" s="288"/>
      <c r="D19" s="290"/>
      <c r="E19" s="290">
        <f t="shared" si="0"/>
        <v>37360</v>
      </c>
      <c r="F19" s="291"/>
      <c r="G19" s="291">
        <f t="shared" si="1"/>
        <v>1500</v>
      </c>
      <c r="H19" s="291">
        <f t="shared" si="2"/>
        <v>35860</v>
      </c>
      <c r="I19" s="292"/>
    </row>
    <row r="20" spans="1:9" s="275" customFormat="1" ht="12.75" customHeight="1" x14ac:dyDescent="0.25">
      <c r="A20" s="286"/>
      <c r="B20" s="287"/>
      <c r="C20" s="288"/>
      <c r="D20" s="290"/>
      <c r="E20" s="290">
        <f t="shared" si="0"/>
        <v>37360</v>
      </c>
      <c r="F20" s="291"/>
      <c r="G20" s="291">
        <f t="shared" si="1"/>
        <v>1500</v>
      </c>
      <c r="H20" s="291">
        <f t="shared" si="2"/>
        <v>35860</v>
      </c>
      <c r="I20" s="292"/>
    </row>
    <row r="21" spans="1:9" s="275" customFormat="1" ht="12.75" customHeight="1" x14ac:dyDescent="0.25">
      <c r="A21" s="286"/>
      <c r="B21" s="287"/>
      <c r="C21" s="296"/>
      <c r="D21" s="290"/>
      <c r="E21" s="290">
        <f t="shared" si="0"/>
        <v>37360</v>
      </c>
      <c r="F21" s="291"/>
      <c r="G21" s="291">
        <f t="shared" si="1"/>
        <v>1500</v>
      </c>
      <c r="H21" s="291">
        <f t="shared" si="2"/>
        <v>35860</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37360</v>
      </c>
      <c r="E23" s="302"/>
      <c r="F23" s="302">
        <f>SUM(F9:F22)</f>
        <v>1500</v>
      </c>
      <c r="G23" s="302"/>
      <c r="H23" s="302">
        <f>D23-F23</f>
        <v>35860</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297" t="s">
        <v>467</v>
      </c>
      <c r="D26" s="291">
        <v>4080</v>
      </c>
      <c r="E26" s="291"/>
      <c r="F26" s="291">
        <f>1500</f>
        <v>1500</v>
      </c>
      <c r="G26" s="291"/>
      <c r="H26" s="291">
        <f>D26-F26</f>
        <v>2580</v>
      </c>
      <c r="I26" s="292"/>
    </row>
    <row r="27" spans="1:9" s="275" customFormat="1" ht="12.75" customHeight="1" x14ac:dyDescent="0.25">
      <c r="A27" s="286"/>
      <c r="B27" s="288"/>
      <c r="C27" s="297" t="s">
        <v>123</v>
      </c>
      <c r="D27" s="291">
        <v>11060</v>
      </c>
      <c r="E27" s="291"/>
      <c r="F27" s="291"/>
      <c r="G27" s="291"/>
      <c r="H27" s="291">
        <f t="shared" ref="H27:H30" si="3">D27-F27</f>
        <v>11060</v>
      </c>
      <c r="I27" s="292"/>
    </row>
    <row r="28" spans="1:9" s="275" customFormat="1" ht="12.75" customHeight="1" x14ac:dyDescent="0.25">
      <c r="A28" s="286"/>
      <c r="B28" s="288"/>
      <c r="C28" s="297" t="s">
        <v>308</v>
      </c>
      <c r="D28" s="291">
        <v>7140</v>
      </c>
      <c r="E28" s="291"/>
      <c r="F28" s="291"/>
      <c r="G28" s="291"/>
      <c r="H28" s="291">
        <f t="shared" si="3"/>
        <v>7140</v>
      </c>
      <c r="I28" s="292"/>
    </row>
    <row r="29" spans="1:9" s="275" customFormat="1" ht="12.75" customHeight="1" x14ac:dyDescent="0.25">
      <c r="A29" s="286"/>
      <c r="B29" s="288"/>
      <c r="C29" s="312" t="s">
        <v>125</v>
      </c>
      <c r="D29" s="313">
        <v>15080</v>
      </c>
      <c r="E29" s="313"/>
      <c r="F29" s="313"/>
      <c r="G29" s="313"/>
      <c r="H29" s="291">
        <f t="shared" si="3"/>
        <v>15080</v>
      </c>
      <c r="I29" s="292"/>
    </row>
    <row r="30" spans="1:9" s="275" customFormat="1" ht="12.75" customHeight="1" x14ac:dyDescent="0.25">
      <c r="A30" s="286"/>
      <c r="B30" s="288"/>
      <c r="C30" s="312" t="s">
        <v>113</v>
      </c>
      <c r="D30" s="313">
        <v>0</v>
      </c>
      <c r="E30" s="313"/>
      <c r="F30" s="313"/>
      <c r="G30" s="313"/>
      <c r="H30" s="291">
        <f t="shared" si="3"/>
        <v>0</v>
      </c>
      <c r="I30" s="292"/>
    </row>
    <row r="31" spans="1:9" s="275" customFormat="1" ht="12.75" customHeight="1" thickBot="1" x14ac:dyDescent="0.3">
      <c r="A31" s="286"/>
      <c r="B31" s="288"/>
      <c r="C31" s="314" t="s">
        <v>67</v>
      </c>
      <c r="D31" s="315">
        <f>SUM(D26:D30)</f>
        <v>37360</v>
      </c>
      <c r="E31" s="316"/>
      <c r="F31" s="315">
        <f>SUM(F26:F30)</f>
        <v>1500</v>
      </c>
      <c r="G31" s="316"/>
      <c r="H31" s="315">
        <f>SUM(H26:H30)</f>
        <v>35860</v>
      </c>
      <c r="I31" s="292"/>
    </row>
    <row r="32" spans="1:9" s="275" customFormat="1" ht="12.75" customHeight="1" thickTop="1" x14ac:dyDescent="0.25"/>
    <row r="33" s="275" customFormat="1" ht="12.75" customHeight="1" x14ac:dyDescent="0.25"/>
    <row r="34" s="275" customFormat="1" ht="12.75" customHeight="1" x14ac:dyDescent="0.25"/>
    <row r="35" s="275" customFormat="1" ht="12.75" customHeight="1" x14ac:dyDescent="0.25"/>
    <row r="36" s="275" customFormat="1" ht="12.75" customHeight="1" x14ac:dyDescent="0.25"/>
    <row r="37" s="275" customFormat="1" ht="12.75" customHeight="1" x14ac:dyDescent="0.25"/>
    <row r="38" s="275" customFormat="1" ht="12.75" customHeight="1" x14ac:dyDescent="0.25"/>
    <row r="39" s="275" customFormat="1" ht="12.75" customHeight="1" x14ac:dyDescent="0.25"/>
    <row r="40" s="275" customFormat="1" ht="12.75" customHeight="1" x14ac:dyDescent="0.25"/>
    <row r="41" s="275" customFormat="1" ht="12.75" customHeight="1" x14ac:dyDescent="0.25"/>
    <row r="42" s="275" customFormat="1" ht="12.75" customHeight="1" x14ac:dyDescent="0.25"/>
    <row r="43" s="275" customFormat="1" ht="12.75" customHeight="1" x14ac:dyDescent="0.25"/>
    <row r="44" s="275" customFormat="1" ht="12.75" customHeight="1" x14ac:dyDescent="0.25"/>
    <row r="45" s="275" customFormat="1" ht="12.75" customHeight="1" x14ac:dyDescent="0.25"/>
    <row r="46" s="275" customFormat="1" ht="12.75" customHeight="1" x14ac:dyDescent="0.25"/>
    <row r="47" s="275" customFormat="1" ht="12.75" customHeight="1" x14ac:dyDescent="0.25"/>
    <row r="48" s="275" customFormat="1" ht="12.75" customHeight="1" x14ac:dyDescent="0.25"/>
    <row r="49" s="275" customFormat="1" ht="12.75" customHeight="1" x14ac:dyDescent="0.25"/>
    <row r="50" s="275" customFormat="1" ht="12.75" customHeight="1" x14ac:dyDescent="0.25"/>
    <row r="51" s="275" customFormat="1" ht="12.75" customHeight="1" x14ac:dyDescent="0.25"/>
    <row r="52" s="275" customFormat="1" ht="12.75" customHeight="1" x14ac:dyDescent="0.25"/>
    <row r="53" s="275" customFormat="1" ht="12.75" customHeight="1" x14ac:dyDescent="0.25"/>
    <row r="54" s="275" customFormat="1" ht="12.75" customHeight="1" x14ac:dyDescent="0.25"/>
    <row r="55" s="275" customFormat="1" ht="12.75" customHeight="1" x14ac:dyDescent="0.25"/>
    <row r="56" s="275" customFormat="1" ht="12.75" customHeight="1" x14ac:dyDescent="0.25"/>
    <row r="57" s="275" customFormat="1" ht="12.75" customHeight="1" x14ac:dyDescent="0.25"/>
    <row r="58" s="275" customFormat="1" ht="12.75" customHeight="1" x14ac:dyDescent="0.25"/>
    <row r="59" s="275" customFormat="1" ht="12.75" customHeight="1" x14ac:dyDescent="0.25"/>
    <row r="60" s="275" customFormat="1" ht="12.75" customHeight="1" x14ac:dyDescent="0.25"/>
    <row r="61" s="275" customFormat="1" ht="12.75" customHeight="1" x14ac:dyDescent="0.25"/>
    <row r="62" s="275" customFormat="1" ht="12.75" customHeight="1" x14ac:dyDescent="0.25"/>
    <row r="63" s="275" customFormat="1" ht="12.75" customHeight="1" x14ac:dyDescent="0.25"/>
    <row r="64" s="275" customFormat="1" ht="12.75" customHeight="1" x14ac:dyDescent="0.25"/>
    <row r="65" s="275" customFormat="1" ht="12.75" customHeight="1" x14ac:dyDescent="0.25"/>
    <row r="66" s="275" customFormat="1" ht="12.75" customHeight="1" x14ac:dyDescent="0.25"/>
    <row r="67" s="275" customFormat="1" ht="12.75" customHeight="1" x14ac:dyDescent="0.25"/>
    <row r="68" s="275" customFormat="1" ht="12.75" customHeight="1" x14ac:dyDescent="0.25"/>
    <row r="69" s="275" customFormat="1" ht="12.75" customHeight="1" x14ac:dyDescent="0.25"/>
    <row r="70" s="275" customFormat="1" ht="12.75" customHeight="1" x14ac:dyDescent="0.25"/>
    <row r="71" s="275" customFormat="1" ht="12.75" customHeight="1" x14ac:dyDescent="0.25"/>
    <row r="72" s="275" customFormat="1" ht="12.75" customHeight="1" x14ac:dyDescent="0.25"/>
    <row r="73" s="275" customFormat="1" ht="12.75" customHeight="1" x14ac:dyDescent="0.25"/>
    <row r="74" s="275" customFormat="1" ht="12.75" customHeight="1" x14ac:dyDescent="0.25"/>
    <row r="75" s="275" customFormat="1" ht="12.75" customHeight="1" x14ac:dyDescent="0.25"/>
    <row r="76" s="275" customFormat="1" ht="12.75" customHeight="1" x14ac:dyDescent="0.25"/>
    <row r="77" s="275" customFormat="1" ht="12.75" customHeight="1" x14ac:dyDescent="0.25"/>
    <row r="78" s="275" customFormat="1" ht="12.75" customHeight="1" x14ac:dyDescent="0.25"/>
    <row r="79" s="275" customFormat="1" ht="12.75" customHeight="1" x14ac:dyDescent="0.25"/>
    <row r="80" s="275" customFormat="1" ht="12.75" customHeight="1" x14ac:dyDescent="0.25"/>
    <row r="81" s="275" customFormat="1" ht="12.75" customHeight="1" x14ac:dyDescent="0.25"/>
    <row r="82" s="275" customFormat="1" ht="12.75" customHeight="1" x14ac:dyDescent="0.25"/>
    <row r="83" s="275" customFormat="1" ht="12.75" customHeight="1" x14ac:dyDescent="0.25"/>
    <row r="84" s="275" customFormat="1" ht="12.75" customHeight="1" x14ac:dyDescent="0.25"/>
    <row r="85" s="275" customFormat="1" ht="12.75" customHeight="1" x14ac:dyDescent="0.25"/>
    <row r="86" s="275" customFormat="1" ht="12.75" customHeight="1" x14ac:dyDescent="0.25"/>
    <row r="87" s="275" customFormat="1" ht="12.75" customHeight="1" x14ac:dyDescent="0.25"/>
    <row r="88" s="275" customFormat="1" ht="12.75" customHeight="1" x14ac:dyDescent="0.25"/>
    <row r="89" s="275" customFormat="1" ht="12.75" customHeight="1" x14ac:dyDescent="0.25"/>
    <row r="90" s="275" customFormat="1" ht="12.75" customHeight="1" x14ac:dyDescent="0.25"/>
    <row r="91" s="275" customFormat="1" ht="12.75" customHeight="1" x14ac:dyDescent="0.25"/>
    <row r="92" s="275" customFormat="1" ht="12.75" customHeight="1" x14ac:dyDescent="0.25"/>
    <row r="93" s="275" customFormat="1" ht="12.75" customHeight="1" x14ac:dyDescent="0.25"/>
    <row r="94" s="275" customFormat="1" ht="12.75" customHeight="1" x14ac:dyDescent="0.25"/>
    <row r="95" s="275" customFormat="1" ht="12.75" customHeight="1" x14ac:dyDescent="0.25"/>
    <row r="96" s="275" customFormat="1" ht="12.75" customHeight="1" x14ac:dyDescent="0.25"/>
    <row r="97" s="275" customFormat="1" ht="12.75" customHeight="1" x14ac:dyDescent="0.25"/>
    <row r="98" s="275" customFormat="1" ht="12.75" customHeight="1" x14ac:dyDescent="0.25"/>
    <row r="99" s="275" customFormat="1" ht="12.75" customHeight="1" x14ac:dyDescent="0.25"/>
    <row r="100" s="275" customFormat="1" ht="12.75" customHeight="1" x14ac:dyDescent="0.25"/>
    <row r="101" s="275" customFormat="1" ht="12.75" customHeight="1" x14ac:dyDescent="0.25"/>
    <row r="102" s="275" customFormat="1" ht="12.75" customHeight="1" x14ac:dyDescent="0.25"/>
    <row r="103" s="275" customFormat="1" ht="12.75" customHeight="1" x14ac:dyDescent="0.25"/>
    <row r="104" s="275" customFormat="1" ht="12.75" customHeight="1" x14ac:dyDescent="0.25"/>
    <row r="105" s="275" customFormat="1" ht="12.75" customHeight="1" x14ac:dyDescent="0.25"/>
    <row r="106" s="275" customFormat="1" ht="12.75" customHeight="1" x14ac:dyDescent="0.25"/>
    <row r="107" s="275" customFormat="1" ht="12.75" customHeight="1" x14ac:dyDescent="0.25"/>
    <row r="108" s="275" customFormat="1" ht="12.75" customHeight="1" x14ac:dyDescent="0.25"/>
    <row r="109" s="275" customFormat="1" ht="12.75" customHeight="1" x14ac:dyDescent="0.25"/>
    <row r="110" s="275" customFormat="1" ht="12.75" customHeight="1" x14ac:dyDescent="0.25"/>
    <row r="111" s="275" customFormat="1" ht="12.75" customHeight="1" x14ac:dyDescent="0.25"/>
    <row r="112" s="275" customFormat="1" ht="12.75" customHeight="1" x14ac:dyDescent="0.25"/>
    <row r="113" s="275" customFormat="1" ht="12.75" customHeight="1" x14ac:dyDescent="0.25"/>
    <row r="114" s="275" customFormat="1" ht="12.75" customHeight="1" x14ac:dyDescent="0.25"/>
    <row r="115" s="275" customFormat="1" ht="12.75" customHeight="1" x14ac:dyDescent="0.25"/>
    <row r="116" s="275" customFormat="1" ht="12.75" customHeight="1" x14ac:dyDescent="0.25"/>
    <row r="117" s="275" customFormat="1" ht="12.75" customHeight="1" x14ac:dyDescent="0.25"/>
    <row r="118" s="275" customFormat="1" ht="12.75" customHeight="1" x14ac:dyDescent="0.25"/>
    <row r="119" s="275" customFormat="1" ht="12.75" customHeight="1" x14ac:dyDescent="0.25"/>
    <row r="120" s="275" customFormat="1" ht="12.75" customHeight="1" x14ac:dyDescent="0.25"/>
    <row r="121" s="275" customFormat="1" ht="12.75" customHeight="1" x14ac:dyDescent="0.25"/>
    <row r="122" s="275" customFormat="1" ht="12.75" customHeight="1" x14ac:dyDescent="0.25"/>
    <row r="123" s="275" customFormat="1" ht="12.75" customHeight="1" x14ac:dyDescent="0.25"/>
    <row r="124" s="275" customFormat="1" ht="12.75" customHeight="1" x14ac:dyDescent="0.25"/>
    <row r="125" s="275" customFormat="1" ht="12.75" customHeight="1" x14ac:dyDescent="0.25"/>
    <row r="126" s="275" customFormat="1" ht="12.75" customHeight="1" x14ac:dyDescent="0.25"/>
    <row r="127" s="275" customFormat="1" ht="12.75" customHeight="1" x14ac:dyDescent="0.25"/>
    <row r="128" s="275" customFormat="1" ht="12.75" customHeight="1" x14ac:dyDescent="0.25"/>
    <row r="129" s="275" customFormat="1" ht="12.75" customHeight="1" x14ac:dyDescent="0.25"/>
    <row r="130" s="275" customFormat="1" ht="12.75" customHeight="1" x14ac:dyDescent="0.25"/>
    <row r="131" s="275" customFormat="1" ht="12.75" customHeight="1" x14ac:dyDescent="0.25"/>
    <row r="132" s="275" customFormat="1" ht="12.75" customHeight="1" x14ac:dyDescent="0.25"/>
    <row r="133" s="275" customFormat="1" ht="12.75" customHeight="1" x14ac:dyDescent="0.25"/>
    <row r="134" s="275" customFormat="1" ht="12.75" customHeight="1" x14ac:dyDescent="0.25"/>
    <row r="135" s="275" customFormat="1" ht="12.75" customHeight="1" x14ac:dyDescent="0.25"/>
    <row r="136" s="275" customFormat="1" ht="12.75" customHeight="1" x14ac:dyDescent="0.25"/>
    <row r="137" s="275" customFormat="1" ht="12.75" customHeight="1" x14ac:dyDescent="0.25"/>
    <row r="138" s="275" customFormat="1" ht="12.75" customHeight="1" x14ac:dyDescent="0.25"/>
    <row r="139" s="275" customFormat="1" ht="12.75" customHeight="1" x14ac:dyDescent="0.25"/>
    <row r="140" s="275" customFormat="1" ht="12.75" customHeight="1" x14ac:dyDescent="0.25"/>
    <row r="141" s="275" customFormat="1" ht="12.75" customHeight="1" x14ac:dyDescent="0.25"/>
    <row r="142" s="275" customFormat="1" ht="12.75" customHeight="1" x14ac:dyDescent="0.25"/>
    <row r="143" s="275" customFormat="1" ht="12.75" customHeight="1" x14ac:dyDescent="0.25"/>
    <row r="144" s="275" customFormat="1" ht="12.75" customHeight="1" x14ac:dyDescent="0.25"/>
    <row r="145" s="275" customFormat="1" ht="12.75" customHeight="1" x14ac:dyDescent="0.25"/>
    <row r="146" s="275" customFormat="1" ht="12.75" customHeight="1" x14ac:dyDescent="0.25"/>
    <row r="147" s="275" customFormat="1" ht="12.75" customHeight="1" x14ac:dyDescent="0.25"/>
    <row r="148" s="275" customFormat="1" ht="12.75" customHeight="1" x14ac:dyDescent="0.25"/>
    <row r="149" s="275" customFormat="1" ht="12.75" customHeight="1" x14ac:dyDescent="0.25"/>
    <row r="150" s="275" customFormat="1" ht="12.75" customHeight="1" x14ac:dyDescent="0.25"/>
    <row r="151" s="275" customFormat="1" ht="12.75" customHeight="1" x14ac:dyDescent="0.25"/>
    <row r="152" s="275" customFormat="1" ht="12.75" customHeight="1" x14ac:dyDescent="0.25"/>
    <row r="153" s="275" customFormat="1" ht="12.75" customHeight="1" x14ac:dyDescent="0.25"/>
    <row r="154" s="275" customFormat="1" ht="12.75" customHeight="1" x14ac:dyDescent="0.25"/>
    <row r="155" s="275" customFormat="1" ht="12.75" customHeight="1" x14ac:dyDescent="0.25"/>
    <row r="156" s="275" customFormat="1" ht="12.75" customHeight="1" x14ac:dyDescent="0.25"/>
    <row r="157" s="275" customFormat="1" ht="12.75" customHeight="1" x14ac:dyDescent="0.25"/>
    <row r="158" s="275" customFormat="1" ht="12.75" customHeight="1" x14ac:dyDescent="0.25"/>
    <row r="159" s="275" customFormat="1" ht="12.75" customHeight="1" x14ac:dyDescent="0.25"/>
    <row r="160" s="275" customFormat="1" ht="12.75" customHeight="1" x14ac:dyDescent="0.25"/>
    <row r="161" s="275" customFormat="1" ht="12.75" customHeight="1" x14ac:dyDescent="0.25"/>
    <row r="162" s="275" customFormat="1" ht="12.75" customHeight="1" x14ac:dyDescent="0.25"/>
    <row r="163" s="275" customFormat="1" ht="12.75" customHeight="1" x14ac:dyDescent="0.25"/>
    <row r="164" s="275" customFormat="1" ht="12.75" customHeight="1" x14ac:dyDescent="0.25"/>
    <row r="165" s="275" customFormat="1" ht="12.75" customHeight="1" x14ac:dyDescent="0.25"/>
    <row r="166" s="275" customFormat="1" ht="12.75" customHeight="1" x14ac:dyDescent="0.25"/>
    <row r="167" s="275" customFormat="1" ht="12.75" customHeight="1" x14ac:dyDescent="0.25"/>
    <row r="168" s="275" customFormat="1" ht="12.75" customHeight="1" x14ac:dyDescent="0.25"/>
    <row r="169" s="275" customFormat="1" ht="12.75" customHeight="1" x14ac:dyDescent="0.25"/>
    <row r="170" s="275" customFormat="1" ht="12.75" customHeight="1" x14ac:dyDescent="0.25"/>
    <row r="171" s="275" customFormat="1" ht="12.75" customHeight="1" x14ac:dyDescent="0.25"/>
    <row r="172" s="275" customFormat="1" ht="12.75" customHeight="1" x14ac:dyDescent="0.25"/>
    <row r="173" s="275" customFormat="1" ht="12.75" customHeight="1" x14ac:dyDescent="0.25"/>
    <row r="174" s="275" customFormat="1" ht="12.75" customHeight="1" x14ac:dyDescent="0.25"/>
    <row r="175" s="275" customFormat="1" ht="12.75" customHeight="1" x14ac:dyDescent="0.25"/>
    <row r="176" s="275" customFormat="1" ht="12.75" customHeight="1" x14ac:dyDescent="0.25"/>
    <row r="177" s="275" customFormat="1" ht="12.75" customHeight="1" x14ac:dyDescent="0.25"/>
    <row r="178" s="275" customFormat="1" ht="12.75" customHeight="1" x14ac:dyDescent="0.25"/>
    <row r="179" s="275" customFormat="1" ht="12.75" customHeight="1" x14ac:dyDescent="0.25"/>
  </sheetData>
  <conditionalFormatting sqref="I8:I23">
    <cfRule type="cellIs" dxfId="41"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C2E37-BBF6-4472-929C-F93F3A0FA6AD}">
  <sheetPr>
    <pageSetUpPr fitToPage="1"/>
  </sheetPr>
  <dimension ref="A1:G16"/>
  <sheetViews>
    <sheetView zoomScaleNormal="100" workbookViewId="0">
      <selection activeCell="E25" sqref="E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154</v>
      </c>
      <c r="C1" s="3"/>
      <c r="D1" s="4"/>
      <c r="E1" s="4"/>
      <c r="F1" s="4"/>
      <c r="G1" s="4"/>
    </row>
    <row r="2" spans="1:7" ht="15.75" x14ac:dyDescent="0.25">
      <c r="A2" s="1"/>
      <c r="B2" s="6" t="s">
        <v>190</v>
      </c>
      <c r="C2" s="5"/>
      <c r="D2" s="4"/>
      <c r="E2" s="4"/>
      <c r="F2" s="4"/>
      <c r="G2" s="4"/>
    </row>
    <row r="3" spans="1:7" ht="15.75" x14ac:dyDescent="0.25">
      <c r="A3" s="1"/>
      <c r="B3" s="7" t="s">
        <v>191</v>
      </c>
      <c r="C3" s="5"/>
      <c r="D3" s="4"/>
      <c r="E3" s="8" t="s">
        <v>185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192</v>
      </c>
      <c r="C6" s="14"/>
      <c r="D6" s="15" t="s">
        <v>2</v>
      </c>
      <c r="E6" s="16"/>
      <c r="F6" s="16"/>
      <c r="G6" s="16"/>
    </row>
    <row r="7" spans="1:7" ht="30.75" customHeight="1" thickBot="1" x14ac:dyDescent="0.3">
      <c r="A7" s="1"/>
      <c r="B7" s="18" t="s">
        <v>2</v>
      </c>
      <c r="C7" s="19" t="s">
        <v>3</v>
      </c>
      <c r="D7" s="20" t="s">
        <v>4</v>
      </c>
      <c r="E7" s="21" t="s">
        <v>5</v>
      </c>
      <c r="F7" s="22" t="s">
        <v>6</v>
      </c>
      <c r="G7" s="22" t="s">
        <v>7</v>
      </c>
    </row>
    <row r="8" spans="1:7" ht="28.35" customHeight="1" x14ac:dyDescent="0.25">
      <c r="A8" s="1"/>
      <c r="B8" s="1" t="s">
        <v>8</v>
      </c>
      <c r="C8" s="23">
        <f>FINANCIAL!G24</f>
        <v>495000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03"/>
      <c r="B10" s="304" t="s">
        <v>286</v>
      </c>
      <c r="C10" s="305"/>
      <c r="D10" s="308">
        <f>'#9497.00 Story Construction'!D23</f>
        <v>25616.73</v>
      </c>
      <c r="E10" s="308">
        <f>'#9497.00 Story Construction'!F23</f>
        <v>16623.949999999997</v>
      </c>
      <c r="F10" s="308">
        <f>'#9497.00 Story Construction'!H23</f>
        <v>8992.7800000000025</v>
      </c>
      <c r="G10" s="307"/>
    </row>
    <row r="11" spans="1:7" s="275" customFormat="1" ht="12.75" customHeight="1" x14ac:dyDescent="0.25">
      <c r="A11" s="303"/>
      <c r="B11" s="304" t="s">
        <v>10</v>
      </c>
      <c r="C11" s="305"/>
      <c r="D11" s="308">
        <f>'#9497.00 PM TIME'!E23</f>
        <v>10000</v>
      </c>
      <c r="E11" s="308">
        <f>'#9497.00 PM TIME'!G23</f>
        <v>5457.2400000000007</v>
      </c>
      <c r="F11" s="308">
        <f>'#9497.00 PM TIME'!I23</f>
        <v>4542.7599999999993</v>
      </c>
      <c r="G11" s="307"/>
    </row>
    <row r="12" spans="1:7" s="275" customFormat="1" ht="12.75" customHeight="1" x14ac:dyDescent="0.25">
      <c r="A12" s="303"/>
      <c r="B12" s="304" t="s">
        <v>11</v>
      </c>
      <c r="C12" s="306"/>
      <c r="D12" s="309">
        <f>'#9497.00 Misc'!G22</f>
        <v>3217.35</v>
      </c>
      <c r="E12" s="309">
        <f>'#9497.00 Misc'!G22</f>
        <v>3217.35</v>
      </c>
      <c r="F12" s="308">
        <f>D12-E12</f>
        <v>0</v>
      </c>
      <c r="G12" s="307"/>
    </row>
    <row r="13" spans="1:7" s="275" customFormat="1" ht="12.75" customHeight="1" x14ac:dyDescent="0.25">
      <c r="A13" s="303"/>
      <c r="B13" s="304" t="s">
        <v>441</v>
      </c>
      <c r="C13" s="306"/>
      <c r="D13" s="309">
        <f>'#9497.00 ECS Midwest'!D23</f>
        <v>20365</v>
      </c>
      <c r="E13" s="309">
        <f>'#9497.00 ECS Midwest'!F23</f>
        <v>7300</v>
      </c>
      <c r="F13" s="308">
        <f>'#9497.00 ECS Midwest'!H23</f>
        <v>13065</v>
      </c>
      <c r="G13" s="307"/>
    </row>
    <row r="14" spans="1:7" s="275" customFormat="1" ht="12.75" customHeight="1" x14ac:dyDescent="0.25">
      <c r="A14" s="310"/>
      <c r="B14" s="304"/>
      <c r="C14" s="306"/>
      <c r="D14" s="309"/>
      <c r="E14" s="309"/>
      <c r="F14" s="308"/>
      <c r="G14" s="311"/>
    </row>
    <row r="15" spans="1:7" ht="24" customHeight="1" thickBot="1" x14ac:dyDescent="0.3">
      <c r="A15" s="30"/>
      <c r="B15" s="31" t="s">
        <v>12</v>
      </c>
      <c r="C15" s="32">
        <f>SUM(C8:C14)</f>
        <v>495000</v>
      </c>
      <c r="D15" s="32">
        <f>SUM(D8:D14)</f>
        <v>59199.079999999994</v>
      </c>
      <c r="E15" s="32">
        <f>SUM(E8:E14)</f>
        <v>32598.539999999997</v>
      </c>
      <c r="F15" s="32">
        <f>SUM(D15-E15)</f>
        <v>26600.539999999997</v>
      </c>
      <c r="G15" s="32">
        <f>C8-D15</f>
        <v>435800.92</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39243-DDF8-4AB1-8BB5-42ED8582DF8C}">
  <sheetPr>
    <pageSetUpPr fitToPage="1"/>
  </sheetPr>
  <dimension ref="A1:I29"/>
  <sheetViews>
    <sheetView zoomScaleNormal="100" workbookViewId="0">
      <selection activeCell="E37" sqref="E3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#9497.00'!B1</f>
        <v>HHS IMHI Warehouse Roof Replacement</v>
      </c>
      <c r="B1" s="3"/>
      <c r="C1" s="4"/>
      <c r="D1" s="4"/>
      <c r="E1" s="4"/>
      <c r="F1" s="33"/>
      <c r="G1" s="33"/>
      <c r="H1" s="34"/>
      <c r="I1" s="34"/>
    </row>
    <row r="2" spans="1:9" ht="15.75" x14ac:dyDescent="0.25">
      <c r="A2" s="6" t="str">
        <f>'RECAP #9497.00'!B2</f>
        <v>Project # 9497.00</v>
      </c>
      <c r="B2" s="5"/>
      <c r="C2" s="4"/>
      <c r="D2" s="4"/>
      <c r="E2" s="4"/>
      <c r="F2" s="33"/>
      <c r="G2" s="33"/>
      <c r="H2" s="34"/>
      <c r="I2" s="34"/>
    </row>
    <row r="3" spans="1:9" ht="15.75" x14ac:dyDescent="0.25">
      <c r="A3" s="7" t="str">
        <f>'RECAP #9497.00'!B3</f>
        <v>Program code 949700</v>
      </c>
      <c r="B3" s="5"/>
      <c r="C3" s="4"/>
      <c r="D3" s="8" t="str">
        <f>'RECAP #9497.00'!E3</f>
        <v>Major Program 4E02</v>
      </c>
      <c r="E3" s="4"/>
      <c r="F3" s="33"/>
      <c r="G3" s="33"/>
      <c r="H3" s="34"/>
      <c r="I3" s="34"/>
    </row>
    <row r="4" spans="1:9" ht="15.75" x14ac:dyDescent="0.25">
      <c r="A4" s="35" t="s">
        <v>286</v>
      </c>
      <c r="B4" s="36"/>
      <c r="C4" s="37"/>
      <c r="D4" s="38" t="s">
        <v>287</v>
      </c>
      <c r="E4" s="39"/>
      <c r="F4" s="33"/>
      <c r="G4" s="33"/>
      <c r="H4" s="34"/>
      <c r="I4" s="34"/>
    </row>
    <row r="5" spans="1:9" ht="15.75" x14ac:dyDescent="0.25">
      <c r="A5" s="40" t="s">
        <v>106</v>
      </c>
      <c r="B5" s="41"/>
      <c r="C5" s="42"/>
      <c r="D5" s="43" t="s">
        <v>288</v>
      </c>
      <c r="E5" s="44"/>
      <c r="F5" s="45"/>
      <c r="G5" s="46"/>
      <c r="H5" s="41"/>
      <c r="I5" s="34"/>
    </row>
    <row r="6" spans="1:9" ht="15.75" x14ac:dyDescent="0.25">
      <c r="A6" s="13" t="str">
        <f>'RECAP #9497.00'!B6</f>
        <v>Project Manager - Oliver S.</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289</v>
      </c>
      <c r="B9" s="287">
        <v>45945</v>
      </c>
      <c r="C9" s="288" t="s">
        <v>111</v>
      </c>
      <c r="D9" s="289">
        <v>25616.73</v>
      </c>
      <c r="E9" s="290">
        <f>D9</f>
        <v>25616.73</v>
      </c>
      <c r="F9" s="291"/>
      <c r="G9" s="291"/>
      <c r="H9" s="291">
        <f>E9</f>
        <v>25616.73</v>
      </c>
      <c r="I9" s="292"/>
    </row>
    <row r="10" spans="1:9" s="275" customFormat="1" ht="12.75" customHeight="1" x14ac:dyDescent="0.25">
      <c r="A10" s="286" t="s">
        <v>460</v>
      </c>
      <c r="B10" s="293">
        <v>46044</v>
      </c>
      <c r="C10" s="288" t="s">
        <v>461</v>
      </c>
      <c r="D10" s="290"/>
      <c r="E10" s="290">
        <f t="shared" ref="E10:E21" si="0">E9+D10</f>
        <v>25616.73</v>
      </c>
      <c r="F10" s="294">
        <v>6302.63</v>
      </c>
      <c r="G10" s="291">
        <f t="shared" ref="G10:G21" si="1">G9+F10</f>
        <v>6302.63</v>
      </c>
      <c r="H10" s="291">
        <f t="shared" ref="H10:H21" si="2">H9-F10+D10</f>
        <v>19314.099999999999</v>
      </c>
      <c r="I10" s="292"/>
    </row>
    <row r="11" spans="1:9" s="275" customFormat="1" ht="12.75" customHeight="1" x14ac:dyDescent="0.25">
      <c r="A11" s="286" t="s">
        <v>593</v>
      </c>
      <c r="B11" s="287">
        <v>46073</v>
      </c>
      <c r="C11" s="288" t="s">
        <v>594</v>
      </c>
      <c r="D11" s="290"/>
      <c r="E11" s="290">
        <f t="shared" si="0"/>
        <v>25616.73</v>
      </c>
      <c r="F11" s="294">
        <v>6208.65</v>
      </c>
      <c r="G11" s="291">
        <f t="shared" si="1"/>
        <v>12511.279999999999</v>
      </c>
      <c r="H11" s="291">
        <f t="shared" si="2"/>
        <v>13105.449999999999</v>
      </c>
      <c r="I11" s="292"/>
    </row>
    <row r="12" spans="1:9" s="275" customFormat="1" ht="12.75" customHeight="1" x14ac:dyDescent="0.25">
      <c r="A12" s="286" t="s">
        <v>690</v>
      </c>
      <c r="B12" s="287">
        <v>46100</v>
      </c>
      <c r="C12" s="288" t="s">
        <v>691</v>
      </c>
      <c r="D12" s="290"/>
      <c r="E12" s="290">
        <f t="shared" si="0"/>
        <v>25616.73</v>
      </c>
      <c r="F12" s="294">
        <v>4112.67</v>
      </c>
      <c r="G12" s="291">
        <f t="shared" si="1"/>
        <v>16623.949999999997</v>
      </c>
      <c r="H12" s="291">
        <f t="shared" si="2"/>
        <v>8992.7799999999988</v>
      </c>
      <c r="I12" s="292"/>
    </row>
    <row r="13" spans="1:9" s="275" customFormat="1" ht="12.75" customHeight="1" x14ac:dyDescent="0.25">
      <c r="A13" s="286"/>
      <c r="B13" s="287"/>
      <c r="C13" s="288"/>
      <c r="D13" s="290"/>
      <c r="E13" s="290">
        <f t="shared" si="0"/>
        <v>25616.73</v>
      </c>
      <c r="F13" s="295"/>
      <c r="G13" s="291">
        <f t="shared" si="1"/>
        <v>16623.949999999997</v>
      </c>
      <c r="H13" s="291">
        <f t="shared" si="2"/>
        <v>8992.7799999999988</v>
      </c>
      <c r="I13" s="292"/>
    </row>
    <row r="14" spans="1:9" s="275" customFormat="1" ht="12.75" customHeight="1" x14ac:dyDescent="0.25">
      <c r="A14" s="286"/>
      <c r="B14" s="287"/>
      <c r="C14" s="288"/>
      <c r="D14" s="290"/>
      <c r="E14" s="290">
        <f t="shared" si="0"/>
        <v>25616.73</v>
      </c>
      <c r="F14" s="291"/>
      <c r="G14" s="291">
        <f t="shared" si="1"/>
        <v>16623.949999999997</v>
      </c>
      <c r="H14" s="291">
        <f t="shared" si="2"/>
        <v>8992.7799999999988</v>
      </c>
      <c r="I14" s="292"/>
    </row>
    <row r="15" spans="1:9" s="275" customFormat="1" ht="12.75" customHeight="1" x14ac:dyDescent="0.25">
      <c r="A15" s="286"/>
      <c r="B15" s="287"/>
      <c r="C15" s="288"/>
      <c r="D15" s="290"/>
      <c r="E15" s="290">
        <f t="shared" si="0"/>
        <v>25616.73</v>
      </c>
      <c r="F15" s="295"/>
      <c r="G15" s="291">
        <f t="shared" si="1"/>
        <v>16623.949999999997</v>
      </c>
      <c r="H15" s="291">
        <f t="shared" si="2"/>
        <v>8992.7799999999988</v>
      </c>
      <c r="I15" s="292"/>
    </row>
    <row r="16" spans="1:9" s="275" customFormat="1" ht="12.75" customHeight="1" x14ac:dyDescent="0.25">
      <c r="A16" s="286"/>
      <c r="B16" s="287"/>
      <c r="C16" s="288"/>
      <c r="D16" s="290"/>
      <c r="E16" s="290">
        <f t="shared" si="0"/>
        <v>25616.73</v>
      </c>
      <c r="F16" s="295"/>
      <c r="G16" s="291">
        <f t="shared" si="1"/>
        <v>16623.949999999997</v>
      </c>
      <c r="H16" s="291">
        <f t="shared" si="2"/>
        <v>8992.7799999999988</v>
      </c>
      <c r="I16" s="292"/>
    </row>
    <row r="17" spans="1:9" s="275" customFormat="1" ht="12.75" customHeight="1" x14ac:dyDescent="0.25">
      <c r="A17" s="286"/>
      <c r="B17" s="287"/>
      <c r="C17" s="288"/>
      <c r="D17" s="290"/>
      <c r="E17" s="290">
        <f t="shared" si="0"/>
        <v>25616.73</v>
      </c>
      <c r="F17" s="295"/>
      <c r="G17" s="291">
        <f t="shared" si="1"/>
        <v>16623.949999999997</v>
      </c>
      <c r="H17" s="291">
        <f t="shared" si="2"/>
        <v>8992.7799999999988</v>
      </c>
      <c r="I17" s="292"/>
    </row>
    <row r="18" spans="1:9" s="275" customFormat="1" ht="12.75" customHeight="1" x14ac:dyDescent="0.25">
      <c r="A18" s="286"/>
      <c r="B18" s="287"/>
      <c r="C18" s="288"/>
      <c r="D18" s="290"/>
      <c r="E18" s="290">
        <f t="shared" si="0"/>
        <v>25616.73</v>
      </c>
      <c r="F18" s="295"/>
      <c r="G18" s="291">
        <f t="shared" si="1"/>
        <v>16623.949999999997</v>
      </c>
      <c r="H18" s="291">
        <f t="shared" si="2"/>
        <v>8992.7799999999988</v>
      </c>
      <c r="I18" s="292"/>
    </row>
    <row r="19" spans="1:9" s="275" customFormat="1" ht="12.75" customHeight="1" x14ac:dyDescent="0.25">
      <c r="A19" s="286"/>
      <c r="B19" s="287"/>
      <c r="C19" s="288"/>
      <c r="D19" s="290"/>
      <c r="E19" s="290">
        <f t="shared" si="0"/>
        <v>25616.73</v>
      </c>
      <c r="F19" s="291"/>
      <c r="G19" s="291">
        <f t="shared" si="1"/>
        <v>16623.949999999997</v>
      </c>
      <c r="H19" s="291">
        <f t="shared" si="2"/>
        <v>8992.7799999999988</v>
      </c>
      <c r="I19" s="292"/>
    </row>
    <row r="20" spans="1:9" s="275" customFormat="1" ht="12.75" customHeight="1" x14ac:dyDescent="0.25">
      <c r="A20" s="286"/>
      <c r="B20" s="287"/>
      <c r="C20" s="288"/>
      <c r="D20" s="290"/>
      <c r="E20" s="290">
        <f t="shared" si="0"/>
        <v>25616.73</v>
      </c>
      <c r="F20" s="291"/>
      <c r="G20" s="291">
        <f t="shared" si="1"/>
        <v>16623.949999999997</v>
      </c>
      <c r="H20" s="291">
        <f t="shared" si="2"/>
        <v>8992.7799999999988</v>
      </c>
      <c r="I20" s="292"/>
    </row>
    <row r="21" spans="1:9" s="275" customFormat="1" ht="12.75" customHeight="1" x14ac:dyDescent="0.25">
      <c r="A21" s="286"/>
      <c r="B21" s="287"/>
      <c r="C21" s="296"/>
      <c r="D21" s="290"/>
      <c r="E21" s="290">
        <f t="shared" si="0"/>
        <v>25616.73</v>
      </c>
      <c r="F21" s="291"/>
      <c r="G21" s="291">
        <f t="shared" si="1"/>
        <v>16623.949999999997</v>
      </c>
      <c r="H21" s="291">
        <f t="shared" si="2"/>
        <v>8992.7799999999988</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25616.73</v>
      </c>
      <c r="E23" s="302"/>
      <c r="F23" s="302">
        <f>SUM(F9:F22)</f>
        <v>16623.949999999997</v>
      </c>
      <c r="G23" s="302"/>
      <c r="H23" s="302">
        <f>D23-F23</f>
        <v>8992.7800000000025</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25259.73</v>
      </c>
      <c r="E26" s="313"/>
      <c r="F26" s="313">
        <f>6302.63+6089.65+4112.67</f>
        <v>16504.949999999997</v>
      </c>
      <c r="G26" s="313"/>
      <c r="H26" s="313">
        <f>D26-F26</f>
        <v>8754.7800000000025</v>
      </c>
      <c r="I26" s="292"/>
    </row>
    <row r="27" spans="1:9" s="275" customFormat="1" ht="12.75" customHeight="1" x14ac:dyDescent="0.25">
      <c r="A27" s="286"/>
      <c r="B27" s="288"/>
      <c r="C27" s="312" t="s">
        <v>113</v>
      </c>
      <c r="D27" s="313">
        <v>357</v>
      </c>
      <c r="E27" s="313"/>
      <c r="F27" s="313">
        <f>119</f>
        <v>119</v>
      </c>
      <c r="G27" s="313"/>
      <c r="H27" s="313">
        <f>D27-F27</f>
        <v>238</v>
      </c>
      <c r="I27" s="292"/>
    </row>
    <row r="28" spans="1:9" s="275" customFormat="1" ht="12.75" customHeight="1" thickBot="1" x14ac:dyDescent="0.3">
      <c r="A28" s="286"/>
      <c r="B28" s="288"/>
      <c r="C28" s="314" t="s">
        <v>67</v>
      </c>
      <c r="D28" s="315">
        <f>SUM(D26:D27)</f>
        <v>25616.73</v>
      </c>
      <c r="E28" s="316"/>
      <c r="F28" s="315">
        <f>SUM(F26:F27)</f>
        <v>16623.949999999997</v>
      </c>
      <c r="G28" s="316"/>
      <c r="H28" s="315">
        <f>SUM(H26:H27)</f>
        <v>8992.7800000000025</v>
      </c>
      <c r="I28" s="292"/>
    </row>
    <row r="29" spans="1:9" s="275" customFormat="1" ht="12.75" customHeight="1" thickTop="1" x14ac:dyDescent="0.25"/>
  </sheetData>
  <conditionalFormatting sqref="I8:I23">
    <cfRule type="cellIs" dxfId="40"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43D5B-9FB5-44A6-B2F7-91A252760EDA}">
  <sheetPr>
    <pageSetUpPr fitToPage="1"/>
  </sheetPr>
  <dimension ref="A1:J26"/>
  <sheetViews>
    <sheetView zoomScaleNormal="100" workbookViewId="0">
      <selection activeCell="F29" sqref="F29"/>
    </sheetView>
  </sheetViews>
  <sheetFormatPr defaultColWidth="11.42578125" defaultRowHeight="15" customHeight="1" x14ac:dyDescent="0.25"/>
  <cols>
    <col min="1" max="1" width="24.5703125" customWidth="1"/>
    <col min="2" max="3" width="9.42578125" customWidth="1"/>
    <col min="4" max="4" width="35.285156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#9497.00'!B1</f>
        <v>HHS IMHI Warehouse Roof Replacement</v>
      </c>
      <c r="B1" s="3"/>
      <c r="C1" s="3"/>
      <c r="D1" s="4"/>
      <c r="E1" s="4"/>
      <c r="F1" s="4"/>
      <c r="G1" s="33"/>
      <c r="H1" s="33"/>
      <c r="I1" s="34"/>
      <c r="J1" s="34"/>
    </row>
    <row r="2" spans="1:10" ht="15.75" x14ac:dyDescent="0.25">
      <c r="A2" s="6" t="str">
        <f>'RECAP #9497.00'!B2</f>
        <v>Project # 9497.00</v>
      </c>
      <c r="B2" s="5"/>
      <c r="C2" s="5"/>
      <c r="D2" s="4"/>
      <c r="E2" s="4"/>
      <c r="F2" s="4"/>
      <c r="G2" s="33"/>
      <c r="H2" s="33"/>
      <c r="I2" s="34"/>
      <c r="J2" s="34"/>
    </row>
    <row r="3" spans="1:10" ht="15.75" x14ac:dyDescent="0.25">
      <c r="A3" s="7" t="str">
        <f>'RECAP #9497.00'!B3</f>
        <v>Program code 949700</v>
      </c>
      <c r="B3" s="5"/>
      <c r="C3" s="5"/>
      <c r="D3" s="4"/>
      <c r="E3" s="8" t="str">
        <f>'RECAP #9497.00'!E3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241</v>
      </c>
      <c r="F6" s="49"/>
      <c r="G6" s="50"/>
      <c r="H6" s="46"/>
      <c r="I6" s="41"/>
      <c r="J6" s="34"/>
    </row>
    <row r="7" spans="1:10" ht="15.75" x14ac:dyDescent="0.25">
      <c r="A7" s="13" t="str">
        <f>'RECAP #9497.00'!B6</f>
        <v>Project Manager - Oliver S.</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10000</v>
      </c>
      <c r="F9" s="290">
        <f>E9</f>
        <v>10000</v>
      </c>
      <c r="G9" s="291"/>
      <c r="H9" s="291"/>
      <c r="I9" s="291">
        <f>F9</f>
        <v>10000</v>
      </c>
      <c r="J9" s="292"/>
    </row>
    <row r="10" spans="1:10" s="275" customFormat="1" ht="12.75" customHeight="1" x14ac:dyDescent="0.25">
      <c r="A10" s="220" t="s">
        <v>322</v>
      </c>
      <c r="B10" s="221">
        <v>45968</v>
      </c>
      <c r="C10" s="329" t="s">
        <v>269</v>
      </c>
      <c r="D10" s="179" t="s">
        <v>323</v>
      </c>
      <c r="E10" s="290"/>
      <c r="F10" s="290">
        <f t="shared" ref="F10:F21" si="0">F9+E10</f>
        <v>10000</v>
      </c>
      <c r="G10" s="294">
        <v>78.78</v>
      </c>
      <c r="H10" s="291">
        <f t="shared" ref="H10:H21" si="1">H9+G10</f>
        <v>78.78</v>
      </c>
      <c r="I10" s="291">
        <f t="shared" ref="I10:I21" si="2">I9-G10+E10</f>
        <v>9921.2199999999993</v>
      </c>
      <c r="J10" s="292"/>
    </row>
    <row r="11" spans="1:10" s="275" customFormat="1" ht="12.75" customHeight="1" x14ac:dyDescent="0.25">
      <c r="A11" s="220" t="s">
        <v>322</v>
      </c>
      <c r="B11" s="221">
        <v>45968</v>
      </c>
      <c r="C11" s="329">
        <v>9500</v>
      </c>
      <c r="D11" s="222" t="s">
        <v>324</v>
      </c>
      <c r="E11" s="290"/>
      <c r="F11" s="290">
        <f t="shared" si="0"/>
        <v>10000</v>
      </c>
      <c r="G11" s="294">
        <v>779.9</v>
      </c>
      <c r="H11" s="291">
        <f t="shared" si="1"/>
        <v>858.68</v>
      </c>
      <c r="I11" s="291">
        <f t="shared" si="2"/>
        <v>9141.32</v>
      </c>
      <c r="J11" s="292"/>
    </row>
    <row r="12" spans="1:10" s="275" customFormat="1" ht="12.75" customHeight="1" x14ac:dyDescent="0.2">
      <c r="A12" s="213" t="s">
        <v>373</v>
      </c>
      <c r="B12" s="214">
        <v>45996</v>
      </c>
      <c r="C12" s="332" t="s">
        <v>269</v>
      </c>
      <c r="D12" s="175" t="s">
        <v>374</v>
      </c>
      <c r="E12" s="290"/>
      <c r="F12" s="290">
        <f t="shared" si="0"/>
        <v>10000</v>
      </c>
      <c r="G12" s="294">
        <v>81.069999999999993</v>
      </c>
      <c r="H12" s="291">
        <f t="shared" si="1"/>
        <v>939.75</v>
      </c>
      <c r="I12" s="291">
        <f t="shared" si="2"/>
        <v>9060.25</v>
      </c>
      <c r="J12" s="292"/>
    </row>
    <row r="13" spans="1:10" s="275" customFormat="1" ht="12.75" customHeight="1" x14ac:dyDescent="0.2">
      <c r="A13" s="213" t="s">
        <v>373</v>
      </c>
      <c r="B13" s="214">
        <v>45996</v>
      </c>
      <c r="C13" s="333">
        <v>9500</v>
      </c>
      <c r="D13" s="78" t="s">
        <v>375</v>
      </c>
      <c r="E13" s="290"/>
      <c r="F13" s="290">
        <f t="shared" si="0"/>
        <v>10000</v>
      </c>
      <c r="G13" s="294">
        <v>516.20000000000005</v>
      </c>
      <c r="H13" s="291">
        <f t="shared" si="1"/>
        <v>1455.95</v>
      </c>
      <c r="I13" s="291">
        <f t="shared" si="2"/>
        <v>8544.0499999999993</v>
      </c>
      <c r="J13" s="292"/>
    </row>
    <row r="14" spans="1:10" s="275" customFormat="1" ht="12.75" customHeight="1" x14ac:dyDescent="0.2">
      <c r="A14" s="213" t="s">
        <v>433</v>
      </c>
      <c r="B14" s="214">
        <v>46030</v>
      </c>
      <c r="C14" s="332" t="s">
        <v>269</v>
      </c>
      <c r="D14" s="175" t="s">
        <v>434</v>
      </c>
      <c r="E14" s="290"/>
      <c r="F14" s="290">
        <f t="shared" si="0"/>
        <v>10000</v>
      </c>
      <c r="G14" s="294">
        <v>191.99</v>
      </c>
      <c r="H14" s="291">
        <f t="shared" si="1"/>
        <v>1647.94</v>
      </c>
      <c r="I14" s="291">
        <f t="shared" si="2"/>
        <v>8352.06</v>
      </c>
      <c r="J14" s="292"/>
    </row>
    <row r="15" spans="1:10" s="275" customFormat="1" ht="12.75" customHeight="1" x14ac:dyDescent="0.2">
      <c r="A15" s="213" t="s">
        <v>433</v>
      </c>
      <c r="B15" s="214">
        <v>46030</v>
      </c>
      <c r="C15" s="333">
        <v>9500</v>
      </c>
      <c r="D15" s="78" t="s">
        <v>435</v>
      </c>
      <c r="E15" s="290"/>
      <c r="F15" s="290">
        <f t="shared" si="0"/>
        <v>10000</v>
      </c>
      <c r="G15" s="294">
        <v>2175.5</v>
      </c>
      <c r="H15" s="291">
        <f t="shared" si="1"/>
        <v>3823.44</v>
      </c>
      <c r="I15" s="291">
        <f t="shared" si="2"/>
        <v>6176.5599999999995</v>
      </c>
      <c r="J15" s="292"/>
    </row>
    <row r="16" spans="1:10" s="275" customFormat="1" ht="12.75" customHeight="1" x14ac:dyDescent="0.2">
      <c r="A16" s="213" t="s">
        <v>559</v>
      </c>
      <c r="B16" s="214">
        <v>46062</v>
      </c>
      <c r="C16" s="332" t="s">
        <v>269</v>
      </c>
      <c r="D16" s="175" t="s">
        <v>560</v>
      </c>
      <c r="E16" s="290"/>
      <c r="F16" s="290">
        <f t="shared" si="0"/>
        <v>10000</v>
      </c>
      <c r="G16" s="294">
        <v>71.12</v>
      </c>
      <c r="H16" s="291">
        <f t="shared" si="1"/>
        <v>3894.56</v>
      </c>
      <c r="I16" s="291">
        <f t="shared" si="2"/>
        <v>6105.44</v>
      </c>
      <c r="J16" s="292"/>
    </row>
    <row r="17" spans="1:10" s="275" customFormat="1" ht="12.75" customHeight="1" x14ac:dyDescent="0.2">
      <c r="A17" s="213" t="s">
        <v>559</v>
      </c>
      <c r="B17" s="214">
        <v>46062</v>
      </c>
      <c r="C17" s="333">
        <v>9500</v>
      </c>
      <c r="D17" s="78" t="s">
        <v>561</v>
      </c>
      <c r="E17" s="290"/>
      <c r="F17" s="290">
        <f t="shared" si="0"/>
        <v>10000</v>
      </c>
      <c r="G17" s="294">
        <v>885.2</v>
      </c>
      <c r="H17" s="291">
        <f t="shared" si="1"/>
        <v>4779.76</v>
      </c>
      <c r="I17" s="291">
        <f t="shared" si="2"/>
        <v>5220.24</v>
      </c>
      <c r="J17" s="292"/>
    </row>
    <row r="18" spans="1:10" s="275" customFormat="1" ht="12.75" customHeight="1" x14ac:dyDescent="0.2">
      <c r="A18" s="213" t="s">
        <v>663</v>
      </c>
      <c r="B18" s="214">
        <v>46090</v>
      </c>
      <c r="C18" s="332" t="s">
        <v>269</v>
      </c>
      <c r="D18" s="175" t="s">
        <v>664</v>
      </c>
      <c r="E18" s="290"/>
      <c r="F18" s="290">
        <f t="shared" si="0"/>
        <v>10000</v>
      </c>
      <c r="G18" s="294">
        <v>54.18</v>
      </c>
      <c r="H18" s="291">
        <f t="shared" si="1"/>
        <v>4833.9400000000005</v>
      </c>
      <c r="I18" s="291">
        <f t="shared" si="2"/>
        <v>5166.0599999999995</v>
      </c>
      <c r="J18" s="292"/>
    </row>
    <row r="19" spans="1:10" s="275" customFormat="1" ht="12.75" customHeight="1" x14ac:dyDescent="0.2">
      <c r="A19" s="213" t="s">
        <v>663</v>
      </c>
      <c r="B19" s="214">
        <v>46090</v>
      </c>
      <c r="C19" s="333">
        <v>9500</v>
      </c>
      <c r="D19" s="78" t="s">
        <v>665</v>
      </c>
      <c r="E19" s="290"/>
      <c r="F19" s="290">
        <f t="shared" si="0"/>
        <v>10000</v>
      </c>
      <c r="G19" s="294">
        <v>623.29999999999995</v>
      </c>
      <c r="H19" s="291">
        <f t="shared" si="1"/>
        <v>5457.2400000000007</v>
      </c>
      <c r="I19" s="291">
        <f t="shared" si="2"/>
        <v>4542.7599999999993</v>
      </c>
      <c r="J19" s="292"/>
    </row>
    <row r="20" spans="1:10" s="275" customFormat="1" ht="12.75" customHeight="1" x14ac:dyDescent="0.25">
      <c r="A20" s="298"/>
      <c r="B20" s="287"/>
      <c r="C20" s="287"/>
      <c r="D20" s="297"/>
      <c r="E20" s="290"/>
      <c r="F20" s="290">
        <f t="shared" si="0"/>
        <v>10000</v>
      </c>
      <c r="G20" s="291"/>
      <c r="H20" s="291">
        <f t="shared" si="1"/>
        <v>5457.2400000000007</v>
      </c>
      <c r="I20" s="291">
        <f t="shared" si="2"/>
        <v>4542.7599999999993</v>
      </c>
      <c r="J20" s="292"/>
    </row>
    <row r="21" spans="1:10" s="275" customFormat="1" ht="12.75" customHeight="1" x14ac:dyDescent="0.25">
      <c r="A21" s="298"/>
      <c r="B21" s="287"/>
      <c r="C21" s="287"/>
      <c r="D21" s="318"/>
      <c r="E21" s="290"/>
      <c r="F21" s="290">
        <f t="shared" si="0"/>
        <v>10000</v>
      </c>
      <c r="G21" s="291"/>
      <c r="H21" s="291">
        <f t="shared" si="1"/>
        <v>5457.2400000000007</v>
      </c>
      <c r="I21" s="291">
        <f t="shared" si="2"/>
        <v>4542.7599999999993</v>
      </c>
      <c r="J21" s="292"/>
    </row>
    <row r="22" spans="1:10" s="275" customFormat="1" ht="12.75" customHeight="1" x14ac:dyDescent="0.25">
      <c r="A22" s="286"/>
      <c r="B22" s="288"/>
      <c r="C22" s="288"/>
      <c r="D22" s="297"/>
      <c r="E22" s="291"/>
      <c r="F22" s="291"/>
      <c r="G22" s="291"/>
      <c r="H22" s="291"/>
      <c r="I22" s="291"/>
      <c r="J22" s="292"/>
    </row>
    <row r="23" spans="1:10" s="275" customFormat="1" ht="12.75" customHeight="1" thickBot="1" x14ac:dyDescent="0.3">
      <c r="A23" s="286"/>
      <c r="B23" s="300"/>
      <c r="C23" s="300"/>
      <c r="D23" s="301" t="s">
        <v>24</v>
      </c>
      <c r="E23" s="302">
        <f>SUM(E9:E22)</f>
        <v>10000</v>
      </c>
      <c r="F23" s="302"/>
      <c r="G23" s="302">
        <f>SUM(G9:G22)</f>
        <v>5457.2400000000007</v>
      </c>
      <c r="H23" s="302"/>
      <c r="I23" s="302">
        <f>E23-G23</f>
        <v>4542.7599999999993</v>
      </c>
      <c r="J23" s="292"/>
    </row>
    <row r="24" spans="1:10" s="275" customFormat="1" ht="12.75" customHeight="1" thickTop="1" x14ac:dyDescent="0.25"/>
    <row r="25" spans="1:10" s="275" customFormat="1" ht="12.75" customHeight="1" x14ac:dyDescent="0.25"/>
    <row r="26" spans="1:10" s="275"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76F6-527F-4CA2-A2E5-0AEFC5673D1E}">
  <sheetPr>
    <pageSetUpPr fitToPage="1"/>
  </sheetPr>
  <dimension ref="A1:G16"/>
  <sheetViews>
    <sheetView zoomScaleNormal="100" workbookViewId="0">
      <selection activeCell="F19" sqref="F1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498</v>
      </c>
      <c r="C1" s="3"/>
      <c r="D1" s="4"/>
      <c r="E1" s="4"/>
      <c r="F1" s="4"/>
      <c r="G1" s="4"/>
    </row>
    <row r="2" spans="1:7" ht="15.75" x14ac:dyDescent="0.25">
      <c r="A2" s="1"/>
      <c r="B2" s="6" t="s">
        <v>499</v>
      </c>
      <c r="C2" s="5"/>
      <c r="D2" s="4"/>
      <c r="E2" s="4"/>
      <c r="F2" s="4"/>
      <c r="G2" s="4"/>
    </row>
    <row r="3" spans="1:7" ht="15.75" x14ac:dyDescent="0.25">
      <c r="A3" s="1"/>
      <c r="B3" s="7" t="s">
        <v>500</v>
      </c>
      <c r="C3" s="5"/>
      <c r="D3" s="4"/>
      <c r="E3" s="8" t="s">
        <v>610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501</v>
      </c>
      <c r="C6" s="14"/>
      <c r="D6" s="15" t="s">
        <v>2</v>
      </c>
      <c r="E6" s="16"/>
      <c r="F6" s="16"/>
      <c r="G6" s="16"/>
    </row>
    <row r="7" spans="1:7" ht="35.25" customHeight="1" thickBot="1" x14ac:dyDescent="0.3">
      <c r="A7" s="1"/>
      <c r="B7" s="18" t="s">
        <v>2</v>
      </c>
      <c r="C7" s="19" t="s">
        <v>3</v>
      </c>
      <c r="D7" s="20" t="s">
        <v>4</v>
      </c>
      <c r="E7" s="21" t="s">
        <v>5</v>
      </c>
      <c r="F7" s="22" t="s">
        <v>6</v>
      </c>
      <c r="G7" s="22" t="s">
        <v>7</v>
      </c>
    </row>
    <row r="8" spans="1:7" ht="28.35" customHeight="1" x14ac:dyDescent="0.25">
      <c r="A8" s="1"/>
      <c r="B8" s="1" t="s">
        <v>8</v>
      </c>
      <c r="C8" s="23">
        <f>FINANCIAL!E16</f>
        <v>1550000</v>
      </c>
      <c r="D8" s="24"/>
      <c r="E8" s="24"/>
      <c r="F8" s="24"/>
      <c r="G8" s="25"/>
    </row>
    <row r="9" spans="1:7" s="275" customFormat="1" ht="12.75" customHeight="1" x14ac:dyDescent="0.25">
      <c r="A9" s="303"/>
      <c r="B9" s="304"/>
      <c r="C9" s="331"/>
      <c r="D9" s="306"/>
      <c r="E9" s="306"/>
      <c r="F9" s="306"/>
      <c r="G9" s="307"/>
    </row>
    <row r="10" spans="1:7" s="275" customFormat="1" ht="12.75" customHeight="1" x14ac:dyDescent="0.25">
      <c r="A10" s="303"/>
      <c r="B10" s="304" t="s">
        <v>105</v>
      </c>
      <c r="C10" s="305"/>
      <c r="D10" s="308">
        <f>'#9440.01 DCI Group'!D23</f>
        <v>18399.16</v>
      </c>
      <c r="E10" s="308">
        <f>'#9440.01 DCI Group'!F23</f>
        <v>0</v>
      </c>
      <c r="F10" s="308">
        <f>'#9440.01 DCI Group'!H23</f>
        <v>18399.16</v>
      </c>
      <c r="G10" s="307"/>
    </row>
    <row r="11" spans="1:7" s="275" customFormat="1" ht="12.75" customHeight="1" x14ac:dyDescent="0.25">
      <c r="A11" s="303"/>
      <c r="B11" s="304" t="s">
        <v>10</v>
      </c>
      <c r="C11" s="305"/>
      <c r="D11" s="308">
        <f>'#9440.01 PM TIME '!E23</f>
        <v>30000</v>
      </c>
      <c r="E11" s="308">
        <f>'#9440.01 PM TIME '!G23</f>
        <v>610.28</v>
      </c>
      <c r="F11" s="308">
        <f>'#9440.01 PM TIME '!I23</f>
        <v>29389.72</v>
      </c>
      <c r="G11" s="307"/>
    </row>
    <row r="12" spans="1:7" s="275" customFormat="1" ht="12.75" customHeight="1" x14ac:dyDescent="0.25">
      <c r="A12" s="303"/>
      <c r="B12" s="304" t="s">
        <v>11</v>
      </c>
      <c r="C12" s="306"/>
      <c r="D12" s="309">
        <f>'#9440.01 Misc '!G22</f>
        <v>0</v>
      </c>
      <c r="E12" s="309">
        <f>'#9440.01 Misc '!G22</f>
        <v>0</v>
      </c>
      <c r="F12" s="308">
        <f>D12-E12</f>
        <v>0</v>
      </c>
      <c r="G12" s="307"/>
    </row>
    <row r="13" spans="1:7" s="275" customFormat="1" ht="12.75" customHeight="1" x14ac:dyDescent="0.25">
      <c r="A13" s="303"/>
      <c r="B13" s="304" t="s">
        <v>116</v>
      </c>
      <c r="C13" s="306"/>
      <c r="D13" s="309">
        <f>'#9440.01 OPN Architects'!D23</f>
        <v>143190</v>
      </c>
      <c r="E13" s="309">
        <f>'#9440.01 OPN Architects'!F23</f>
        <v>0</v>
      </c>
      <c r="F13" s="308">
        <f>'#9440.01 OPN Architects'!H23</f>
        <v>143190</v>
      </c>
      <c r="G13" s="307"/>
    </row>
    <row r="14" spans="1:7" s="275" customFormat="1" ht="12.75" customHeight="1" x14ac:dyDescent="0.25">
      <c r="A14" s="310"/>
      <c r="B14" s="304"/>
      <c r="C14" s="306"/>
      <c r="D14" s="309"/>
      <c r="E14" s="309"/>
      <c r="F14" s="308"/>
      <c r="G14" s="311"/>
    </row>
    <row r="15" spans="1:7" ht="24" customHeight="1" thickBot="1" x14ac:dyDescent="0.3">
      <c r="A15" s="30"/>
      <c r="B15" s="31" t="s">
        <v>12</v>
      </c>
      <c r="C15" s="32">
        <f>SUM(C8:C14)</f>
        <v>1550000</v>
      </c>
      <c r="D15" s="32">
        <f>SUM(D8:D14)</f>
        <v>191589.16</v>
      </c>
      <c r="E15" s="32">
        <f>SUM(E8:E14)</f>
        <v>610.28</v>
      </c>
      <c r="F15" s="32">
        <f>SUM(D15-E15)</f>
        <v>190978.88</v>
      </c>
      <c r="G15" s="32">
        <f>C8-D15</f>
        <v>1358410.84</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F9F3-5942-4E19-BE00-2DD57E4EDE92}">
  <sheetPr>
    <pageSetUpPr fitToPage="1"/>
  </sheetPr>
  <dimension ref="A1:H102"/>
  <sheetViews>
    <sheetView zoomScaleNormal="100" workbookViewId="0">
      <selection activeCell="C21" sqref="C2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6.85546875" customWidth="1"/>
    <col min="6" max="6" width="16"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#9497.00'!B1</f>
        <v>HHS IMHI Warehouse Roof Replacement</v>
      </c>
      <c r="B1" s="3"/>
      <c r="C1" s="3"/>
      <c r="D1" s="3"/>
      <c r="E1" s="4"/>
      <c r="F1" s="4"/>
      <c r="G1" s="4"/>
      <c r="H1" s="33"/>
    </row>
    <row r="2" spans="1:8" ht="15.75" x14ac:dyDescent="0.25">
      <c r="A2" s="6" t="str">
        <f>'RECAP #9497.00'!B2</f>
        <v>Project # 9497.00</v>
      </c>
      <c r="B2" s="5"/>
      <c r="C2" s="5"/>
      <c r="D2" s="5"/>
      <c r="E2" s="4"/>
      <c r="F2" s="4"/>
      <c r="G2" s="4"/>
      <c r="H2" s="33"/>
    </row>
    <row r="3" spans="1:8" ht="15.75" x14ac:dyDescent="0.25">
      <c r="A3" s="7" t="str">
        <f>'RECAP #9497.00'!B3</f>
        <v>Program code 949700</v>
      </c>
      <c r="B3" s="5"/>
      <c r="C3" s="5"/>
      <c r="D3" s="5"/>
      <c r="E3" s="8" t="str">
        <f>'RECAP #9497.00'!E3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290</v>
      </c>
      <c r="F6" s="41"/>
      <c r="G6" s="44"/>
      <c r="H6" s="45"/>
    </row>
    <row r="7" spans="1:8" ht="15.75" x14ac:dyDescent="0.25">
      <c r="A7" s="13" t="str">
        <f>'RECAP #9497.00'!B6</f>
        <v>Project Manager - Oliver S.</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t="s">
        <v>438</v>
      </c>
      <c r="B9" s="287">
        <v>46036</v>
      </c>
      <c r="C9" s="323" t="s">
        <v>370</v>
      </c>
      <c r="D9" s="323" t="s">
        <v>371</v>
      </c>
      <c r="E9" s="320" t="s">
        <v>436</v>
      </c>
      <c r="F9" s="349" t="s">
        <v>437</v>
      </c>
      <c r="G9" s="294">
        <v>1600</v>
      </c>
      <c r="H9" s="322">
        <f>G9</f>
        <v>1600</v>
      </c>
    </row>
    <row r="10" spans="1:8" s="275" customFormat="1" ht="12.75" customHeight="1" x14ac:dyDescent="0.2">
      <c r="A10" s="320" t="s">
        <v>458</v>
      </c>
      <c r="B10" s="287">
        <v>46044</v>
      </c>
      <c r="C10" s="323" t="s">
        <v>370</v>
      </c>
      <c r="D10" s="323" t="s">
        <v>371</v>
      </c>
      <c r="E10" s="335" t="s">
        <v>377</v>
      </c>
      <c r="F10" s="349" t="s">
        <v>459</v>
      </c>
      <c r="G10" s="294">
        <v>317.35000000000002</v>
      </c>
      <c r="H10" s="322">
        <f>H9+G10</f>
        <v>1917.35</v>
      </c>
    </row>
    <row r="11" spans="1:8" s="275" customFormat="1" ht="12.75" customHeight="1" x14ac:dyDescent="0.25">
      <c r="A11" s="320" t="s">
        <v>693</v>
      </c>
      <c r="B11" s="287">
        <v>46101</v>
      </c>
      <c r="C11" s="323" t="s">
        <v>370</v>
      </c>
      <c r="D11" s="323" t="s">
        <v>371</v>
      </c>
      <c r="E11" s="320" t="s">
        <v>436</v>
      </c>
      <c r="F11" s="349" t="s">
        <v>692</v>
      </c>
      <c r="G11" s="294">
        <v>1300</v>
      </c>
      <c r="H11" s="322">
        <f t="shared" ref="H11:H20" si="0">H10+G11</f>
        <v>3217.35</v>
      </c>
    </row>
    <row r="12" spans="1:8" s="275" customFormat="1" ht="12.75" customHeight="1" x14ac:dyDescent="0.25">
      <c r="A12" s="323" t="s">
        <v>2</v>
      </c>
      <c r="B12" s="287" t="s">
        <v>2</v>
      </c>
      <c r="C12" s="287"/>
      <c r="D12" s="287"/>
      <c r="E12" s="318" t="s">
        <v>2</v>
      </c>
      <c r="F12" s="309"/>
      <c r="G12" s="322"/>
      <c r="H12" s="322">
        <f t="shared" si="0"/>
        <v>3217.35</v>
      </c>
    </row>
    <row r="13" spans="1:8" s="275" customFormat="1" ht="12.75" customHeight="1" x14ac:dyDescent="0.25">
      <c r="A13" s="323" t="s">
        <v>2</v>
      </c>
      <c r="B13" s="287" t="s">
        <v>2</v>
      </c>
      <c r="C13" s="287"/>
      <c r="D13" s="287"/>
      <c r="E13" s="318" t="s">
        <v>2</v>
      </c>
      <c r="F13" s="309"/>
      <c r="G13" s="322"/>
      <c r="H13" s="322">
        <f t="shared" si="0"/>
        <v>3217.35</v>
      </c>
    </row>
    <row r="14" spans="1:8" s="275" customFormat="1" ht="12.75" customHeight="1" x14ac:dyDescent="0.25">
      <c r="A14" s="323"/>
      <c r="B14" s="287"/>
      <c r="C14" s="287"/>
      <c r="D14" s="287"/>
      <c r="E14" s="318"/>
      <c r="F14" s="309"/>
      <c r="G14" s="322"/>
      <c r="H14" s="322">
        <f t="shared" si="0"/>
        <v>3217.35</v>
      </c>
    </row>
    <row r="15" spans="1:8" s="275" customFormat="1" ht="12.75" customHeight="1" x14ac:dyDescent="0.25">
      <c r="A15" s="323"/>
      <c r="B15" s="287"/>
      <c r="C15" s="287"/>
      <c r="D15" s="287"/>
      <c r="E15" s="324"/>
      <c r="F15" s="309"/>
      <c r="G15" s="322"/>
      <c r="H15" s="322">
        <f t="shared" si="0"/>
        <v>3217.35</v>
      </c>
    </row>
    <row r="16" spans="1:8" s="275" customFormat="1" ht="12.75" customHeight="1" x14ac:dyDescent="0.25">
      <c r="A16" s="323"/>
      <c r="B16" s="287"/>
      <c r="C16" s="287"/>
      <c r="D16" s="287"/>
      <c r="E16" s="318"/>
      <c r="F16" s="309"/>
      <c r="G16" s="322"/>
      <c r="H16" s="322">
        <f t="shared" si="0"/>
        <v>3217.35</v>
      </c>
    </row>
    <row r="17" spans="1:8" s="275" customFormat="1" ht="12.75" customHeight="1" x14ac:dyDescent="0.25">
      <c r="A17" s="319"/>
      <c r="B17" s="287"/>
      <c r="C17" s="287"/>
      <c r="D17" s="287"/>
      <c r="E17" s="318"/>
      <c r="F17" s="309"/>
      <c r="G17" s="322"/>
      <c r="H17" s="322">
        <f t="shared" si="0"/>
        <v>3217.35</v>
      </c>
    </row>
    <row r="18" spans="1:8" s="275" customFormat="1" ht="12.75" customHeight="1" x14ac:dyDescent="0.25">
      <c r="A18" s="319"/>
      <c r="B18" s="287"/>
      <c r="C18" s="287"/>
      <c r="D18" s="287"/>
      <c r="E18" s="318"/>
      <c r="F18" s="309"/>
      <c r="G18" s="322"/>
      <c r="H18" s="322">
        <f t="shared" si="0"/>
        <v>3217.35</v>
      </c>
    </row>
    <row r="19" spans="1:8" s="275" customFormat="1" ht="12.75" customHeight="1" x14ac:dyDescent="0.25">
      <c r="A19" s="319"/>
      <c r="B19" s="287"/>
      <c r="C19" s="287"/>
      <c r="D19" s="287"/>
      <c r="E19" s="318"/>
      <c r="F19" s="309"/>
      <c r="G19" s="322"/>
      <c r="H19" s="322">
        <f t="shared" si="0"/>
        <v>3217.35</v>
      </c>
    </row>
    <row r="20" spans="1:8" s="275" customFormat="1" ht="12.75" customHeight="1" x14ac:dyDescent="0.25">
      <c r="A20" s="319"/>
      <c r="B20" s="287"/>
      <c r="C20" s="287"/>
      <c r="D20" s="287"/>
      <c r="E20" s="318"/>
      <c r="F20" s="309"/>
      <c r="G20" s="322"/>
      <c r="H20" s="322">
        <f t="shared" si="0"/>
        <v>3217.35</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3217.35</v>
      </c>
      <c r="H22" s="328"/>
    </row>
    <row r="23" spans="1:8" s="275" customFormat="1" ht="12.75" customHeight="1" thickTop="1" x14ac:dyDescent="0.25"/>
    <row r="24" spans="1:8" s="275" customFormat="1" ht="12.75" customHeight="1" x14ac:dyDescent="0.25"/>
    <row r="25" spans="1:8" s="275" customFormat="1" ht="12.75" customHeight="1" x14ac:dyDescent="0.25"/>
    <row r="26" spans="1:8" s="275" customFormat="1" ht="12.75" customHeight="1" x14ac:dyDescent="0.25"/>
    <row r="27" spans="1:8" s="275" customFormat="1" ht="12.75" customHeight="1" x14ac:dyDescent="0.25"/>
    <row r="28" spans="1:8" s="275" customFormat="1" ht="12.75" customHeight="1" x14ac:dyDescent="0.25"/>
    <row r="29" spans="1:8" s="275" customFormat="1" ht="12.75" customHeight="1" x14ac:dyDescent="0.25"/>
    <row r="30" spans="1:8" s="275" customFormat="1" ht="12.75" customHeight="1" x14ac:dyDescent="0.25"/>
    <row r="31" spans="1:8" s="275" customFormat="1" ht="12.75" customHeight="1" x14ac:dyDescent="0.25"/>
    <row r="32" spans="1:8" s="275" customFormat="1" ht="12.75" customHeight="1" x14ac:dyDescent="0.25"/>
    <row r="33" s="275" customFormat="1" ht="12.75" customHeight="1" x14ac:dyDescent="0.25"/>
    <row r="34" s="275" customFormat="1" ht="12.75" customHeight="1" x14ac:dyDescent="0.25"/>
    <row r="35" s="275" customFormat="1" ht="12.75" customHeight="1" x14ac:dyDescent="0.25"/>
    <row r="36" s="275" customFormat="1" ht="12.75" customHeight="1" x14ac:dyDescent="0.25"/>
    <row r="37" s="275" customFormat="1" ht="12.75" customHeight="1" x14ac:dyDescent="0.25"/>
    <row r="38" s="275" customFormat="1" ht="12.75" customHeight="1" x14ac:dyDescent="0.25"/>
    <row r="39" s="275" customFormat="1" ht="12.75" customHeight="1" x14ac:dyDescent="0.25"/>
    <row r="40" s="275" customFormat="1" ht="12.75" customHeight="1" x14ac:dyDescent="0.25"/>
    <row r="41" s="275" customFormat="1" ht="12.75" customHeight="1" x14ac:dyDescent="0.25"/>
    <row r="42" s="275" customFormat="1" ht="12.75" customHeight="1" x14ac:dyDescent="0.25"/>
    <row r="43" s="275" customFormat="1" ht="12.75" customHeight="1" x14ac:dyDescent="0.25"/>
    <row r="44" s="275" customFormat="1" ht="12.75" customHeight="1" x14ac:dyDescent="0.25"/>
    <row r="45" s="275" customFormat="1" ht="12.75" customHeight="1" x14ac:dyDescent="0.25"/>
    <row r="46" s="275" customFormat="1" ht="12.75" customHeight="1" x14ac:dyDescent="0.25"/>
    <row r="47" s="275" customFormat="1" ht="12.75" customHeight="1" x14ac:dyDescent="0.25"/>
    <row r="48" s="275" customFormat="1" ht="12.75" customHeight="1" x14ac:dyDescent="0.25"/>
    <row r="49" s="275" customFormat="1" ht="12.75" customHeight="1" x14ac:dyDescent="0.25"/>
    <row r="50" s="275" customFormat="1" ht="12.75" customHeight="1" x14ac:dyDescent="0.25"/>
    <row r="51" s="275" customFormat="1" ht="12.75" customHeight="1" x14ac:dyDescent="0.25"/>
    <row r="52" s="275" customFormat="1" ht="12.75" customHeight="1" x14ac:dyDescent="0.25"/>
    <row r="53" s="275" customFormat="1" ht="12.75" customHeight="1" x14ac:dyDescent="0.25"/>
    <row r="54" s="275" customFormat="1" ht="12.75" customHeight="1" x14ac:dyDescent="0.25"/>
    <row r="55" s="275" customFormat="1" ht="12.75" customHeight="1" x14ac:dyDescent="0.25"/>
    <row r="56" s="275" customFormat="1" ht="12.75" customHeight="1" x14ac:dyDescent="0.25"/>
    <row r="57" s="275" customFormat="1" ht="12.75" customHeight="1" x14ac:dyDescent="0.25"/>
    <row r="58" s="275" customFormat="1" ht="12.75" customHeight="1" x14ac:dyDescent="0.25"/>
    <row r="59" s="275" customFormat="1" ht="12.75" customHeight="1" x14ac:dyDescent="0.25"/>
    <row r="60" s="275" customFormat="1" ht="12.75" customHeight="1" x14ac:dyDescent="0.25"/>
    <row r="61" s="275" customFormat="1" ht="12.75" customHeight="1" x14ac:dyDescent="0.25"/>
    <row r="62" s="275" customFormat="1" ht="12.75" customHeight="1" x14ac:dyDescent="0.25"/>
    <row r="63" s="275" customFormat="1" ht="12.75" customHeight="1" x14ac:dyDescent="0.25"/>
    <row r="64" s="275" customFormat="1" ht="12.75" customHeight="1" x14ac:dyDescent="0.25"/>
    <row r="65" s="275" customFormat="1" ht="12.75" customHeight="1" x14ac:dyDescent="0.25"/>
    <row r="66" s="275" customFormat="1" ht="12.75" customHeight="1" x14ac:dyDescent="0.25"/>
    <row r="67" s="275" customFormat="1" ht="12.75" customHeight="1" x14ac:dyDescent="0.25"/>
    <row r="68" s="275" customFormat="1" ht="12.75" customHeight="1" x14ac:dyDescent="0.25"/>
    <row r="69" s="275" customFormat="1" ht="12.75" customHeight="1" x14ac:dyDescent="0.25"/>
    <row r="70" s="275" customFormat="1" ht="12.75" customHeight="1" x14ac:dyDescent="0.25"/>
    <row r="71" s="275" customFormat="1" ht="12.75" customHeight="1" x14ac:dyDescent="0.25"/>
    <row r="72" s="275" customFormat="1" ht="12.75" customHeight="1" x14ac:dyDescent="0.25"/>
    <row r="73" s="275" customFormat="1" ht="12.75" customHeight="1" x14ac:dyDescent="0.25"/>
    <row r="74" s="275" customFormat="1" ht="12.75" customHeight="1" x14ac:dyDescent="0.25"/>
    <row r="75" s="275" customFormat="1" ht="12.75" customHeight="1" x14ac:dyDescent="0.25"/>
    <row r="76" s="275" customFormat="1" ht="12.75" customHeight="1" x14ac:dyDescent="0.25"/>
    <row r="77" s="275" customFormat="1" ht="12.75" customHeight="1" x14ac:dyDescent="0.25"/>
    <row r="78" s="275" customFormat="1" ht="12.75" customHeight="1" x14ac:dyDescent="0.25"/>
    <row r="79" s="275" customFormat="1" ht="12.75" customHeight="1" x14ac:dyDescent="0.25"/>
    <row r="80" s="275" customFormat="1" ht="12.75" customHeight="1" x14ac:dyDescent="0.25"/>
    <row r="81" s="275" customFormat="1" ht="12.75" customHeight="1" x14ac:dyDescent="0.25"/>
    <row r="82" s="275" customFormat="1" ht="12.75" customHeight="1" x14ac:dyDescent="0.25"/>
    <row r="83" s="275" customFormat="1" ht="12.75" customHeight="1" x14ac:dyDescent="0.25"/>
    <row r="84" s="275" customFormat="1" ht="12.75" customHeight="1" x14ac:dyDescent="0.25"/>
    <row r="85" s="275" customFormat="1" ht="12.75" customHeight="1" x14ac:dyDescent="0.25"/>
    <row r="86" s="275" customFormat="1" ht="12.75" customHeight="1" x14ac:dyDescent="0.25"/>
    <row r="87" s="275" customFormat="1" ht="12.75" customHeight="1" x14ac:dyDescent="0.25"/>
    <row r="88" s="275" customFormat="1" ht="12.75" customHeight="1" x14ac:dyDescent="0.25"/>
    <row r="89" s="275" customFormat="1" ht="12.75" customHeight="1" x14ac:dyDescent="0.25"/>
    <row r="90" s="275" customFormat="1" ht="12.75" customHeight="1" x14ac:dyDescent="0.25"/>
    <row r="91" s="275" customFormat="1" ht="12.75" customHeight="1" x14ac:dyDescent="0.25"/>
    <row r="92" s="275" customFormat="1" ht="12.75" customHeight="1" x14ac:dyDescent="0.25"/>
    <row r="93" s="275" customFormat="1" ht="12.75" customHeight="1" x14ac:dyDescent="0.25"/>
    <row r="94" s="275" customFormat="1" ht="12.75" customHeight="1" x14ac:dyDescent="0.25"/>
    <row r="95" s="275" customFormat="1" ht="12.75" customHeight="1" x14ac:dyDescent="0.25"/>
    <row r="96" s="275" customFormat="1" ht="12.75" customHeight="1" x14ac:dyDescent="0.25"/>
    <row r="97" s="275" customFormat="1" ht="12.75" customHeight="1" x14ac:dyDescent="0.25"/>
    <row r="98" s="275" customFormat="1" ht="12.75" customHeight="1" x14ac:dyDescent="0.25"/>
    <row r="99" s="275" customFormat="1" ht="12.75" customHeight="1" x14ac:dyDescent="0.25"/>
    <row r="100" s="275" customFormat="1" ht="12.75" customHeight="1" x14ac:dyDescent="0.25"/>
    <row r="101" s="275" customFormat="1" ht="12.75" customHeight="1" x14ac:dyDescent="0.25"/>
    <row r="102" s="275" customFormat="1" ht="12.75" customHeight="1" x14ac:dyDescent="0.25"/>
  </sheetData>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B3CF7-FF32-4421-A2E6-624136A8A4C9}">
  <sheetPr>
    <pageSetUpPr fitToPage="1"/>
  </sheetPr>
  <dimension ref="A1:I30"/>
  <sheetViews>
    <sheetView zoomScaleNormal="100" workbookViewId="0">
      <selection activeCell="K21" sqref="K2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#9497.00'!B1</f>
        <v>HHS IMHI Warehouse Roof Replacement</v>
      </c>
      <c r="B1" s="3"/>
      <c r="C1" s="4"/>
      <c r="D1" s="4"/>
      <c r="E1" s="4"/>
      <c r="F1" s="33"/>
      <c r="G1" s="33"/>
      <c r="H1" s="34"/>
      <c r="I1" s="34"/>
    </row>
    <row r="2" spans="1:9" ht="15.75" x14ac:dyDescent="0.25">
      <c r="A2" s="6" t="str">
        <f>'RECAP #9497.00'!B2</f>
        <v>Project # 9497.00</v>
      </c>
      <c r="B2" s="5"/>
      <c r="C2" s="4"/>
      <c r="D2" s="4"/>
      <c r="E2" s="4"/>
      <c r="F2" s="33"/>
      <c r="G2" s="33"/>
      <c r="H2" s="34"/>
      <c r="I2" s="34"/>
    </row>
    <row r="3" spans="1:9" ht="15.75" x14ac:dyDescent="0.25">
      <c r="A3" s="7" t="str">
        <f>'RECAP #9497.00'!B3</f>
        <v>Program code 949700</v>
      </c>
      <c r="B3" s="5"/>
      <c r="C3" s="4"/>
      <c r="D3" s="8" t="str">
        <f>'RECAP #9497.00'!E3</f>
        <v>Major Program 4E02</v>
      </c>
      <c r="E3" s="4"/>
      <c r="F3" s="33"/>
      <c r="G3" s="33"/>
      <c r="H3" s="34"/>
      <c r="I3" s="34"/>
    </row>
    <row r="4" spans="1:9" ht="15.75" x14ac:dyDescent="0.25">
      <c r="A4" s="35" t="s">
        <v>442</v>
      </c>
      <c r="B4" s="36"/>
      <c r="C4" s="37"/>
      <c r="D4" s="38" t="s">
        <v>443</v>
      </c>
      <c r="E4" s="39"/>
      <c r="F4" s="33"/>
      <c r="G4" s="33"/>
      <c r="H4" s="34"/>
      <c r="I4" s="34"/>
    </row>
    <row r="5" spans="1:9" ht="15.75" x14ac:dyDescent="0.25">
      <c r="A5" s="40" t="s">
        <v>117</v>
      </c>
      <c r="B5" s="41"/>
      <c r="C5" s="42"/>
      <c r="D5" s="43" t="s">
        <v>444</v>
      </c>
      <c r="E5" s="44"/>
      <c r="F5" s="45"/>
      <c r="G5" s="46"/>
      <c r="H5" s="41"/>
      <c r="I5" s="34"/>
    </row>
    <row r="6" spans="1:9" ht="15.75" x14ac:dyDescent="0.25">
      <c r="A6" s="13" t="str">
        <f>'RECAP #9497.00'!B6</f>
        <v>Project Manager - Oliver S.</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446</v>
      </c>
      <c r="B9" s="287">
        <v>46042</v>
      </c>
      <c r="C9" s="288" t="s">
        <v>111</v>
      </c>
      <c r="D9" s="289">
        <v>20365</v>
      </c>
      <c r="E9" s="290">
        <f>D9</f>
        <v>20365</v>
      </c>
      <c r="F9" s="291"/>
      <c r="G9" s="291"/>
      <c r="H9" s="291">
        <f>E9</f>
        <v>20365</v>
      </c>
      <c r="I9" s="292"/>
    </row>
    <row r="10" spans="1:9" s="275" customFormat="1" ht="12.75" customHeight="1" x14ac:dyDescent="0.25">
      <c r="A10" s="286" t="s">
        <v>619</v>
      </c>
      <c r="B10" s="293">
        <v>46085</v>
      </c>
      <c r="C10" s="288" t="s">
        <v>644</v>
      </c>
      <c r="D10" s="290"/>
      <c r="E10" s="290">
        <f t="shared" ref="E10:E21" si="0">E9+D10</f>
        <v>20365</v>
      </c>
      <c r="F10" s="294">
        <v>4100</v>
      </c>
      <c r="G10" s="291">
        <f t="shared" ref="G10:G21" si="1">G9+F10</f>
        <v>4100</v>
      </c>
      <c r="H10" s="291">
        <f t="shared" ref="H10:H21" si="2">H9-F10+D10</f>
        <v>16265</v>
      </c>
      <c r="I10" s="292"/>
    </row>
    <row r="11" spans="1:9" s="275" customFormat="1" ht="12.75" customHeight="1" x14ac:dyDescent="0.25">
      <c r="A11" s="286" t="s">
        <v>688</v>
      </c>
      <c r="B11" s="287">
        <v>46100</v>
      </c>
      <c r="C11" s="288" t="s">
        <v>689</v>
      </c>
      <c r="D11" s="290"/>
      <c r="E11" s="290">
        <f t="shared" si="0"/>
        <v>20365</v>
      </c>
      <c r="F11" s="294">
        <v>3200</v>
      </c>
      <c r="G11" s="291">
        <f t="shared" si="1"/>
        <v>7300</v>
      </c>
      <c r="H11" s="291">
        <f t="shared" si="2"/>
        <v>13065</v>
      </c>
      <c r="I11" s="292"/>
    </row>
    <row r="12" spans="1:9" s="275" customFormat="1" ht="12.75" customHeight="1" x14ac:dyDescent="0.25">
      <c r="A12" s="286"/>
      <c r="B12" s="287"/>
      <c r="C12" s="288"/>
      <c r="D12" s="290"/>
      <c r="E12" s="290">
        <f t="shared" si="0"/>
        <v>20365</v>
      </c>
      <c r="F12" s="295"/>
      <c r="G12" s="291">
        <f t="shared" si="1"/>
        <v>7300</v>
      </c>
      <c r="H12" s="291">
        <f t="shared" si="2"/>
        <v>13065</v>
      </c>
      <c r="I12" s="292"/>
    </row>
    <row r="13" spans="1:9" s="275" customFormat="1" ht="12.75" customHeight="1" x14ac:dyDescent="0.25">
      <c r="A13" s="286"/>
      <c r="B13" s="287"/>
      <c r="C13" s="288"/>
      <c r="D13" s="290"/>
      <c r="E13" s="290">
        <f t="shared" si="0"/>
        <v>20365</v>
      </c>
      <c r="F13" s="295"/>
      <c r="G13" s="291">
        <f t="shared" si="1"/>
        <v>7300</v>
      </c>
      <c r="H13" s="291">
        <f t="shared" si="2"/>
        <v>13065</v>
      </c>
      <c r="I13" s="292"/>
    </row>
    <row r="14" spans="1:9" s="275" customFormat="1" ht="12.75" customHeight="1" x14ac:dyDescent="0.25">
      <c r="A14" s="286"/>
      <c r="B14" s="287"/>
      <c r="C14" s="288"/>
      <c r="D14" s="290"/>
      <c r="E14" s="290">
        <f t="shared" si="0"/>
        <v>20365</v>
      </c>
      <c r="F14" s="291"/>
      <c r="G14" s="291">
        <f t="shared" si="1"/>
        <v>7300</v>
      </c>
      <c r="H14" s="291">
        <f t="shared" si="2"/>
        <v>13065</v>
      </c>
      <c r="I14" s="292"/>
    </row>
    <row r="15" spans="1:9" s="275" customFormat="1" ht="12.75" customHeight="1" x14ac:dyDescent="0.25">
      <c r="A15" s="286"/>
      <c r="B15" s="287"/>
      <c r="C15" s="288"/>
      <c r="D15" s="290"/>
      <c r="E15" s="290">
        <f t="shared" si="0"/>
        <v>20365</v>
      </c>
      <c r="F15" s="295"/>
      <c r="G15" s="291">
        <f t="shared" si="1"/>
        <v>7300</v>
      </c>
      <c r="H15" s="291">
        <f t="shared" si="2"/>
        <v>13065</v>
      </c>
      <c r="I15" s="292"/>
    </row>
    <row r="16" spans="1:9" s="275" customFormat="1" ht="12.75" customHeight="1" x14ac:dyDescent="0.25">
      <c r="A16" s="286"/>
      <c r="B16" s="287"/>
      <c r="C16" s="288"/>
      <c r="D16" s="290"/>
      <c r="E16" s="290">
        <f t="shared" si="0"/>
        <v>20365</v>
      </c>
      <c r="F16" s="295"/>
      <c r="G16" s="291">
        <f t="shared" si="1"/>
        <v>7300</v>
      </c>
      <c r="H16" s="291">
        <f t="shared" si="2"/>
        <v>13065</v>
      </c>
      <c r="I16" s="292"/>
    </row>
    <row r="17" spans="1:9" s="275" customFormat="1" ht="12.75" customHeight="1" x14ac:dyDescent="0.25">
      <c r="A17" s="286"/>
      <c r="B17" s="287"/>
      <c r="C17" s="288"/>
      <c r="D17" s="290"/>
      <c r="E17" s="290">
        <f t="shared" si="0"/>
        <v>20365</v>
      </c>
      <c r="F17" s="295"/>
      <c r="G17" s="291">
        <f t="shared" si="1"/>
        <v>7300</v>
      </c>
      <c r="H17" s="291">
        <f t="shared" si="2"/>
        <v>13065</v>
      </c>
      <c r="I17" s="292"/>
    </row>
    <row r="18" spans="1:9" s="275" customFormat="1" ht="12.75" customHeight="1" x14ac:dyDescent="0.25">
      <c r="A18" s="286"/>
      <c r="B18" s="287"/>
      <c r="C18" s="288"/>
      <c r="D18" s="290"/>
      <c r="E18" s="290">
        <f t="shared" si="0"/>
        <v>20365</v>
      </c>
      <c r="F18" s="295"/>
      <c r="G18" s="291">
        <f t="shared" si="1"/>
        <v>7300</v>
      </c>
      <c r="H18" s="291">
        <f t="shared" si="2"/>
        <v>13065</v>
      </c>
      <c r="I18" s="292"/>
    </row>
    <row r="19" spans="1:9" s="275" customFormat="1" ht="12.75" customHeight="1" x14ac:dyDescent="0.25">
      <c r="A19" s="286"/>
      <c r="B19" s="287"/>
      <c r="C19" s="288"/>
      <c r="D19" s="290"/>
      <c r="E19" s="290">
        <f t="shared" si="0"/>
        <v>20365</v>
      </c>
      <c r="F19" s="291"/>
      <c r="G19" s="291">
        <f t="shared" si="1"/>
        <v>7300</v>
      </c>
      <c r="H19" s="291">
        <f t="shared" si="2"/>
        <v>13065</v>
      </c>
      <c r="I19" s="292"/>
    </row>
    <row r="20" spans="1:9" s="275" customFormat="1" ht="12.75" customHeight="1" x14ac:dyDescent="0.25">
      <c r="A20" s="286"/>
      <c r="B20" s="287"/>
      <c r="C20" s="288"/>
      <c r="D20" s="290"/>
      <c r="E20" s="290">
        <f t="shared" si="0"/>
        <v>20365</v>
      </c>
      <c r="F20" s="291"/>
      <c r="G20" s="291">
        <f t="shared" si="1"/>
        <v>7300</v>
      </c>
      <c r="H20" s="291">
        <f t="shared" si="2"/>
        <v>13065</v>
      </c>
      <c r="I20" s="292"/>
    </row>
    <row r="21" spans="1:9" s="275" customFormat="1" ht="12.75" customHeight="1" x14ac:dyDescent="0.25">
      <c r="A21" s="286"/>
      <c r="B21" s="287"/>
      <c r="C21" s="296"/>
      <c r="D21" s="290"/>
      <c r="E21" s="290">
        <f t="shared" si="0"/>
        <v>20365</v>
      </c>
      <c r="F21" s="291"/>
      <c r="G21" s="291">
        <f t="shared" si="1"/>
        <v>7300</v>
      </c>
      <c r="H21" s="291">
        <f t="shared" si="2"/>
        <v>13065</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20365</v>
      </c>
      <c r="E23" s="302"/>
      <c r="F23" s="302">
        <f>SUM(F9:F22)</f>
        <v>7300</v>
      </c>
      <c r="G23" s="302"/>
      <c r="H23" s="302">
        <f>D23-F23</f>
        <v>13065</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9165</v>
      </c>
      <c r="E26" s="313"/>
      <c r="F26" s="313">
        <f>4100+3200</f>
        <v>7300</v>
      </c>
      <c r="G26" s="313"/>
      <c r="H26" s="313">
        <f>D26-F26</f>
        <v>1865</v>
      </c>
      <c r="I26" s="292"/>
    </row>
    <row r="27" spans="1:9" s="275" customFormat="1" ht="12.75" customHeight="1" x14ac:dyDescent="0.25">
      <c r="A27" s="286"/>
      <c r="B27" s="288"/>
      <c r="C27" s="312" t="s">
        <v>445</v>
      </c>
      <c r="D27" s="313">
        <v>2100</v>
      </c>
      <c r="E27" s="313"/>
      <c r="F27" s="313"/>
      <c r="G27" s="313"/>
      <c r="H27" s="313">
        <f t="shared" ref="H27:H28" si="3">D27-F27</f>
        <v>2100</v>
      </c>
      <c r="I27" s="292"/>
    </row>
    <row r="28" spans="1:9" s="275" customFormat="1" ht="12.75" customHeight="1" x14ac:dyDescent="0.25">
      <c r="A28" s="286"/>
      <c r="B28" s="288"/>
      <c r="C28" s="312" t="s">
        <v>125</v>
      </c>
      <c r="D28" s="313">
        <v>9100</v>
      </c>
      <c r="E28" s="313"/>
      <c r="F28" s="313"/>
      <c r="G28" s="313"/>
      <c r="H28" s="313">
        <f t="shared" si="3"/>
        <v>9100</v>
      </c>
      <c r="I28" s="292"/>
    </row>
    <row r="29" spans="1:9" s="275" customFormat="1" ht="12.75" customHeight="1" thickBot="1" x14ac:dyDescent="0.3">
      <c r="A29" s="286"/>
      <c r="B29" s="288"/>
      <c r="C29" s="314" t="s">
        <v>67</v>
      </c>
      <c r="D29" s="315">
        <f>SUM(D26:D28)</f>
        <v>20365</v>
      </c>
      <c r="E29" s="316"/>
      <c r="F29" s="315">
        <f>SUM(F26:F28)</f>
        <v>7300</v>
      </c>
      <c r="G29" s="316"/>
      <c r="H29" s="315">
        <f>SUM(H26:H28)</f>
        <v>13065</v>
      </c>
      <c r="I29" s="292"/>
    </row>
    <row r="30" spans="1:9" s="275" customFormat="1" ht="12.75" customHeight="1" thickTop="1" x14ac:dyDescent="0.25"/>
  </sheetData>
  <conditionalFormatting sqref="I8:I23">
    <cfRule type="cellIs" dxfId="39"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610F-28D4-4928-976E-5B916232DFA6}">
  <sheetPr>
    <pageSetUpPr fitToPage="1"/>
  </sheetPr>
  <dimension ref="A1:G16"/>
  <sheetViews>
    <sheetView zoomScaleNormal="100" workbookViewId="0">
      <selection activeCell="L22" sqref="L2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155</v>
      </c>
      <c r="C1" s="3"/>
      <c r="D1" s="4"/>
      <c r="E1" s="4"/>
      <c r="F1" s="4"/>
      <c r="G1" s="4"/>
    </row>
    <row r="2" spans="1:7" ht="15.75" x14ac:dyDescent="0.25">
      <c r="A2" s="1"/>
      <c r="B2" s="6" t="s">
        <v>193</v>
      </c>
      <c r="C2" s="5"/>
      <c r="D2" s="4"/>
      <c r="E2" s="4"/>
      <c r="F2" s="4"/>
      <c r="G2" s="4"/>
    </row>
    <row r="3" spans="1:7" ht="15.75" x14ac:dyDescent="0.25">
      <c r="A3" s="1"/>
      <c r="B3" s="7" t="s">
        <v>194</v>
      </c>
      <c r="C3" s="5"/>
      <c r="D3" s="4"/>
      <c r="E3" s="8" t="s">
        <v>195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196</v>
      </c>
      <c r="C6" s="14"/>
      <c r="D6" s="15" t="s">
        <v>2</v>
      </c>
      <c r="E6" s="16"/>
      <c r="F6" s="16"/>
      <c r="G6" s="16"/>
    </row>
    <row r="7" spans="1:7" ht="34.5" customHeight="1" thickBot="1" x14ac:dyDescent="0.3">
      <c r="A7" s="1"/>
      <c r="B7" s="18" t="s">
        <v>2</v>
      </c>
      <c r="C7" s="19" t="s">
        <v>3</v>
      </c>
      <c r="D7" s="20" t="s">
        <v>4</v>
      </c>
      <c r="E7" s="21" t="s">
        <v>5</v>
      </c>
      <c r="F7" s="22" t="s">
        <v>6</v>
      </c>
      <c r="G7" s="22" t="s">
        <v>7</v>
      </c>
    </row>
    <row r="8" spans="1:7" ht="28.35" customHeight="1" x14ac:dyDescent="0.25">
      <c r="A8" s="1"/>
      <c r="B8" s="1" t="s">
        <v>8</v>
      </c>
      <c r="C8" s="23">
        <f>FINANCIAL!G25</f>
        <v>140000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03"/>
      <c r="B10" s="304" t="s">
        <v>105</v>
      </c>
      <c r="C10" s="305"/>
      <c r="D10" s="308">
        <f>'#9498.00 DCI Group'!D23</f>
        <v>20713.54</v>
      </c>
      <c r="E10" s="308">
        <f>'#9498.00 DCI Group'!F23</f>
        <v>8336.09</v>
      </c>
      <c r="F10" s="308">
        <f>'#9498.00 DCI Group'!H23</f>
        <v>12377.45</v>
      </c>
      <c r="G10" s="307"/>
    </row>
    <row r="11" spans="1:7" s="275" customFormat="1" ht="12.75" customHeight="1" x14ac:dyDescent="0.25">
      <c r="A11" s="303"/>
      <c r="B11" s="304" t="s">
        <v>10</v>
      </c>
      <c r="C11" s="305"/>
      <c r="D11" s="308">
        <f>'#9498.00 PM TIME'!E26</f>
        <v>9000</v>
      </c>
      <c r="E11" s="308">
        <f>'#9498.00 PM TIME'!G26</f>
        <v>4738.1400000000003</v>
      </c>
      <c r="F11" s="308">
        <f>'#9498.00 PM TIME'!I26</f>
        <v>4261.8599999999997</v>
      </c>
      <c r="G11" s="307"/>
    </row>
    <row r="12" spans="1:7" s="275" customFormat="1" ht="12.75" customHeight="1" x14ac:dyDescent="0.25">
      <c r="A12" s="303"/>
      <c r="B12" s="304" t="s">
        <v>11</v>
      </c>
      <c r="C12" s="306"/>
      <c r="D12" s="309">
        <f>'#9498.00 Misc'!G22</f>
        <v>0</v>
      </c>
      <c r="E12" s="309">
        <f>'#9498.00 Misc'!H22</f>
        <v>0</v>
      </c>
      <c r="F12" s="308">
        <f>D12-E12</f>
        <v>0</v>
      </c>
      <c r="G12" s="307"/>
    </row>
    <row r="13" spans="1:7" s="275" customFormat="1" ht="12.75" customHeight="1" x14ac:dyDescent="0.25">
      <c r="A13" s="303"/>
      <c r="B13" s="304" t="s">
        <v>116</v>
      </c>
      <c r="C13" s="306"/>
      <c r="D13" s="309">
        <f>'#9498.00 OPN Architects'!D23</f>
        <v>27466</v>
      </c>
      <c r="E13" s="309">
        <f>'#9498.00 OPN Architects'!F23</f>
        <v>1084.71</v>
      </c>
      <c r="F13" s="308">
        <f>'#9498.00 OPN Architects'!H23</f>
        <v>26381.29</v>
      </c>
      <c r="G13" s="307"/>
    </row>
    <row r="14" spans="1:7" s="275" customFormat="1" ht="12.75" customHeight="1" x14ac:dyDescent="0.25">
      <c r="A14" s="310"/>
      <c r="B14" s="304"/>
      <c r="C14" s="306"/>
      <c r="D14" s="309"/>
      <c r="E14" s="309"/>
      <c r="F14" s="308"/>
      <c r="G14" s="311"/>
    </row>
    <row r="15" spans="1:7" ht="24" customHeight="1" thickBot="1" x14ac:dyDescent="0.3">
      <c r="A15" s="30"/>
      <c r="B15" s="31" t="s">
        <v>12</v>
      </c>
      <c r="C15" s="32">
        <f>SUM(C8:C14)</f>
        <v>140000</v>
      </c>
      <c r="D15" s="32">
        <f>SUM(D8:D14)</f>
        <v>57179.54</v>
      </c>
      <c r="E15" s="32">
        <f>SUM(E8:E14)</f>
        <v>14158.939999999999</v>
      </c>
      <c r="F15" s="32">
        <f>SUM(D15-E15)</f>
        <v>43020.600000000006</v>
      </c>
      <c r="G15" s="32">
        <f>C8-D15</f>
        <v>82820.459999999992</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8BBE-D466-4E32-8A15-03EFEE9749CE}">
  <sheetPr>
    <pageSetUpPr fitToPage="1"/>
  </sheetPr>
  <dimension ref="A1:I28"/>
  <sheetViews>
    <sheetView zoomScaleNormal="100" workbookViewId="0">
      <selection activeCell="C29" sqref="C29"/>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#9498.00'!B1</f>
        <v>DAS TH Parking Lot Retaining Wall Repairs</v>
      </c>
      <c r="B1" s="3"/>
      <c r="C1" s="4"/>
      <c r="D1" s="4"/>
      <c r="E1" s="4"/>
      <c r="F1" s="33"/>
      <c r="G1" s="33"/>
      <c r="H1" s="34"/>
      <c r="I1" s="34"/>
    </row>
    <row r="2" spans="1:9" ht="15.75" x14ac:dyDescent="0.25">
      <c r="A2" s="6" t="str">
        <f>'RECAP #9498.00'!B2</f>
        <v>Project # 9498.00</v>
      </c>
      <c r="B2" s="5"/>
      <c r="C2" s="4"/>
      <c r="D2" s="4"/>
      <c r="E2" s="4"/>
      <c r="F2" s="33"/>
      <c r="G2" s="33"/>
      <c r="H2" s="34"/>
      <c r="I2" s="34"/>
    </row>
    <row r="3" spans="1:9" ht="15.75" x14ac:dyDescent="0.25">
      <c r="A3" s="7" t="str">
        <f>'RECAP #9498.00'!B3</f>
        <v>Program code 949800</v>
      </c>
      <c r="B3" s="5"/>
      <c r="C3" s="4"/>
      <c r="D3" s="8" t="str">
        <f>'RECAP #9498.00'!E3</f>
        <v>Major Program 4D04</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310</v>
      </c>
      <c r="E5" s="44"/>
      <c r="F5" s="45"/>
      <c r="G5" s="46"/>
      <c r="H5" s="41"/>
      <c r="I5" s="34"/>
    </row>
    <row r="6" spans="1:9" ht="15.75" x14ac:dyDescent="0.25">
      <c r="A6" s="13" t="str">
        <f>'RECAP #9498.00'!B6</f>
        <v>Project Manager - James T.</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311</v>
      </c>
      <c r="B9" s="287">
        <v>45958</v>
      </c>
      <c r="C9" s="288" t="s">
        <v>111</v>
      </c>
      <c r="D9" s="289">
        <v>10713.54</v>
      </c>
      <c r="E9" s="290">
        <f>D9</f>
        <v>10713.54</v>
      </c>
      <c r="F9" s="291"/>
      <c r="G9" s="291"/>
      <c r="H9" s="291">
        <f>E9</f>
        <v>10713.54</v>
      </c>
      <c r="I9" s="292"/>
    </row>
    <row r="10" spans="1:9" s="275" customFormat="1" ht="12.75" customHeight="1" x14ac:dyDescent="0.25">
      <c r="A10" s="286" t="s">
        <v>334</v>
      </c>
      <c r="B10" s="293">
        <v>45982</v>
      </c>
      <c r="C10" s="288" t="s">
        <v>335</v>
      </c>
      <c r="D10" s="290"/>
      <c r="E10" s="290">
        <f t="shared" ref="E10:E21" si="0">E9+D10</f>
        <v>10713.54</v>
      </c>
      <c r="F10" s="294">
        <v>523.41</v>
      </c>
      <c r="G10" s="291">
        <f t="shared" ref="G10:G21" si="1">G9+F10</f>
        <v>523.41</v>
      </c>
      <c r="H10" s="291">
        <f t="shared" ref="H10:H21" si="2">H9-F10+D10</f>
        <v>10190.130000000001</v>
      </c>
      <c r="I10" s="292"/>
    </row>
    <row r="11" spans="1:9" s="275" customFormat="1" ht="12.75" customHeight="1" x14ac:dyDescent="0.25">
      <c r="A11" s="286" t="s">
        <v>397</v>
      </c>
      <c r="B11" s="287">
        <v>46020</v>
      </c>
      <c r="C11" s="288" t="s">
        <v>398</v>
      </c>
      <c r="D11" s="290"/>
      <c r="E11" s="290">
        <f t="shared" si="0"/>
        <v>10713.54</v>
      </c>
      <c r="F11" s="294">
        <v>1483</v>
      </c>
      <c r="G11" s="291">
        <f t="shared" si="1"/>
        <v>2006.4099999999999</v>
      </c>
      <c r="H11" s="291">
        <f t="shared" si="2"/>
        <v>8707.130000000001</v>
      </c>
      <c r="I11" s="292"/>
    </row>
    <row r="12" spans="1:9" s="275" customFormat="1" ht="12.75" customHeight="1" x14ac:dyDescent="0.25">
      <c r="A12" s="286" t="s">
        <v>474</v>
      </c>
      <c r="B12" s="287">
        <v>46045</v>
      </c>
      <c r="C12" s="288" t="s">
        <v>475</v>
      </c>
      <c r="D12" s="290"/>
      <c r="E12" s="290">
        <f t="shared" si="0"/>
        <v>10713.54</v>
      </c>
      <c r="F12" s="294">
        <v>436.18</v>
      </c>
      <c r="G12" s="291">
        <f t="shared" si="1"/>
        <v>2442.5899999999997</v>
      </c>
      <c r="H12" s="291">
        <f t="shared" si="2"/>
        <v>8270.9500000000007</v>
      </c>
      <c r="I12" s="292"/>
    </row>
    <row r="13" spans="1:9" s="275" customFormat="1" ht="12.75" customHeight="1" x14ac:dyDescent="0.25">
      <c r="A13" s="286" t="s">
        <v>311</v>
      </c>
      <c r="B13" s="287">
        <v>46050</v>
      </c>
      <c r="C13" s="288" t="s">
        <v>478</v>
      </c>
      <c r="D13" s="289">
        <v>10000</v>
      </c>
      <c r="E13" s="290">
        <f t="shared" si="0"/>
        <v>20713.54</v>
      </c>
      <c r="F13" s="295"/>
      <c r="G13" s="291">
        <f t="shared" si="1"/>
        <v>2442.5899999999997</v>
      </c>
      <c r="H13" s="291">
        <f t="shared" si="2"/>
        <v>18270.95</v>
      </c>
      <c r="I13" s="292"/>
    </row>
    <row r="14" spans="1:9" s="275" customFormat="1" ht="12.75" customHeight="1" x14ac:dyDescent="0.25">
      <c r="A14" s="286" t="s">
        <v>570</v>
      </c>
      <c r="B14" s="287">
        <v>46069</v>
      </c>
      <c r="C14" s="288" t="s">
        <v>571</v>
      </c>
      <c r="D14" s="290"/>
      <c r="E14" s="290">
        <f t="shared" si="0"/>
        <v>20713.54</v>
      </c>
      <c r="F14" s="294">
        <v>1226.03</v>
      </c>
      <c r="G14" s="291">
        <f t="shared" si="1"/>
        <v>3668.62</v>
      </c>
      <c r="H14" s="291">
        <f t="shared" si="2"/>
        <v>17044.920000000002</v>
      </c>
      <c r="I14" s="292"/>
    </row>
    <row r="15" spans="1:9" s="275" customFormat="1" ht="12.75" customHeight="1" x14ac:dyDescent="0.25">
      <c r="A15" s="286" t="s">
        <v>726</v>
      </c>
      <c r="B15" s="287">
        <v>46105</v>
      </c>
      <c r="C15" s="288" t="s">
        <v>727</v>
      </c>
      <c r="D15" s="290"/>
      <c r="E15" s="290">
        <f t="shared" si="0"/>
        <v>20713.54</v>
      </c>
      <c r="F15" s="294">
        <v>4667.47</v>
      </c>
      <c r="G15" s="291">
        <f t="shared" si="1"/>
        <v>8336.09</v>
      </c>
      <c r="H15" s="291">
        <f t="shared" si="2"/>
        <v>12377.45</v>
      </c>
      <c r="I15" s="292"/>
    </row>
    <row r="16" spans="1:9" s="275" customFormat="1" ht="12.75" customHeight="1" x14ac:dyDescent="0.25">
      <c r="A16" s="286"/>
      <c r="B16" s="287"/>
      <c r="C16" s="288"/>
      <c r="D16" s="290"/>
      <c r="E16" s="290">
        <f t="shared" si="0"/>
        <v>20713.54</v>
      </c>
      <c r="F16" s="295"/>
      <c r="G16" s="291">
        <f t="shared" si="1"/>
        <v>8336.09</v>
      </c>
      <c r="H16" s="291">
        <f t="shared" si="2"/>
        <v>12377.45</v>
      </c>
      <c r="I16" s="292"/>
    </row>
    <row r="17" spans="1:9" s="275" customFormat="1" ht="12.75" customHeight="1" x14ac:dyDescent="0.25">
      <c r="A17" s="286"/>
      <c r="B17" s="287"/>
      <c r="C17" s="288"/>
      <c r="D17" s="290"/>
      <c r="E17" s="290">
        <f t="shared" si="0"/>
        <v>20713.54</v>
      </c>
      <c r="F17" s="295"/>
      <c r="G17" s="291">
        <f t="shared" si="1"/>
        <v>8336.09</v>
      </c>
      <c r="H17" s="291">
        <f t="shared" si="2"/>
        <v>12377.45</v>
      </c>
      <c r="I17" s="292"/>
    </row>
    <row r="18" spans="1:9" s="275" customFormat="1" ht="12.75" customHeight="1" x14ac:dyDescent="0.25">
      <c r="A18" s="286"/>
      <c r="B18" s="287"/>
      <c r="C18" s="288"/>
      <c r="D18" s="290"/>
      <c r="E18" s="290">
        <f t="shared" si="0"/>
        <v>20713.54</v>
      </c>
      <c r="F18" s="295"/>
      <c r="G18" s="291">
        <f t="shared" si="1"/>
        <v>8336.09</v>
      </c>
      <c r="H18" s="291">
        <f t="shared" si="2"/>
        <v>12377.45</v>
      </c>
      <c r="I18" s="292"/>
    </row>
    <row r="19" spans="1:9" s="275" customFormat="1" ht="12.75" customHeight="1" x14ac:dyDescent="0.25">
      <c r="A19" s="286"/>
      <c r="B19" s="287"/>
      <c r="C19" s="288"/>
      <c r="D19" s="290"/>
      <c r="E19" s="290">
        <f t="shared" si="0"/>
        <v>20713.54</v>
      </c>
      <c r="F19" s="291"/>
      <c r="G19" s="291">
        <f t="shared" si="1"/>
        <v>8336.09</v>
      </c>
      <c r="H19" s="291">
        <f t="shared" si="2"/>
        <v>12377.45</v>
      </c>
      <c r="I19" s="292"/>
    </row>
    <row r="20" spans="1:9" s="275" customFormat="1" ht="12.75" customHeight="1" x14ac:dyDescent="0.25">
      <c r="A20" s="286"/>
      <c r="B20" s="287"/>
      <c r="C20" s="288"/>
      <c r="D20" s="290"/>
      <c r="E20" s="290">
        <f t="shared" si="0"/>
        <v>20713.54</v>
      </c>
      <c r="F20" s="291"/>
      <c r="G20" s="291">
        <f t="shared" si="1"/>
        <v>8336.09</v>
      </c>
      <c r="H20" s="291">
        <f t="shared" si="2"/>
        <v>12377.45</v>
      </c>
      <c r="I20" s="292"/>
    </row>
    <row r="21" spans="1:9" s="275" customFormat="1" ht="12.75" customHeight="1" x14ac:dyDescent="0.25">
      <c r="A21" s="286"/>
      <c r="B21" s="287"/>
      <c r="C21" s="296"/>
      <c r="D21" s="290"/>
      <c r="E21" s="290">
        <f t="shared" si="0"/>
        <v>20713.54</v>
      </c>
      <c r="F21" s="291"/>
      <c r="G21" s="291">
        <f t="shared" si="1"/>
        <v>8336.09</v>
      </c>
      <c r="H21" s="291">
        <f t="shared" si="2"/>
        <v>12377.45</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20713.54</v>
      </c>
      <c r="E23" s="302"/>
      <c r="F23" s="302">
        <f>SUM(F9:F22)</f>
        <v>8336.09</v>
      </c>
      <c r="G23" s="302"/>
      <c r="H23" s="302">
        <f>D23-F23</f>
        <v>12377.45</v>
      </c>
      <c r="I23" s="376"/>
    </row>
    <row r="24" spans="1:9" s="275" customFormat="1" ht="12.75" customHeight="1" thickTop="1" x14ac:dyDescent="0.25"/>
    <row r="25" spans="1:9" s="275" customFormat="1" ht="12.75" customHeight="1" x14ac:dyDescent="0.25"/>
    <row r="26" spans="1:9" s="275" customFormat="1" ht="12.75" customHeight="1" x14ac:dyDescent="0.25"/>
    <row r="27" spans="1:9" s="275" customFormat="1" ht="12.75" customHeight="1" x14ac:dyDescent="0.25"/>
    <row r="28" spans="1:9" s="275" customFormat="1" ht="12.75" customHeight="1" x14ac:dyDescent="0.25"/>
  </sheetData>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A2A7-58C7-4180-9891-02A54B9D1288}">
  <sheetPr>
    <pageSetUpPr fitToPage="1"/>
  </sheetPr>
  <dimension ref="A1:J27"/>
  <sheetViews>
    <sheetView zoomScaleNormal="100" workbookViewId="0">
      <selection activeCell="D32" sqref="D32"/>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#9498.00'!B1</f>
        <v>DAS TH Parking Lot Retaining Wall Repairs</v>
      </c>
      <c r="B1" s="3"/>
      <c r="C1" s="3"/>
      <c r="D1" s="4"/>
      <c r="E1" s="4"/>
      <c r="F1" s="4"/>
      <c r="G1" s="33"/>
      <c r="H1" s="33"/>
      <c r="I1" s="34"/>
      <c r="J1" s="34"/>
    </row>
    <row r="2" spans="1:10" ht="15.75" x14ac:dyDescent="0.25">
      <c r="A2" s="6" t="str">
        <f>'RECAP #9498.00'!B2</f>
        <v>Project # 9498.00</v>
      </c>
      <c r="B2" s="5"/>
      <c r="C2" s="5"/>
      <c r="D2" s="4"/>
      <c r="E2" s="4"/>
      <c r="F2" s="4"/>
      <c r="G2" s="33"/>
      <c r="H2" s="33"/>
      <c r="I2" s="34"/>
      <c r="J2" s="34"/>
    </row>
    <row r="3" spans="1:10" ht="15.75" x14ac:dyDescent="0.25">
      <c r="A3" s="7" t="str">
        <f>'RECAP #9498.00'!B3</f>
        <v>Program code 949800</v>
      </c>
      <c r="B3" s="5"/>
      <c r="C3" s="5"/>
      <c r="D3" s="4"/>
      <c r="E3" s="8" t="str">
        <f>'RECAP #9498.00'!E3</f>
        <v>Major Program 4D04</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242</v>
      </c>
      <c r="F6" s="49"/>
      <c r="G6" s="50"/>
      <c r="H6" s="46"/>
      <c r="I6" s="41"/>
      <c r="J6" s="34"/>
    </row>
    <row r="7" spans="1:10" ht="15.75" x14ac:dyDescent="0.25">
      <c r="A7" s="13" t="str">
        <f>'RECAP #9498.00'!B6</f>
        <v>Project Manager - James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ht="12.75" customHeight="1" x14ac:dyDescent="0.25">
      <c r="A9" s="76"/>
      <c r="B9" s="59"/>
      <c r="C9" s="59"/>
      <c r="D9" s="77" t="s">
        <v>29</v>
      </c>
      <c r="E9" s="289">
        <f>7000+2000</f>
        <v>9000</v>
      </c>
      <c r="F9" s="290">
        <f>E9</f>
        <v>9000</v>
      </c>
      <c r="G9" s="291"/>
      <c r="H9" s="291"/>
      <c r="I9" s="291">
        <f>F9</f>
        <v>9000</v>
      </c>
      <c r="J9" s="64"/>
    </row>
    <row r="10" spans="1:10" ht="12.75" customHeight="1" x14ac:dyDescent="0.25">
      <c r="A10" s="213" t="s">
        <v>268</v>
      </c>
      <c r="B10" s="214">
        <v>45937</v>
      </c>
      <c r="C10" s="215" t="s">
        <v>269</v>
      </c>
      <c r="D10" s="175" t="s">
        <v>270</v>
      </c>
      <c r="E10" s="290"/>
      <c r="F10" s="290">
        <f t="shared" ref="F10:F24" si="0">F9+E10</f>
        <v>9000</v>
      </c>
      <c r="G10" s="294">
        <v>38.799999999999997</v>
      </c>
      <c r="H10" s="291">
        <f t="shared" ref="H10:H24" si="1">H9+G10</f>
        <v>38.799999999999997</v>
      </c>
      <c r="I10" s="291">
        <f t="shared" ref="I10:I24" si="2">I9-G10+E10</f>
        <v>8961.2000000000007</v>
      </c>
      <c r="J10" s="64"/>
    </row>
    <row r="11" spans="1:10" ht="12.75" customHeight="1" x14ac:dyDescent="0.25">
      <c r="A11" s="213" t="s">
        <v>268</v>
      </c>
      <c r="B11" s="214">
        <v>45937</v>
      </c>
      <c r="C11" s="215">
        <v>9500</v>
      </c>
      <c r="D11" s="78" t="s">
        <v>271</v>
      </c>
      <c r="E11" s="290"/>
      <c r="F11" s="290">
        <f t="shared" si="0"/>
        <v>9000</v>
      </c>
      <c r="G11" s="294">
        <v>199.7</v>
      </c>
      <c r="H11" s="291">
        <f t="shared" si="1"/>
        <v>238.5</v>
      </c>
      <c r="I11" s="291">
        <f t="shared" si="2"/>
        <v>8761.5</v>
      </c>
      <c r="J11" s="64"/>
    </row>
    <row r="12" spans="1:10" ht="12.75" customHeight="1" x14ac:dyDescent="0.25">
      <c r="A12" s="213" t="s">
        <v>322</v>
      </c>
      <c r="B12" s="214">
        <v>45968</v>
      </c>
      <c r="C12" s="215" t="s">
        <v>269</v>
      </c>
      <c r="D12" s="175" t="s">
        <v>323</v>
      </c>
      <c r="E12" s="290"/>
      <c r="F12" s="290">
        <f t="shared" si="0"/>
        <v>9000</v>
      </c>
      <c r="G12" s="294">
        <v>63.69</v>
      </c>
      <c r="H12" s="291">
        <f t="shared" si="1"/>
        <v>302.19</v>
      </c>
      <c r="I12" s="291">
        <f t="shared" si="2"/>
        <v>8697.81</v>
      </c>
      <c r="J12" s="64"/>
    </row>
    <row r="13" spans="1:10" ht="12.75" customHeight="1" x14ac:dyDescent="0.25">
      <c r="A13" s="213" t="s">
        <v>322</v>
      </c>
      <c r="B13" s="214">
        <v>45968</v>
      </c>
      <c r="C13" s="215">
        <v>9500</v>
      </c>
      <c r="D13" s="78" t="s">
        <v>324</v>
      </c>
      <c r="E13" s="290"/>
      <c r="F13" s="290">
        <f t="shared" si="0"/>
        <v>9000</v>
      </c>
      <c r="G13" s="294">
        <v>632.79999999999995</v>
      </c>
      <c r="H13" s="291">
        <f t="shared" si="1"/>
        <v>934.99</v>
      </c>
      <c r="I13" s="291">
        <f t="shared" si="2"/>
        <v>8065.0099999999993</v>
      </c>
      <c r="J13" s="64"/>
    </row>
    <row r="14" spans="1:10" ht="12.75" customHeight="1" x14ac:dyDescent="0.25">
      <c r="A14" s="213" t="s">
        <v>373</v>
      </c>
      <c r="B14" s="214">
        <v>45996</v>
      </c>
      <c r="C14" s="332" t="s">
        <v>269</v>
      </c>
      <c r="D14" s="175" t="s">
        <v>374</v>
      </c>
      <c r="E14" s="290"/>
      <c r="F14" s="290">
        <f t="shared" si="0"/>
        <v>9000</v>
      </c>
      <c r="G14" s="294">
        <v>149.15</v>
      </c>
      <c r="H14" s="291">
        <f t="shared" si="1"/>
        <v>1084.1400000000001</v>
      </c>
      <c r="I14" s="291">
        <f t="shared" si="2"/>
        <v>7915.86</v>
      </c>
      <c r="J14" s="64"/>
    </row>
    <row r="15" spans="1:10" ht="12.75" customHeight="1" x14ac:dyDescent="0.25">
      <c r="A15" s="213" t="s">
        <v>373</v>
      </c>
      <c r="B15" s="214">
        <v>45996</v>
      </c>
      <c r="C15" s="333">
        <v>9500</v>
      </c>
      <c r="D15" s="78" t="s">
        <v>375</v>
      </c>
      <c r="E15" s="290"/>
      <c r="F15" s="290">
        <f t="shared" si="0"/>
        <v>9000</v>
      </c>
      <c r="G15" s="294">
        <v>948.7</v>
      </c>
      <c r="H15" s="291">
        <f t="shared" si="1"/>
        <v>2032.8400000000001</v>
      </c>
      <c r="I15" s="291">
        <f t="shared" si="2"/>
        <v>6967.16</v>
      </c>
      <c r="J15" s="64"/>
    </row>
    <row r="16" spans="1:10" ht="12.75" customHeight="1" x14ac:dyDescent="0.25">
      <c r="A16" s="213" t="s">
        <v>433</v>
      </c>
      <c r="B16" s="214">
        <v>46030</v>
      </c>
      <c r="C16" s="332" t="s">
        <v>269</v>
      </c>
      <c r="D16" s="175" t="s">
        <v>434</v>
      </c>
      <c r="E16" s="290"/>
      <c r="F16" s="290">
        <f t="shared" si="0"/>
        <v>9000</v>
      </c>
      <c r="G16" s="294">
        <v>83.48</v>
      </c>
      <c r="H16" s="291">
        <f t="shared" si="1"/>
        <v>2116.3200000000002</v>
      </c>
      <c r="I16" s="291">
        <f t="shared" si="2"/>
        <v>6883.68</v>
      </c>
      <c r="J16" s="64"/>
    </row>
    <row r="17" spans="1:10" ht="12.75" customHeight="1" x14ac:dyDescent="0.25">
      <c r="A17" s="213" t="s">
        <v>433</v>
      </c>
      <c r="B17" s="214">
        <v>46030</v>
      </c>
      <c r="C17" s="333">
        <v>9500</v>
      </c>
      <c r="D17" s="78" t="s">
        <v>435</v>
      </c>
      <c r="E17" s="290"/>
      <c r="F17" s="290">
        <f t="shared" si="0"/>
        <v>9000</v>
      </c>
      <c r="G17" s="294">
        <v>949.7</v>
      </c>
      <c r="H17" s="291">
        <f t="shared" si="1"/>
        <v>3066.0200000000004</v>
      </c>
      <c r="I17" s="291">
        <f t="shared" si="2"/>
        <v>5933.9800000000005</v>
      </c>
      <c r="J17" s="64"/>
    </row>
    <row r="18" spans="1:10" ht="12.75" customHeight="1" x14ac:dyDescent="0.25">
      <c r="A18" s="213" t="s">
        <v>559</v>
      </c>
      <c r="B18" s="214">
        <v>46062</v>
      </c>
      <c r="C18" s="332" t="s">
        <v>269</v>
      </c>
      <c r="D18" s="175" t="s">
        <v>560</v>
      </c>
      <c r="E18" s="290"/>
      <c r="F18" s="290">
        <f t="shared" si="0"/>
        <v>9000</v>
      </c>
      <c r="G18" s="294">
        <v>66.16</v>
      </c>
      <c r="H18" s="291">
        <f t="shared" si="1"/>
        <v>3132.1800000000003</v>
      </c>
      <c r="I18" s="291">
        <f t="shared" si="2"/>
        <v>5867.8200000000006</v>
      </c>
      <c r="J18" s="64"/>
    </row>
    <row r="19" spans="1:10" ht="12.75" customHeight="1" x14ac:dyDescent="0.25">
      <c r="A19" s="213" t="s">
        <v>559</v>
      </c>
      <c r="B19" s="214">
        <v>46062</v>
      </c>
      <c r="C19" s="333">
        <v>9500</v>
      </c>
      <c r="D19" s="78" t="s">
        <v>561</v>
      </c>
      <c r="E19" s="290"/>
      <c r="F19" s="290">
        <f t="shared" si="0"/>
        <v>9000</v>
      </c>
      <c r="G19" s="294">
        <v>822.9</v>
      </c>
      <c r="H19" s="291">
        <f t="shared" si="1"/>
        <v>3955.0800000000004</v>
      </c>
      <c r="I19" s="291">
        <f t="shared" si="2"/>
        <v>5044.920000000001</v>
      </c>
      <c r="J19" s="64"/>
    </row>
    <row r="20" spans="1:10" ht="12.75" customHeight="1" x14ac:dyDescent="0.25">
      <c r="A20" s="213" t="s">
        <v>663</v>
      </c>
      <c r="B20" s="214">
        <v>46090</v>
      </c>
      <c r="C20" s="332" t="s">
        <v>269</v>
      </c>
      <c r="D20" s="175" t="s">
        <v>664</v>
      </c>
      <c r="E20" s="290"/>
      <c r="F20" s="290">
        <f t="shared" si="0"/>
        <v>9000</v>
      </c>
      <c r="G20" s="294">
        <v>62.46</v>
      </c>
      <c r="H20" s="291">
        <f t="shared" si="1"/>
        <v>4017.5400000000004</v>
      </c>
      <c r="I20" s="291">
        <f t="shared" si="2"/>
        <v>4982.4600000000009</v>
      </c>
      <c r="J20" s="64"/>
    </row>
    <row r="21" spans="1:10" ht="12.75" customHeight="1" x14ac:dyDescent="0.25">
      <c r="A21" s="213" t="s">
        <v>663</v>
      </c>
      <c r="B21" s="214">
        <v>46090</v>
      </c>
      <c r="C21" s="333">
        <v>9500</v>
      </c>
      <c r="D21" s="78" t="s">
        <v>665</v>
      </c>
      <c r="E21" s="290"/>
      <c r="F21" s="290">
        <f t="shared" si="0"/>
        <v>9000</v>
      </c>
      <c r="G21" s="294">
        <v>720.6</v>
      </c>
      <c r="H21" s="291">
        <f t="shared" si="1"/>
        <v>4738.1400000000003</v>
      </c>
      <c r="I21" s="291">
        <f t="shared" si="2"/>
        <v>4261.8600000000006</v>
      </c>
      <c r="J21" s="64"/>
    </row>
    <row r="22" spans="1:10" ht="12.75" customHeight="1" x14ac:dyDescent="0.25">
      <c r="A22" s="213"/>
      <c r="B22" s="214"/>
      <c r="C22" s="333"/>
      <c r="D22" s="78"/>
      <c r="E22" s="290"/>
      <c r="F22" s="290">
        <f t="shared" si="0"/>
        <v>9000</v>
      </c>
      <c r="G22" s="295"/>
      <c r="H22" s="291">
        <f t="shared" si="1"/>
        <v>4738.1400000000003</v>
      </c>
      <c r="I22" s="291">
        <f t="shared" si="2"/>
        <v>4261.8600000000006</v>
      </c>
      <c r="J22" s="64"/>
    </row>
    <row r="23" spans="1:10" ht="12.75" customHeight="1" x14ac:dyDescent="0.25">
      <c r="A23" s="213"/>
      <c r="B23" s="214"/>
      <c r="C23" s="333"/>
      <c r="D23" s="78"/>
      <c r="E23" s="290"/>
      <c r="F23" s="290">
        <f t="shared" si="0"/>
        <v>9000</v>
      </c>
      <c r="G23" s="295"/>
      <c r="H23" s="291">
        <f t="shared" si="1"/>
        <v>4738.1400000000003</v>
      </c>
      <c r="I23" s="291">
        <f t="shared" si="2"/>
        <v>4261.8600000000006</v>
      </c>
      <c r="J23" s="64"/>
    </row>
    <row r="24" spans="1:10" ht="12.75" customHeight="1" x14ac:dyDescent="0.25">
      <c r="A24" s="213"/>
      <c r="B24" s="214"/>
      <c r="C24" s="333"/>
      <c r="D24" s="78"/>
      <c r="E24" s="290"/>
      <c r="F24" s="290">
        <f t="shared" si="0"/>
        <v>9000</v>
      </c>
      <c r="G24" s="295"/>
      <c r="H24" s="291">
        <f t="shared" si="1"/>
        <v>4738.1400000000003</v>
      </c>
      <c r="I24" s="291">
        <f t="shared" si="2"/>
        <v>4261.8600000000006</v>
      </c>
      <c r="J24" s="64"/>
    </row>
    <row r="25" spans="1:10" ht="12.75" customHeight="1" x14ac:dyDescent="0.25">
      <c r="A25" s="72"/>
      <c r="B25" s="60"/>
      <c r="C25" s="215"/>
      <c r="D25" s="68"/>
      <c r="E25" s="63"/>
      <c r="F25" s="63"/>
      <c r="G25" s="63"/>
      <c r="H25" s="63"/>
      <c r="I25" s="63"/>
      <c r="J25" s="64"/>
    </row>
    <row r="26" spans="1:10" ht="12.75" customHeight="1" thickBot="1" x14ac:dyDescent="0.3">
      <c r="A26" s="72"/>
      <c r="B26" s="69"/>
      <c r="C26" s="215"/>
      <c r="D26" s="70" t="s">
        <v>24</v>
      </c>
      <c r="E26" s="71">
        <f>SUM(E9:E25)</f>
        <v>9000</v>
      </c>
      <c r="F26" s="71"/>
      <c r="G26" s="71">
        <f>SUM(G9:G25)</f>
        <v>4738.1400000000003</v>
      </c>
      <c r="H26" s="71"/>
      <c r="I26" s="71">
        <f>E26-G26</f>
        <v>4261.8599999999997</v>
      </c>
      <c r="J26" s="64"/>
    </row>
    <row r="27" spans="1:10"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FE4A-621E-41EE-AF59-CA9B2BC11A94}">
  <sheetPr>
    <tabColor indexed="30"/>
    <pageSetUpPr fitToPage="1"/>
  </sheetPr>
  <dimension ref="A1:H108"/>
  <sheetViews>
    <sheetView zoomScaleNormal="100" workbookViewId="0">
      <selection activeCell="C22" sqref="C2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#9498.00'!B1</f>
        <v>DAS TH Parking Lot Retaining Wall Repairs</v>
      </c>
      <c r="B1" s="3"/>
      <c r="C1" s="3"/>
      <c r="D1" s="3"/>
      <c r="E1" s="4"/>
      <c r="F1" s="4"/>
      <c r="G1" s="4"/>
      <c r="H1" s="33"/>
    </row>
    <row r="2" spans="1:8" ht="15.75" x14ac:dyDescent="0.25">
      <c r="A2" s="6" t="str">
        <f>'RECAP #9498.00'!B2</f>
        <v>Project # 9498.00</v>
      </c>
      <c r="B2" s="5"/>
      <c r="C2" s="5"/>
      <c r="D2" s="5"/>
      <c r="E2" s="4"/>
      <c r="F2" s="4"/>
      <c r="G2" s="4"/>
      <c r="H2" s="33"/>
    </row>
    <row r="3" spans="1:8" ht="15.75" x14ac:dyDescent="0.25">
      <c r="A3" s="7" t="str">
        <f>'RECAP #9498.00'!B3</f>
        <v>Program code 949800</v>
      </c>
      <c r="B3" s="5"/>
      <c r="C3" s="5"/>
      <c r="D3" s="5"/>
      <c r="E3" s="8" t="str">
        <f>'RECAP #9498.00'!E3</f>
        <v>Major Program 4D04</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#9498.00'!B6</f>
        <v>Project Manager - James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s="275" customFormat="1" ht="12.75" customHeight="1" thickTop="1" x14ac:dyDescent="0.25"/>
    <row r="24" spans="1:8" s="275" customFormat="1" ht="12.75" customHeight="1" x14ac:dyDescent="0.25"/>
    <row r="25" spans="1:8" s="275" customFormat="1" ht="12.75" customHeight="1" x14ac:dyDescent="0.25"/>
    <row r="26" spans="1:8" s="275" customFormat="1" ht="12.75" customHeight="1" x14ac:dyDescent="0.25"/>
    <row r="27" spans="1:8" s="275" customFormat="1" ht="12.75" customHeight="1" x14ac:dyDescent="0.25"/>
    <row r="28" spans="1:8" s="275" customFormat="1" ht="12.75" customHeight="1" x14ac:dyDescent="0.25"/>
    <row r="29" spans="1:8" s="275" customFormat="1" ht="12.75" customHeight="1" x14ac:dyDescent="0.25"/>
    <row r="30" spans="1:8" s="275" customFormat="1" ht="12.75" customHeight="1" x14ac:dyDescent="0.25"/>
    <row r="31" spans="1:8" s="275" customFormat="1" ht="12.75" customHeight="1" x14ac:dyDescent="0.25"/>
    <row r="32" spans="1:8" s="275" customFormat="1" ht="12.75" customHeight="1" x14ac:dyDescent="0.25"/>
    <row r="33" s="275" customFormat="1" ht="12.75" customHeight="1" x14ac:dyDescent="0.25"/>
    <row r="34" s="275" customFormat="1" ht="12.75" customHeight="1" x14ac:dyDescent="0.25"/>
    <row r="35" s="275" customFormat="1" ht="12.75" customHeight="1" x14ac:dyDescent="0.25"/>
    <row r="36" s="275" customFormat="1" ht="12.75" customHeight="1" x14ac:dyDescent="0.25"/>
    <row r="37" s="275" customFormat="1" ht="12.75" customHeight="1" x14ac:dyDescent="0.25"/>
    <row r="38" s="275" customFormat="1" ht="12.75" customHeight="1" x14ac:dyDescent="0.25"/>
    <row r="39" s="275" customFormat="1" ht="12.75" customHeight="1" x14ac:dyDescent="0.25"/>
    <row r="40" s="275" customFormat="1" ht="12.75" customHeight="1" x14ac:dyDescent="0.25"/>
    <row r="41" s="275" customFormat="1" ht="12.75" customHeight="1" x14ac:dyDescent="0.25"/>
    <row r="42" s="275" customFormat="1" ht="12.75" customHeight="1" x14ac:dyDescent="0.25"/>
    <row r="43" s="275" customFormat="1" ht="12.75" customHeight="1" x14ac:dyDescent="0.25"/>
    <row r="44" s="275" customFormat="1" ht="12.75" customHeight="1" x14ac:dyDescent="0.25"/>
    <row r="45" s="275" customFormat="1" ht="12.75" customHeight="1" x14ac:dyDescent="0.25"/>
    <row r="46" s="275" customFormat="1" ht="12.75" customHeight="1" x14ac:dyDescent="0.25"/>
    <row r="47" s="275" customFormat="1" ht="12.75" customHeight="1" x14ac:dyDescent="0.25"/>
    <row r="48" s="275" customFormat="1" ht="12.75" customHeight="1" x14ac:dyDescent="0.25"/>
    <row r="49" s="275" customFormat="1" ht="12.75" customHeight="1" x14ac:dyDescent="0.25"/>
    <row r="50" s="275" customFormat="1" ht="12.75" customHeight="1" x14ac:dyDescent="0.25"/>
    <row r="51" s="275" customFormat="1" ht="12.75" customHeight="1" x14ac:dyDescent="0.25"/>
    <row r="52" s="275" customFormat="1" ht="12.75" customHeight="1" x14ac:dyDescent="0.25"/>
    <row r="53" s="275" customFormat="1" ht="12.75" customHeight="1" x14ac:dyDescent="0.25"/>
    <row r="54" s="275" customFormat="1" ht="12.75" customHeight="1" x14ac:dyDescent="0.25"/>
    <row r="55" s="275" customFormat="1" ht="12.75" customHeight="1" x14ac:dyDescent="0.25"/>
    <row r="56" s="275" customFormat="1" ht="12.75" customHeight="1" x14ac:dyDescent="0.25"/>
    <row r="57" s="275" customFormat="1" ht="12.75" customHeight="1" x14ac:dyDescent="0.25"/>
    <row r="58" s="275" customFormat="1" ht="12.75" customHeight="1" x14ac:dyDescent="0.25"/>
    <row r="59" s="275" customFormat="1" ht="12.75" customHeight="1" x14ac:dyDescent="0.25"/>
    <row r="60" s="275" customFormat="1" ht="12.75" customHeight="1" x14ac:dyDescent="0.25"/>
    <row r="61" s="275" customFormat="1" ht="12.75" customHeight="1" x14ac:dyDescent="0.25"/>
    <row r="62" s="275" customFormat="1" ht="12.75" customHeight="1" x14ac:dyDescent="0.25"/>
    <row r="63" s="275" customFormat="1" ht="12.75" customHeight="1" x14ac:dyDescent="0.25"/>
    <row r="64" s="275" customFormat="1" ht="12.75" customHeight="1" x14ac:dyDescent="0.25"/>
    <row r="65" s="275" customFormat="1" ht="12.75" customHeight="1" x14ac:dyDescent="0.25"/>
    <row r="66" s="275" customFormat="1" ht="12.75" customHeight="1" x14ac:dyDescent="0.25"/>
    <row r="67" s="275" customFormat="1" ht="12.75" customHeight="1" x14ac:dyDescent="0.25"/>
    <row r="68" s="275" customFormat="1" ht="12.75" customHeight="1" x14ac:dyDescent="0.25"/>
    <row r="69" s="275" customFormat="1" ht="12.75" customHeight="1" x14ac:dyDescent="0.25"/>
    <row r="70" s="275" customFormat="1" ht="12.75" customHeight="1" x14ac:dyDescent="0.25"/>
    <row r="71" s="275" customFormat="1" ht="12.75" customHeight="1" x14ac:dyDescent="0.25"/>
    <row r="72" s="275" customFormat="1" ht="12.75" customHeight="1" x14ac:dyDescent="0.25"/>
    <row r="73" s="275" customFormat="1" ht="12.75" customHeight="1" x14ac:dyDescent="0.25"/>
    <row r="74" s="275" customFormat="1" ht="12.75" customHeight="1" x14ac:dyDescent="0.25"/>
    <row r="75" s="275" customFormat="1" ht="12.75" customHeight="1" x14ac:dyDescent="0.25"/>
    <row r="76" s="275" customFormat="1" ht="12.75" customHeight="1" x14ac:dyDescent="0.25"/>
    <row r="77" s="275" customFormat="1" ht="12.75" customHeight="1" x14ac:dyDescent="0.25"/>
    <row r="78" s="275" customFormat="1" ht="12.75" customHeight="1" x14ac:dyDescent="0.25"/>
    <row r="79" s="275" customFormat="1" ht="12.75" customHeight="1" x14ac:dyDescent="0.25"/>
    <row r="80" s="275" customFormat="1" ht="12.75" customHeight="1" x14ac:dyDescent="0.25"/>
    <row r="81" s="275" customFormat="1" ht="12.75" customHeight="1" x14ac:dyDescent="0.25"/>
    <row r="82" s="275" customFormat="1" ht="12.75" customHeight="1" x14ac:dyDescent="0.25"/>
    <row r="83" s="275" customFormat="1" ht="12.75" customHeight="1" x14ac:dyDescent="0.25"/>
    <row r="84" s="275" customFormat="1" ht="12.75" customHeight="1" x14ac:dyDescent="0.25"/>
    <row r="85" s="275" customFormat="1" ht="12.75" customHeight="1" x14ac:dyDescent="0.25"/>
    <row r="86" s="275" customFormat="1" ht="12.75" customHeight="1" x14ac:dyDescent="0.25"/>
    <row r="87" s="275" customFormat="1" ht="12.75" customHeight="1" x14ac:dyDescent="0.25"/>
    <row r="88" s="275" customFormat="1" ht="12.75" customHeight="1" x14ac:dyDescent="0.25"/>
    <row r="89" s="275" customFormat="1" ht="12.75" customHeight="1" x14ac:dyDescent="0.25"/>
    <row r="90" s="275" customFormat="1" ht="12.75" customHeight="1" x14ac:dyDescent="0.25"/>
    <row r="91" s="275" customFormat="1" ht="12.75" customHeight="1" x14ac:dyDescent="0.25"/>
    <row r="92" s="275" customFormat="1" ht="12.75" customHeight="1" x14ac:dyDescent="0.25"/>
    <row r="93" s="275" customFormat="1" ht="12.75" customHeight="1" x14ac:dyDescent="0.25"/>
    <row r="94" s="275" customFormat="1" ht="12.75" customHeight="1" x14ac:dyDescent="0.25"/>
    <row r="95" s="275" customFormat="1" ht="12.75" customHeight="1" x14ac:dyDescent="0.25"/>
    <row r="96" s="275" customFormat="1" ht="12.75" customHeight="1" x14ac:dyDescent="0.25"/>
    <row r="97" s="275" customFormat="1" ht="12.75" customHeight="1" x14ac:dyDescent="0.25"/>
    <row r="98" s="275" customFormat="1" ht="12.75" customHeight="1" x14ac:dyDescent="0.25"/>
    <row r="99" s="275" customFormat="1" ht="12.75" customHeight="1" x14ac:dyDescent="0.25"/>
    <row r="100" s="275" customFormat="1" ht="12.75" customHeight="1" x14ac:dyDescent="0.25"/>
    <row r="101" s="275" customFormat="1" ht="12.75" customHeight="1" x14ac:dyDescent="0.25"/>
    <row r="102" s="275" customFormat="1" ht="12.75" customHeight="1" x14ac:dyDescent="0.25"/>
    <row r="103" s="275" customFormat="1" ht="12.75" customHeight="1" x14ac:dyDescent="0.25"/>
    <row r="104" s="275" customFormat="1" ht="12.75" customHeight="1" x14ac:dyDescent="0.25"/>
    <row r="105" s="275" customFormat="1" ht="12.75" customHeight="1" x14ac:dyDescent="0.25"/>
    <row r="106" s="275" customFormat="1" ht="12.75" customHeight="1" x14ac:dyDescent="0.25"/>
    <row r="107" s="275" customFormat="1" ht="12.75" customHeight="1" x14ac:dyDescent="0.25"/>
    <row r="108" s="275"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E2CC-3240-4C80-9F27-6917AF9AD0D4}">
  <sheetPr>
    <pageSetUpPr fitToPage="1"/>
  </sheetPr>
  <dimension ref="A1:I25"/>
  <sheetViews>
    <sheetView zoomScaleNormal="100" workbookViewId="0">
      <selection activeCell="L26" sqref="L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#9498.00'!B1</f>
        <v>DAS TH Parking Lot Retaining Wall Repairs</v>
      </c>
      <c r="B1" s="3"/>
      <c r="C1" s="4"/>
      <c r="D1" s="4"/>
      <c r="E1" s="4"/>
      <c r="F1" s="33"/>
      <c r="G1" s="33"/>
      <c r="H1" s="34"/>
      <c r="I1" s="34"/>
    </row>
    <row r="2" spans="1:9" ht="15.75" x14ac:dyDescent="0.25">
      <c r="A2" s="6" t="str">
        <f>'RECAP #9498.00'!B2</f>
        <v>Project # 9498.00</v>
      </c>
      <c r="B2" s="5"/>
      <c r="C2" s="4"/>
      <c r="D2" s="4"/>
      <c r="E2" s="4"/>
      <c r="F2" s="33"/>
      <c r="G2" s="33"/>
      <c r="H2" s="34"/>
      <c r="I2" s="34"/>
    </row>
    <row r="3" spans="1:9" ht="15.75" x14ac:dyDescent="0.25">
      <c r="A3" s="7" t="str">
        <f>'RECAP #9498.00'!B3</f>
        <v>Program code 949800</v>
      </c>
      <c r="B3" s="5"/>
      <c r="C3" s="4"/>
      <c r="D3" s="8" t="str">
        <f>'RECAP #9498.00'!E3</f>
        <v>Major Program 4D04</v>
      </c>
      <c r="E3" s="4"/>
      <c r="F3" s="33"/>
      <c r="G3" s="33"/>
      <c r="H3" s="34"/>
      <c r="I3" s="34"/>
    </row>
    <row r="4" spans="1:9" ht="15.75" x14ac:dyDescent="0.25">
      <c r="A4" s="35" t="s">
        <v>116</v>
      </c>
      <c r="B4" s="36"/>
      <c r="C4" s="37"/>
      <c r="D4" s="38" t="s">
        <v>118</v>
      </c>
      <c r="E4" s="39"/>
      <c r="F4" s="33"/>
      <c r="G4" s="33"/>
      <c r="H4" s="34"/>
      <c r="I4" s="34"/>
    </row>
    <row r="5" spans="1:9" ht="15.75" x14ac:dyDescent="0.25">
      <c r="A5" s="40" t="s">
        <v>117</v>
      </c>
      <c r="B5" s="41"/>
      <c r="C5" s="42"/>
      <c r="D5" s="43" t="s">
        <v>349</v>
      </c>
      <c r="E5" s="44"/>
      <c r="F5" s="45"/>
      <c r="G5" s="46"/>
      <c r="H5" s="41"/>
      <c r="I5" s="34"/>
    </row>
    <row r="6" spans="1:9" ht="15.75" x14ac:dyDescent="0.25">
      <c r="A6" s="13" t="str">
        <f>'RECAP #9498.00'!B6</f>
        <v>Project Manager - James T.</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350</v>
      </c>
      <c r="B9" s="287">
        <v>45994</v>
      </c>
      <c r="C9" s="288" t="s">
        <v>111</v>
      </c>
      <c r="D9" s="289">
        <v>27466</v>
      </c>
      <c r="E9" s="290">
        <f>D9</f>
        <v>27466</v>
      </c>
      <c r="F9" s="291"/>
      <c r="G9" s="291"/>
      <c r="H9" s="291">
        <f>E9</f>
        <v>27466</v>
      </c>
      <c r="I9" s="292"/>
    </row>
    <row r="10" spans="1:9" s="275" customFormat="1" ht="12.75" customHeight="1" x14ac:dyDescent="0.25">
      <c r="A10" s="286" t="s">
        <v>596</v>
      </c>
      <c r="B10" s="293">
        <v>46073</v>
      </c>
      <c r="C10" s="288" t="s">
        <v>597</v>
      </c>
      <c r="D10" s="290"/>
      <c r="E10" s="290">
        <f t="shared" ref="E10:E21" si="0">E9+D10</f>
        <v>27466</v>
      </c>
      <c r="F10" s="294">
        <v>1084.71</v>
      </c>
      <c r="G10" s="291">
        <f t="shared" ref="G10:G21" si="1">G9+F10</f>
        <v>1084.71</v>
      </c>
      <c r="H10" s="291">
        <f t="shared" ref="H10:H21" si="2">H9-F10+D10</f>
        <v>26381.29</v>
      </c>
      <c r="I10" s="292"/>
    </row>
    <row r="11" spans="1:9" s="275" customFormat="1" ht="12.75" customHeight="1" x14ac:dyDescent="0.25">
      <c r="A11" s="286"/>
      <c r="B11" s="287"/>
      <c r="C11" s="288"/>
      <c r="D11" s="290"/>
      <c r="E11" s="290">
        <f t="shared" si="0"/>
        <v>27466</v>
      </c>
      <c r="F11" s="295"/>
      <c r="G11" s="291">
        <f t="shared" si="1"/>
        <v>1084.71</v>
      </c>
      <c r="H11" s="291">
        <f t="shared" si="2"/>
        <v>26381.29</v>
      </c>
      <c r="I11" s="292"/>
    </row>
    <row r="12" spans="1:9" s="275" customFormat="1" ht="12.75" customHeight="1" x14ac:dyDescent="0.25">
      <c r="A12" s="286"/>
      <c r="B12" s="287"/>
      <c r="C12" s="288"/>
      <c r="D12" s="290"/>
      <c r="E12" s="290">
        <f t="shared" si="0"/>
        <v>27466</v>
      </c>
      <c r="F12" s="295"/>
      <c r="G12" s="291">
        <f t="shared" si="1"/>
        <v>1084.71</v>
      </c>
      <c r="H12" s="291">
        <f t="shared" si="2"/>
        <v>26381.29</v>
      </c>
      <c r="I12" s="292"/>
    </row>
    <row r="13" spans="1:9" s="275" customFormat="1" ht="12.75" customHeight="1" x14ac:dyDescent="0.25">
      <c r="A13" s="286"/>
      <c r="B13" s="287"/>
      <c r="C13" s="288"/>
      <c r="D13" s="290"/>
      <c r="E13" s="290">
        <f t="shared" si="0"/>
        <v>27466</v>
      </c>
      <c r="F13" s="295"/>
      <c r="G13" s="291">
        <f t="shared" si="1"/>
        <v>1084.71</v>
      </c>
      <c r="H13" s="291">
        <f t="shared" si="2"/>
        <v>26381.29</v>
      </c>
      <c r="I13" s="292"/>
    </row>
    <row r="14" spans="1:9" s="275" customFormat="1" ht="12.75" customHeight="1" x14ac:dyDescent="0.25">
      <c r="A14" s="286"/>
      <c r="B14" s="287"/>
      <c r="C14" s="288"/>
      <c r="D14" s="290"/>
      <c r="E14" s="290">
        <f t="shared" si="0"/>
        <v>27466</v>
      </c>
      <c r="F14" s="291"/>
      <c r="G14" s="291">
        <f t="shared" si="1"/>
        <v>1084.71</v>
      </c>
      <c r="H14" s="291">
        <f t="shared" si="2"/>
        <v>26381.29</v>
      </c>
      <c r="I14" s="292"/>
    </row>
    <row r="15" spans="1:9" s="275" customFormat="1" ht="12.75" customHeight="1" x14ac:dyDescent="0.25">
      <c r="A15" s="286"/>
      <c r="B15" s="287"/>
      <c r="C15" s="288"/>
      <c r="D15" s="290"/>
      <c r="E15" s="290">
        <f t="shared" si="0"/>
        <v>27466</v>
      </c>
      <c r="F15" s="295"/>
      <c r="G15" s="291">
        <f t="shared" si="1"/>
        <v>1084.71</v>
      </c>
      <c r="H15" s="291">
        <f t="shared" si="2"/>
        <v>26381.29</v>
      </c>
      <c r="I15" s="292"/>
    </row>
    <row r="16" spans="1:9" s="275" customFormat="1" ht="12.75" customHeight="1" x14ac:dyDescent="0.25">
      <c r="A16" s="286"/>
      <c r="B16" s="287"/>
      <c r="C16" s="288"/>
      <c r="D16" s="290"/>
      <c r="E16" s="290">
        <f t="shared" si="0"/>
        <v>27466</v>
      </c>
      <c r="F16" s="295"/>
      <c r="G16" s="291">
        <f t="shared" si="1"/>
        <v>1084.71</v>
      </c>
      <c r="H16" s="291">
        <f t="shared" si="2"/>
        <v>26381.29</v>
      </c>
      <c r="I16" s="292"/>
    </row>
    <row r="17" spans="1:9" s="275" customFormat="1" ht="12.75" customHeight="1" x14ac:dyDescent="0.25">
      <c r="A17" s="286"/>
      <c r="B17" s="287"/>
      <c r="C17" s="288"/>
      <c r="D17" s="290"/>
      <c r="E17" s="290">
        <f t="shared" si="0"/>
        <v>27466</v>
      </c>
      <c r="F17" s="295"/>
      <c r="G17" s="291">
        <f t="shared" si="1"/>
        <v>1084.71</v>
      </c>
      <c r="H17" s="291">
        <f t="shared" si="2"/>
        <v>26381.29</v>
      </c>
      <c r="I17" s="292"/>
    </row>
    <row r="18" spans="1:9" s="275" customFormat="1" ht="12.75" customHeight="1" x14ac:dyDescent="0.25">
      <c r="A18" s="286"/>
      <c r="B18" s="287"/>
      <c r="C18" s="288"/>
      <c r="D18" s="290"/>
      <c r="E18" s="290">
        <f t="shared" si="0"/>
        <v>27466</v>
      </c>
      <c r="F18" s="295"/>
      <c r="G18" s="291">
        <f t="shared" si="1"/>
        <v>1084.71</v>
      </c>
      <c r="H18" s="291">
        <f t="shared" si="2"/>
        <v>26381.29</v>
      </c>
      <c r="I18" s="292"/>
    </row>
    <row r="19" spans="1:9" s="275" customFormat="1" ht="12.75" customHeight="1" x14ac:dyDescent="0.25">
      <c r="A19" s="286"/>
      <c r="B19" s="287"/>
      <c r="C19" s="288"/>
      <c r="D19" s="290"/>
      <c r="E19" s="290">
        <f t="shared" si="0"/>
        <v>27466</v>
      </c>
      <c r="F19" s="291"/>
      <c r="G19" s="291">
        <f t="shared" si="1"/>
        <v>1084.71</v>
      </c>
      <c r="H19" s="291">
        <f t="shared" si="2"/>
        <v>26381.29</v>
      </c>
      <c r="I19" s="292"/>
    </row>
    <row r="20" spans="1:9" s="275" customFormat="1" ht="12.75" customHeight="1" x14ac:dyDescent="0.25">
      <c r="A20" s="286"/>
      <c r="B20" s="287"/>
      <c r="C20" s="288"/>
      <c r="D20" s="290"/>
      <c r="E20" s="290">
        <f t="shared" si="0"/>
        <v>27466</v>
      </c>
      <c r="F20" s="291"/>
      <c r="G20" s="291">
        <f t="shared" si="1"/>
        <v>1084.71</v>
      </c>
      <c r="H20" s="291">
        <f t="shared" si="2"/>
        <v>26381.29</v>
      </c>
      <c r="I20" s="292"/>
    </row>
    <row r="21" spans="1:9" s="275" customFormat="1" ht="12.75" customHeight="1" x14ac:dyDescent="0.25">
      <c r="A21" s="286"/>
      <c r="B21" s="287"/>
      <c r="C21" s="296"/>
      <c r="D21" s="290"/>
      <c r="E21" s="290">
        <f t="shared" si="0"/>
        <v>27466</v>
      </c>
      <c r="F21" s="291"/>
      <c r="G21" s="291">
        <f t="shared" si="1"/>
        <v>1084.71</v>
      </c>
      <c r="H21" s="291">
        <f t="shared" si="2"/>
        <v>26381.29</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27466</v>
      </c>
      <c r="E23" s="302"/>
      <c r="F23" s="302">
        <f>SUM(F9:F22)</f>
        <v>1084.71</v>
      </c>
      <c r="G23" s="302"/>
      <c r="H23" s="302">
        <f>D23-F23</f>
        <v>26381.29</v>
      </c>
      <c r="I23" s="292"/>
    </row>
    <row r="24" spans="1:9" s="275" customFormat="1" ht="12.75" customHeight="1" thickTop="1" x14ac:dyDescent="0.25"/>
    <row r="25" spans="1:9" s="275" customFormat="1" ht="12.75" customHeight="1" x14ac:dyDescent="0.25"/>
  </sheetData>
  <conditionalFormatting sqref="I8:I23">
    <cfRule type="cellIs" dxfId="38"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4B12-98DB-4684-8B40-377898A30475}">
  <sheetPr>
    <pageSetUpPr fitToPage="1"/>
  </sheetPr>
  <dimension ref="A1:G17"/>
  <sheetViews>
    <sheetView zoomScaleNormal="100" workbookViewId="0">
      <selection activeCell="D21" sqref="D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156</v>
      </c>
      <c r="C1" s="3"/>
      <c r="D1" s="4"/>
      <c r="E1" s="4"/>
      <c r="F1" s="4"/>
      <c r="G1" s="4"/>
    </row>
    <row r="2" spans="1:7" ht="15.75" x14ac:dyDescent="0.25">
      <c r="A2" s="1"/>
      <c r="B2" s="6" t="s">
        <v>197</v>
      </c>
      <c r="C2" s="5"/>
      <c r="D2" s="4"/>
      <c r="E2" s="4"/>
      <c r="F2" s="4"/>
      <c r="G2" s="4"/>
    </row>
    <row r="3" spans="1:7" ht="15.75" x14ac:dyDescent="0.25">
      <c r="A3" s="1"/>
      <c r="B3" s="7" t="s">
        <v>198</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199</v>
      </c>
      <c r="C6" s="14"/>
      <c r="D6" s="15" t="s">
        <v>2</v>
      </c>
      <c r="E6" s="16"/>
      <c r="F6" s="16"/>
      <c r="G6" s="16"/>
    </row>
    <row r="7" spans="1:7" ht="32.25" customHeight="1" thickBot="1" x14ac:dyDescent="0.3">
      <c r="A7" s="1"/>
      <c r="B7" s="18" t="s">
        <v>2</v>
      </c>
      <c r="C7" s="19" t="s">
        <v>3</v>
      </c>
      <c r="D7" s="20" t="s">
        <v>4</v>
      </c>
      <c r="E7" s="21" t="s">
        <v>5</v>
      </c>
      <c r="F7" s="22" t="s">
        <v>6</v>
      </c>
      <c r="G7" s="22" t="s">
        <v>7</v>
      </c>
    </row>
    <row r="8" spans="1:7" ht="28.35" customHeight="1" x14ac:dyDescent="0.25">
      <c r="A8" s="1"/>
      <c r="B8" s="1" t="s">
        <v>8</v>
      </c>
      <c r="C8" s="23">
        <f>FINANCIAL!G26</f>
        <v>640965</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03"/>
      <c r="B10" s="304" t="s">
        <v>359</v>
      </c>
      <c r="C10" s="305"/>
      <c r="D10" s="308">
        <f>'#9499.00 Boyd Jones'!D23</f>
        <v>17986.57</v>
      </c>
      <c r="E10" s="308">
        <f>'#9499.00 Boyd Jones'!F23</f>
        <v>11095.689999999999</v>
      </c>
      <c r="F10" s="308">
        <f>'#9499.00 Boyd Jones'!H23</f>
        <v>6890.880000000001</v>
      </c>
      <c r="G10" s="307"/>
    </row>
    <row r="11" spans="1:7" s="275" customFormat="1" ht="12.75" customHeight="1" x14ac:dyDescent="0.25">
      <c r="A11" s="303"/>
      <c r="B11" s="304" t="s">
        <v>10</v>
      </c>
      <c r="C11" s="305"/>
      <c r="D11" s="308">
        <f>'#9499.00 PM TIME '!E23</f>
        <v>15000</v>
      </c>
      <c r="E11" s="308">
        <f>'#9499.00 PM TIME '!G23</f>
        <v>6065.4000000000005</v>
      </c>
      <c r="F11" s="308">
        <f>'#9499.00 PM TIME '!I23</f>
        <v>8934.5999999999985</v>
      </c>
      <c r="G11" s="307"/>
    </row>
    <row r="12" spans="1:7" s="275" customFormat="1" ht="12.75" customHeight="1" x14ac:dyDescent="0.25">
      <c r="A12" s="303"/>
      <c r="B12" s="304" t="s">
        <v>11</v>
      </c>
      <c r="C12" s="306"/>
      <c r="D12" s="309">
        <f>'#9499.00 Misc '!G22</f>
        <v>0</v>
      </c>
      <c r="E12" s="309">
        <f>'#9499.00 Misc '!H22</f>
        <v>0</v>
      </c>
      <c r="F12" s="308">
        <f>D12-E12</f>
        <v>0</v>
      </c>
      <c r="G12" s="307"/>
    </row>
    <row r="13" spans="1:7" s="275" customFormat="1" ht="12.75" customHeight="1" x14ac:dyDescent="0.25">
      <c r="A13" s="303"/>
      <c r="B13" s="304" t="s">
        <v>430</v>
      </c>
      <c r="C13" s="306"/>
      <c r="D13" s="309">
        <f>'#9499.00 Larson Engineering'!D23</f>
        <v>33530</v>
      </c>
      <c r="E13" s="309">
        <f>'#9499.00 Larson Engineering'!F23</f>
        <v>24720</v>
      </c>
      <c r="F13" s="308">
        <f>'#9499.00 Larson Engineering'!H23</f>
        <v>8810</v>
      </c>
      <c r="G13" s="307"/>
    </row>
    <row r="14" spans="1:7" s="275" customFormat="1" ht="12.75" customHeight="1" x14ac:dyDescent="0.25">
      <c r="A14" s="303"/>
      <c r="B14" s="304" t="s">
        <v>740</v>
      </c>
      <c r="C14" s="306"/>
      <c r="D14" s="309">
        <f>'#9499.00 Boyd Jones (2)'!D23</f>
        <v>29267.48</v>
      </c>
      <c r="E14" s="309">
        <f>'#9499.00 Boyd Jones (2)'!F23</f>
        <v>0</v>
      </c>
      <c r="F14" s="308">
        <f>'#9499.00 Boyd Jones (2)'!H23</f>
        <v>29267.48</v>
      </c>
      <c r="G14" s="307"/>
    </row>
    <row r="15" spans="1:7" s="275" customFormat="1" ht="12.75" customHeight="1" x14ac:dyDescent="0.25">
      <c r="A15" s="310"/>
      <c r="B15" s="304"/>
      <c r="C15" s="306"/>
      <c r="D15" s="309"/>
      <c r="E15" s="309"/>
      <c r="F15" s="308"/>
      <c r="G15" s="311"/>
    </row>
    <row r="16" spans="1:7" ht="24" customHeight="1" thickBot="1" x14ac:dyDescent="0.3">
      <c r="A16" s="30"/>
      <c r="B16" s="31" t="s">
        <v>12</v>
      </c>
      <c r="C16" s="32">
        <f>SUM(C8:C15)</f>
        <v>640965</v>
      </c>
      <c r="D16" s="32">
        <f>SUM(D8:D15)</f>
        <v>95784.05</v>
      </c>
      <c r="E16" s="32">
        <f>SUM(E8:E15)</f>
        <v>41881.089999999997</v>
      </c>
      <c r="F16" s="32">
        <f>SUM(D16-E16)</f>
        <v>53902.960000000006</v>
      </c>
      <c r="G16" s="32">
        <f>C8-D16</f>
        <v>545180.94999999995</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2D8D1-7B30-49E7-BD94-46C53D29F8D4}">
  <sheetPr>
    <pageSetUpPr fitToPage="1"/>
  </sheetPr>
  <dimension ref="A1:I29"/>
  <sheetViews>
    <sheetView zoomScaleNormal="100" workbookViewId="0">
      <selection activeCell="O18" sqref="O1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33"/>
      <c r="G1" s="33"/>
      <c r="H1" s="34"/>
      <c r="I1" s="34"/>
    </row>
    <row r="2" spans="1:9" ht="15.75" x14ac:dyDescent="0.25">
      <c r="A2" s="6" t="str">
        <f>'RECAP #9499.00'!B2</f>
        <v>Project # 9499.00</v>
      </c>
      <c r="B2" s="5"/>
      <c r="C2" s="4"/>
      <c r="D2" s="4"/>
      <c r="E2" s="4"/>
      <c r="F2" s="33"/>
      <c r="G2" s="33"/>
      <c r="H2" s="34"/>
      <c r="I2" s="34"/>
    </row>
    <row r="3" spans="1:9" ht="15.75" x14ac:dyDescent="0.25">
      <c r="A3" s="7" t="str">
        <f>'RECAP #9499.00'!B3</f>
        <v>Program code 949900</v>
      </c>
      <c r="B3" s="5"/>
      <c r="C3" s="4"/>
      <c r="D3" s="8" t="str">
        <f>'RECAP #9499.00'!E3</f>
        <v>Major Program 4E19</v>
      </c>
      <c r="E3" s="4"/>
      <c r="F3" s="33"/>
      <c r="G3" s="33"/>
      <c r="H3" s="34"/>
      <c r="I3" s="34"/>
    </row>
    <row r="4" spans="1:9" ht="15.75" x14ac:dyDescent="0.25">
      <c r="A4" s="35" t="s">
        <v>359</v>
      </c>
      <c r="B4" s="36"/>
      <c r="C4" s="37"/>
      <c r="D4" s="38" t="s">
        <v>360</v>
      </c>
      <c r="E4" s="39"/>
      <c r="F4" s="33"/>
      <c r="G4" s="33"/>
      <c r="H4" s="34"/>
      <c r="I4" s="34"/>
    </row>
    <row r="5" spans="1:9" ht="15.75" x14ac:dyDescent="0.25">
      <c r="A5" s="40" t="s">
        <v>106</v>
      </c>
      <c r="B5" s="41"/>
      <c r="C5" s="42"/>
      <c r="D5" s="43" t="s">
        <v>361</v>
      </c>
      <c r="E5" s="44"/>
      <c r="F5" s="45"/>
      <c r="G5" s="46"/>
      <c r="H5" s="41"/>
      <c r="I5" s="34"/>
    </row>
    <row r="6" spans="1:9" ht="15.75" x14ac:dyDescent="0.25">
      <c r="A6" s="13" t="str">
        <f>'RECAP #9499.00'!B6</f>
        <v>Project Manager -  Oliver S (BA)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362</v>
      </c>
      <c r="B9" s="287">
        <v>45999</v>
      </c>
      <c r="C9" s="288" t="s">
        <v>111</v>
      </c>
      <c r="D9" s="289">
        <v>17986.57</v>
      </c>
      <c r="E9" s="290">
        <f>D9</f>
        <v>17986.57</v>
      </c>
      <c r="F9" s="291"/>
      <c r="G9" s="291"/>
      <c r="H9" s="291">
        <f>E9</f>
        <v>17986.57</v>
      </c>
      <c r="I9" s="292"/>
    </row>
    <row r="10" spans="1:9" s="275" customFormat="1" ht="12.75" customHeight="1" x14ac:dyDescent="0.25">
      <c r="A10" s="286" t="s">
        <v>401</v>
      </c>
      <c r="B10" s="293">
        <v>45663</v>
      </c>
      <c r="C10" s="288" t="s">
        <v>402</v>
      </c>
      <c r="D10" s="290"/>
      <c r="E10" s="290">
        <f t="shared" ref="E10:E21" si="0">E9+D10</f>
        <v>17986.57</v>
      </c>
      <c r="F10" s="294">
        <v>3657.72</v>
      </c>
      <c r="G10" s="291">
        <f t="shared" ref="G10:G21" si="1">G9+F10</f>
        <v>3657.72</v>
      </c>
      <c r="H10" s="291">
        <f t="shared" ref="H10:H21" si="2">H9-F10+D10</f>
        <v>14328.85</v>
      </c>
      <c r="I10" s="292"/>
    </row>
    <row r="11" spans="1:9" s="275" customFormat="1" ht="12.75" customHeight="1" x14ac:dyDescent="0.25">
      <c r="A11" s="286" t="s">
        <v>572</v>
      </c>
      <c r="B11" s="287">
        <v>46069</v>
      </c>
      <c r="C11" s="288" t="s">
        <v>573</v>
      </c>
      <c r="D11" s="290"/>
      <c r="E11" s="290">
        <f t="shared" si="0"/>
        <v>17986.57</v>
      </c>
      <c r="F11" s="294">
        <v>1902.69</v>
      </c>
      <c r="G11" s="291">
        <f t="shared" si="1"/>
        <v>5560.41</v>
      </c>
      <c r="H11" s="291">
        <f t="shared" si="2"/>
        <v>12426.16</v>
      </c>
      <c r="I11" s="292"/>
    </row>
    <row r="12" spans="1:9" s="275" customFormat="1" ht="12.75" customHeight="1" x14ac:dyDescent="0.25">
      <c r="A12" s="286" t="s">
        <v>684</v>
      </c>
      <c r="B12" s="287">
        <v>46100</v>
      </c>
      <c r="C12" s="288" t="s">
        <v>685</v>
      </c>
      <c r="D12" s="290"/>
      <c r="E12" s="290">
        <f t="shared" si="0"/>
        <v>17986.57</v>
      </c>
      <c r="F12" s="294">
        <v>5535.28</v>
      </c>
      <c r="G12" s="291">
        <f t="shared" si="1"/>
        <v>11095.689999999999</v>
      </c>
      <c r="H12" s="291">
        <f t="shared" si="2"/>
        <v>6890.88</v>
      </c>
      <c r="I12" s="292"/>
    </row>
    <row r="13" spans="1:9" s="275" customFormat="1" ht="12.75" customHeight="1" x14ac:dyDescent="0.25">
      <c r="A13" s="286"/>
      <c r="B13" s="287"/>
      <c r="C13" s="288"/>
      <c r="D13" s="290"/>
      <c r="E13" s="290">
        <f t="shared" si="0"/>
        <v>17986.57</v>
      </c>
      <c r="F13" s="295"/>
      <c r="G13" s="291">
        <f t="shared" si="1"/>
        <v>11095.689999999999</v>
      </c>
      <c r="H13" s="291">
        <f t="shared" si="2"/>
        <v>6890.88</v>
      </c>
      <c r="I13" s="292"/>
    </row>
    <row r="14" spans="1:9" s="275" customFormat="1" ht="12.75" customHeight="1" x14ac:dyDescent="0.25">
      <c r="A14" s="286"/>
      <c r="B14" s="287"/>
      <c r="C14" s="288"/>
      <c r="D14" s="290"/>
      <c r="E14" s="290">
        <f t="shared" si="0"/>
        <v>17986.57</v>
      </c>
      <c r="F14" s="291"/>
      <c r="G14" s="291">
        <f t="shared" si="1"/>
        <v>11095.689999999999</v>
      </c>
      <c r="H14" s="291">
        <f t="shared" si="2"/>
        <v>6890.88</v>
      </c>
      <c r="I14" s="292"/>
    </row>
    <row r="15" spans="1:9" s="275" customFormat="1" ht="12.75" customHeight="1" x14ac:dyDescent="0.25">
      <c r="A15" s="286"/>
      <c r="B15" s="287"/>
      <c r="C15" s="288"/>
      <c r="D15" s="290"/>
      <c r="E15" s="290">
        <f t="shared" si="0"/>
        <v>17986.57</v>
      </c>
      <c r="F15" s="295"/>
      <c r="G15" s="291">
        <f t="shared" si="1"/>
        <v>11095.689999999999</v>
      </c>
      <c r="H15" s="291">
        <f t="shared" si="2"/>
        <v>6890.88</v>
      </c>
      <c r="I15" s="292"/>
    </row>
    <row r="16" spans="1:9" s="275" customFormat="1" ht="12.75" customHeight="1" x14ac:dyDescent="0.25">
      <c r="A16" s="286"/>
      <c r="B16" s="287"/>
      <c r="C16" s="288"/>
      <c r="D16" s="290"/>
      <c r="E16" s="290">
        <f t="shared" si="0"/>
        <v>17986.57</v>
      </c>
      <c r="F16" s="295"/>
      <c r="G16" s="291">
        <f t="shared" si="1"/>
        <v>11095.689999999999</v>
      </c>
      <c r="H16" s="291">
        <f t="shared" si="2"/>
        <v>6890.88</v>
      </c>
      <c r="I16" s="292"/>
    </row>
    <row r="17" spans="1:9" s="275" customFormat="1" ht="12.75" customHeight="1" x14ac:dyDescent="0.25">
      <c r="A17" s="286"/>
      <c r="B17" s="287"/>
      <c r="C17" s="288"/>
      <c r="D17" s="290"/>
      <c r="E17" s="290">
        <f t="shared" si="0"/>
        <v>17986.57</v>
      </c>
      <c r="F17" s="295"/>
      <c r="G17" s="291">
        <f t="shared" si="1"/>
        <v>11095.689999999999</v>
      </c>
      <c r="H17" s="291">
        <f t="shared" si="2"/>
        <v>6890.88</v>
      </c>
      <c r="I17" s="292"/>
    </row>
    <row r="18" spans="1:9" s="275" customFormat="1" ht="12.75" customHeight="1" x14ac:dyDescent="0.25">
      <c r="A18" s="286"/>
      <c r="B18" s="287"/>
      <c r="C18" s="288"/>
      <c r="D18" s="290"/>
      <c r="E18" s="290">
        <f t="shared" si="0"/>
        <v>17986.57</v>
      </c>
      <c r="F18" s="295"/>
      <c r="G18" s="291">
        <f t="shared" si="1"/>
        <v>11095.689999999999</v>
      </c>
      <c r="H18" s="291">
        <f t="shared" si="2"/>
        <v>6890.88</v>
      </c>
      <c r="I18" s="292"/>
    </row>
    <row r="19" spans="1:9" s="275" customFormat="1" ht="12.75" customHeight="1" x14ac:dyDescent="0.25">
      <c r="A19" s="286"/>
      <c r="B19" s="287"/>
      <c r="C19" s="288"/>
      <c r="D19" s="290"/>
      <c r="E19" s="290">
        <f t="shared" si="0"/>
        <v>17986.57</v>
      </c>
      <c r="F19" s="291"/>
      <c r="G19" s="291">
        <f t="shared" si="1"/>
        <v>11095.689999999999</v>
      </c>
      <c r="H19" s="291">
        <f t="shared" si="2"/>
        <v>6890.88</v>
      </c>
      <c r="I19" s="292"/>
    </row>
    <row r="20" spans="1:9" s="275" customFormat="1" ht="12.75" customHeight="1" x14ac:dyDescent="0.25">
      <c r="A20" s="286"/>
      <c r="B20" s="287"/>
      <c r="C20" s="288"/>
      <c r="D20" s="290"/>
      <c r="E20" s="290">
        <f t="shared" si="0"/>
        <v>17986.57</v>
      </c>
      <c r="F20" s="291"/>
      <c r="G20" s="291">
        <f t="shared" si="1"/>
        <v>11095.689999999999</v>
      </c>
      <c r="H20" s="291">
        <f t="shared" si="2"/>
        <v>6890.88</v>
      </c>
      <c r="I20" s="292"/>
    </row>
    <row r="21" spans="1:9" s="275" customFormat="1" ht="12.75" customHeight="1" x14ac:dyDescent="0.25">
      <c r="A21" s="286"/>
      <c r="B21" s="287"/>
      <c r="C21" s="296"/>
      <c r="D21" s="290"/>
      <c r="E21" s="290">
        <f t="shared" si="0"/>
        <v>17986.57</v>
      </c>
      <c r="F21" s="291"/>
      <c r="G21" s="291">
        <f t="shared" si="1"/>
        <v>11095.689999999999</v>
      </c>
      <c r="H21" s="291">
        <f t="shared" si="2"/>
        <v>6890.88</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17986.57</v>
      </c>
      <c r="E23" s="302"/>
      <c r="F23" s="302">
        <f>SUM(F9:F22)</f>
        <v>11095.689999999999</v>
      </c>
      <c r="G23" s="302"/>
      <c r="H23" s="302">
        <f>D23-F23</f>
        <v>6890.880000000001</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17686.57</v>
      </c>
      <c r="E26" s="313"/>
      <c r="F26" s="313">
        <f>3657.72+1902.69+5535.28</f>
        <v>11095.689999999999</v>
      </c>
      <c r="G26" s="313"/>
      <c r="H26" s="313">
        <f>D26-F26</f>
        <v>6590.880000000001</v>
      </c>
      <c r="I26" s="292"/>
    </row>
    <row r="27" spans="1:9" s="275" customFormat="1" ht="12.75" customHeight="1" x14ac:dyDescent="0.25">
      <c r="A27" s="286"/>
      <c r="B27" s="288"/>
      <c r="C27" s="312" t="s">
        <v>113</v>
      </c>
      <c r="D27" s="313">
        <v>300</v>
      </c>
      <c r="E27" s="313"/>
      <c r="F27" s="313"/>
      <c r="G27" s="313"/>
      <c r="H27" s="313">
        <f>D27-F27</f>
        <v>300</v>
      </c>
      <c r="I27" s="292"/>
    </row>
    <row r="28" spans="1:9" s="275" customFormat="1" ht="12.75" customHeight="1" thickBot="1" x14ac:dyDescent="0.3">
      <c r="A28" s="286"/>
      <c r="B28" s="288"/>
      <c r="C28" s="314" t="s">
        <v>67</v>
      </c>
      <c r="D28" s="315">
        <f>SUM(D26:D27)</f>
        <v>17986.57</v>
      </c>
      <c r="E28" s="316"/>
      <c r="F28" s="315">
        <f>SUM(F26:F27)</f>
        <v>11095.689999999999</v>
      </c>
      <c r="G28" s="316"/>
      <c r="H28" s="315">
        <f>SUM(H26:H27)</f>
        <v>6890.880000000001</v>
      </c>
      <c r="I28" s="292"/>
    </row>
    <row r="29" spans="1:9" s="275" customFormat="1" ht="12.75" customHeight="1" thickTop="1" x14ac:dyDescent="0.25"/>
  </sheetData>
  <conditionalFormatting sqref="I8:I23">
    <cfRule type="cellIs" dxfId="37"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078ED-2D9B-4355-B944-FF8EFF910305}">
  <sheetPr>
    <pageSetUpPr fitToPage="1"/>
  </sheetPr>
  <dimension ref="A1:J26"/>
  <sheetViews>
    <sheetView zoomScaleNormal="100" workbookViewId="0">
      <selection activeCell="F28" sqref="F28"/>
    </sheetView>
  </sheetViews>
  <sheetFormatPr defaultColWidth="11.42578125" defaultRowHeight="15" customHeight="1" x14ac:dyDescent="0.25"/>
  <cols>
    <col min="1" max="1" width="24.5703125" customWidth="1"/>
    <col min="2" max="3" width="9.42578125" customWidth="1"/>
    <col min="4" max="4" width="34.5703125" customWidth="1"/>
    <col min="5" max="5" width="12.5703125" customWidth="1"/>
    <col min="6" max="6" width="13.5703125" customWidth="1"/>
    <col min="7" max="7" width="12.42578125" customWidth="1"/>
    <col min="8" max="8" width="10.5703125" customWidth="1"/>
    <col min="9" max="9" width="13.71093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#9499.00'!B1</f>
        <v>IPBS 6535 Corporate Drive Parking Lot Replacement</v>
      </c>
      <c r="B1" s="3"/>
      <c r="C1" s="3"/>
      <c r="D1" s="4"/>
      <c r="E1" s="4"/>
      <c r="F1" s="4"/>
      <c r="G1" s="33"/>
      <c r="H1" s="33"/>
      <c r="I1" s="34"/>
      <c r="J1" s="34"/>
    </row>
    <row r="2" spans="1:10" ht="15.75" x14ac:dyDescent="0.25">
      <c r="A2" s="6" t="str">
        <f>'RECAP #9499.00'!B2</f>
        <v>Project # 9499.00</v>
      </c>
      <c r="B2" s="5"/>
      <c r="C2" s="5"/>
      <c r="D2" s="4"/>
      <c r="E2" s="4"/>
      <c r="F2" s="4"/>
      <c r="G2" s="33"/>
      <c r="H2" s="33"/>
      <c r="I2" s="34"/>
      <c r="J2" s="34"/>
    </row>
    <row r="3" spans="1:10" ht="15.75" x14ac:dyDescent="0.25">
      <c r="A3" s="7" t="str">
        <f>'RECAP #9499.00'!B3</f>
        <v>Program code 949900</v>
      </c>
      <c r="B3" s="5"/>
      <c r="C3" s="5"/>
      <c r="D3" s="4"/>
      <c r="E3" s="8" t="str">
        <f>'RECAP #9499.00'!E3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243</v>
      </c>
      <c r="F6" s="49"/>
      <c r="G6" s="50"/>
      <c r="H6" s="46"/>
      <c r="I6" s="41"/>
      <c r="J6" s="34"/>
    </row>
    <row r="7" spans="1:10" ht="15.75" x14ac:dyDescent="0.25">
      <c r="A7" s="13" t="str">
        <f>'RECAP #9499.00'!B6</f>
        <v>Project Manager -  Oliver S (BA)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15000</v>
      </c>
      <c r="F9" s="290">
        <f>E9</f>
        <v>15000</v>
      </c>
      <c r="G9" s="291"/>
      <c r="H9" s="291"/>
      <c r="I9" s="291">
        <f>F9</f>
        <v>15000</v>
      </c>
      <c r="J9" s="292"/>
    </row>
    <row r="10" spans="1:10" s="275" customFormat="1" ht="12.75" customHeight="1" x14ac:dyDescent="0.25">
      <c r="A10" s="220" t="s">
        <v>322</v>
      </c>
      <c r="B10" s="221">
        <v>45968</v>
      </c>
      <c r="C10" s="329" t="s">
        <v>269</v>
      </c>
      <c r="D10" s="179" t="s">
        <v>323</v>
      </c>
      <c r="E10" s="290"/>
      <c r="F10" s="290">
        <f t="shared" ref="F10:F21" si="0">F9+E10</f>
        <v>15000</v>
      </c>
      <c r="G10" s="294">
        <v>128.13999999999999</v>
      </c>
      <c r="H10" s="291">
        <f t="shared" ref="H10:H21" si="1">H9+G10</f>
        <v>128.13999999999999</v>
      </c>
      <c r="I10" s="291">
        <f t="shared" ref="I10:I21" si="2">I9-G10+E10</f>
        <v>14871.86</v>
      </c>
      <c r="J10" s="292"/>
    </row>
    <row r="11" spans="1:10" s="275" customFormat="1" ht="12.75" customHeight="1" x14ac:dyDescent="0.25">
      <c r="A11" s="220" t="s">
        <v>322</v>
      </c>
      <c r="B11" s="221">
        <v>45968</v>
      </c>
      <c r="C11" s="329">
        <v>9500</v>
      </c>
      <c r="D11" s="222" t="s">
        <v>324</v>
      </c>
      <c r="E11" s="290"/>
      <c r="F11" s="290">
        <f t="shared" si="0"/>
        <v>15000</v>
      </c>
      <c r="G11" s="294">
        <v>1311.2</v>
      </c>
      <c r="H11" s="291">
        <f t="shared" si="1"/>
        <v>1439.3400000000001</v>
      </c>
      <c r="I11" s="291">
        <f t="shared" si="2"/>
        <v>13560.66</v>
      </c>
      <c r="J11" s="292"/>
    </row>
    <row r="12" spans="1:10" s="275" customFormat="1" ht="12.75" customHeight="1" x14ac:dyDescent="0.2">
      <c r="A12" s="213" t="s">
        <v>373</v>
      </c>
      <c r="B12" s="214">
        <v>45996</v>
      </c>
      <c r="C12" s="332" t="s">
        <v>269</v>
      </c>
      <c r="D12" s="175" t="s">
        <v>374</v>
      </c>
      <c r="E12" s="290"/>
      <c r="F12" s="290">
        <f t="shared" si="0"/>
        <v>15000</v>
      </c>
      <c r="G12" s="294">
        <v>145.53</v>
      </c>
      <c r="H12" s="291">
        <f t="shared" si="1"/>
        <v>1584.8700000000001</v>
      </c>
      <c r="I12" s="291">
        <f t="shared" si="2"/>
        <v>13415.13</v>
      </c>
      <c r="J12" s="292"/>
    </row>
    <row r="13" spans="1:10" s="275" customFormat="1" ht="12.75" customHeight="1" x14ac:dyDescent="0.2">
      <c r="A13" s="213" t="s">
        <v>373</v>
      </c>
      <c r="B13" s="214">
        <v>45996</v>
      </c>
      <c r="C13" s="333">
        <v>9500</v>
      </c>
      <c r="D13" s="78" t="s">
        <v>375</v>
      </c>
      <c r="E13" s="290"/>
      <c r="F13" s="290">
        <f t="shared" si="0"/>
        <v>15000</v>
      </c>
      <c r="G13" s="294">
        <v>904.2</v>
      </c>
      <c r="H13" s="291">
        <f t="shared" si="1"/>
        <v>2489.0700000000002</v>
      </c>
      <c r="I13" s="291">
        <f t="shared" si="2"/>
        <v>12510.929999999998</v>
      </c>
      <c r="J13" s="292"/>
    </row>
    <row r="14" spans="1:10" s="275" customFormat="1" ht="12.75" customHeight="1" x14ac:dyDescent="0.2">
      <c r="A14" s="213" t="s">
        <v>433</v>
      </c>
      <c r="B14" s="214">
        <v>46030</v>
      </c>
      <c r="C14" s="332" t="s">
        <v>269</v>
      </c>
      <c r="D14" s="175" t="s">
        <v>434</v>
      </c>
      <c r="E14" s="290"/>
      <c r="F14" s="290">
        <f t="shared" si="0"/>
        <v>15000</v>
      </c>
      <c r="G14" s="294">
        <v>130.35</v>
      </c>
      <c r="H14" s="291">
        <f t="shared" si="1"/>
        <v>2619.42</v>
      </c>
      <c r="I14" s="291">
        <f t="shared" si="2"/>
        <v>12380.579999999998</v>
      </c>
      <c r="J14" s="292"/>
    </row>
    <row r="15" spans="1:10" s="275" customFormat="1" ht="12.75" customHeight="1" x14ac:dyDescent="0.2">
      <c r="A15" s="213" t="s">
        <v>433</v>
      </c>
      <c r="B15" s="214">
        <v>46030</v>
      </c>
      <c r="C15" s="333">
        <v>9500</v>
      </c>
      <c r="D15" s="78" t="s">
        <v>435</v>
      </c>
      <c r="E15" s="290"/>
      <c r="F15" s="290">
        <f t="shared" si="0"/>
        <v>15000</v>
      </c>
      <c r="G15" s="294">
        <v>1478.4</v>
      </c>
      <c r="H15" s="291">
        <f t="shared" si="1"/>
        <v>4097.82</v>
      </c>
      <c r="I15" s="291">
        <f t="shared" si="2"/>
        <v>10902.179999999998</v>
      </c>
      <c r="J15" s="292"/>
    </row>
    <row r="16" spans="1:10" s="275" customFormat="1" ht="12.75" customHeight="1" x14ac:dyDescent="0.2">
      <c r="A16" s="213" t="s">
        <v>559</v>
      </c>
      <c r="B16" s="214">
        <v>46062</v>
      </c>
      <c r="C16" s="332" t="s">
        <v>269</v>
      </c>
      <c r="D16" s="175" t="s">
        <v>560</v>
      </c>
      <c r="E16" s="290"/>
      <c r="F16" s="290">
        <f t="shared" si="0"/>
        <v>15000</v>
      </c>
      <c r="G16" s="294">
        <v>74.430000000000007</v>
      </c>
      <c r="H16" s="291">
        <f t="shared" si="1"/>
        <v>4172.25</v>
      </c>
      <c r="I16" s="291">
        <f t="shared" si="2"/>
        <v>10827.749999999998</v>
      </c>
      <c r="J16" s="292"/>
    </row>
    <row r="17" spans="1:10" s="275" customFormat="1" ht="12.75" customHeight="1" x14ac:dyDescent="0.2">
      <c r="A17" s="213" t="s">
        <v>559</v>
      </c>
      <c r="B17" s="214">
        <v>46062</v>
      </c>
      <c r="C17" s="333">
        <v>9500</v>
      </c>
      <c r="D17" s="78" t="s">
        <v>561</v>
      </c>
      <c r="E17" s="290"/>
      <c r="F17" s="290">
        <f t="shared" si="0"/>
        <v>15000</v>
      </c>
      <c r="G17" s="294">
        <v>924.6</v>
      </c>
      <c r="H17" s="291">
        <f t="shared" si="1"/>
        <v>5096.8500000000004</v>
      </c>
      <c r="I17" s="291">
        <f t="shared" si="2"/>
        <v>9903.1499999999978</v>
      </c>
      <c r="J17" s="292"/>
    </row>
    <row r="18" spans="1:10" s="275" customFormat="1" ht="12.75" customHeight="1" x14ac:dyDescent="0.2">
      <c r="A18" s="213" t="s">
        <v>663</v>
      </c>
      <c r="B18" s="214">
        <v>46090</v>
      </c>
      <c r="C18" s="332" t="s">
        <v>269</v>
      </c>
      <c r="D18" s="175" t="s">
        <v>664</v>
      </c>
      <c r="E18" s="290"/>
      <c r="F18" s="290">
        <f t="shared" si="0"/>
        <v>15000</v>
      </c>
      <c r="G18" s="294">
        <v>77.349999999999994</v>
      </c>
      <c r="H18" s="291">
        <f t="shared" si="1"/>
        <v>5174.2000000000007</v>
      </c>
      <c r="I18" s="291">
        <f t="shared" si="2"/>
        <v>9825.7999999999975</v>
      </c>
      <c r="J18" s="292"/>
    </row>
    <row r="19" spans="1:10" s="275" customFormat="1" ht="12.75" customHeight="1" x14ac:dyDescent="0.2">
      <c r="A19" s="213" t="s">
        <v>663</v>
      </c>
      <c r="B19" s="214">
        <v>46090</v>
      </c>
      <c r="C19" s="333">
        <v>9500</v>
      </c>
      <c r="D19" s="78" t="s">
        <v>665</v>
      </c>
      <c r="E19" s="290"/>
      <c r="F19" s="290">
        <f t="shared" si="0"/>
        <v>15000</v>
      </c>
      <c r="G19" s="294">
        <v>891.2</v>
      </c>
      <c r="H19" s="291">
        <f t="shared" si="1"/>
        <v>6065.4000000000005</v>
      </c>
      <c r="I19" s="291">
        <f t="shared" si="2"/>
        <v>8934.5999999999967</v>
      </c>
      <c r="J19" s="292"/>
    </row>
    <row r="20" spans="1:10" s="275" customFormat="1" ht="12.75" customHeight="1" x14ac:dyDescent="0.25">
      <c r="A20" s="298"/>
      <c r="B20" s="287"/>
      <c r="C20" s="329"/>
      <c r="D20" s="297"/>
      <c r="E20" s="290"/>
      <c r="F20" s="290">
        <f t="shared" si="0"/>
        <v>15000</v>
      </c>
      <c r="G20" s="291"/>
      <c r="H20" s="291">
        <f t="shared" si="1"/>
        <v>6065.4000000000005</v>
      </c>
      <c r="I20" s="291">
        <f t="shared" si="2"/>
        <v>8934.5999999999967</v>
      </c>
      <c r="J20" s="292"/>
    </row>
    <row r="21" spans="1:10" s="275" customFormat="1" ht="12.75" customHeight="1" x14ac:dyDescent="0.25">
      <c r="A21" s="298"/>
      <c r="B21" s="287"/>
      <c r="C21" s="329"/>
      <c r="D21" s="318"/>
      <c r="E21" s="290"/>
      <c r="F21" s="290">
        <f t="shared" si="0"/>
        <v>15000</v>
      </c>
      <c r="G21" s="291"/>
      <c r="H21" s="291">
        <f t="shared" si="1"/>
        <v>6065.4000000000005</v>
      </c>
      <c r="I21" s="291">
        <f t="shared" si="2"/>
        <v>8934.5999999999967</v>
      </c>
      <c r="J21" s="292"/>
    </row>
    <row r="22" spans="1:10" s="275" customFormat="1" ht="12.75" customHeight="1" x14ac:dyDescent="0.25">
      <c r="A22" s="286"/>
      <c r="B22" s="288"/>
      <c r="C22" s="329"/>
      <c r="D22" s="297"/>
      <c r="E22" s="291"/>
      <c r="F22" s="291"/>
      <c r="G22" s="291"/>
      <c r="H22" s="291"/>
      <c r="I22" s="291"/>
      <c r="J22" s="292"/>
    </row>
    <row r="23" spans="1:10" s="275" customFormat="1" ht="12.75" customHeight="1" thickBot="1" x14ac:dyDescent="0.3">
      <c r="A23" s="286"/>
      <c r="B23" s="300"/>
      <c r="C23" s="329"/>
      <c r="D23" s="301" t="s">
        <v>24</v>
      </c>
      <c r="E23" s="302">
        <f>SUM(E9:E22)</f>
        <v>15000</v>
      </c>
      <c r="F23" s="302"/>
      <c r="G23" s="302">
        <f>SUM(G9:G22)</f>
        <v>6065.4000000000005</v>
      </c>
      <c r="H23" s="302"/>
      <c r="I23" s="302">
        <f>E23-G23</f>
        <v>8934.5999999999985</v>
      </c>
      <c r="J23" s="292"/>
    </row>
    <row r="24" spans="1:10" s="275" customFormat="1" ht="12.75" customHeight="1" thickTop="1" x14ac:dyDescent="0.25"/>
    <row r="25" spans="1:10" s="275" customFormat="1" ht="12.75" customHeight="1" x14ac:dyDescent="0.25"/>
    <row r="26" spans="1:10" s="275"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62947-0B84-4A17-87FA-014E766CF9EF}">
  <sheetPr>
    <pageSetUpPr fitToPage="1"/>
  </sheetPr>
  <dimension ref="A1:I29"/>
  <sheetViews>
    <sheetView zoomScaleNormal="100" workbookViewId="0">
      <selection activeCell="D31" sqref="D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#9440.01'!B1</f>
        <v>DAS CC Historical Building Elevators Replacement PH1</v>
      </c>
      <c r="B1" s="3"/>
      <c r="C1" s="4"/>
      <c r="D1" s="4"/>
      <c r="E1" s="4"/>
      <c r="F1" s="33"/>
      <c r="G1" s="33"/>
      <c r="H1" s="34"/>
      <c r="I1" s="34"/>
    </row>
    <row r="2" spans="1:9" ht="15.75" x14ac:dyDescent="0.25">
      <c r="A2" s="6" t="str">
        <f>'RECAP #9440.01'!B2</f>
        <v>Project # 9440.01</v>
      </c>
      <c r="B2" s="5"/>
      <c r="C2" s="4"/>
      <c r="D2" s="4"/>
      <c r="E2" s="4"/>
      <c r="F2" s="33"/>
      <c r="G2" s="33"/>
      <c r="H2" s="34"/>
      <c r="I2" s="34"/>
    </row>
    <row r="3" spans="1:9" ht="15.75" x14ac:dyDescent="0.25">
      <c r="A3" s="7" t="str">
        <f>'RECAP #9440.01'!B3</f>
        <v>Program code 944001</v>
      </c>
      <c r="B3" s="5"/>
      <c r="C3" s="4"/>
      <c r="D3" s="8" t="str">
        <f>'RECAP #9440.01'!E3</f>
        <v xml:space="preserve">Major Program:  4D03 </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108</v>
      </c>
      <c r="E5" s="44"/>
      <c r="F5" s="45"/>
      <c r="G5" s="46"/>
      <c r="H5" s="41"/>
      <c r="I5" s="34"/>
    </row>
    <row r="6" spans="1:9" ht="15.75" x14ac:dyDescent="0.25">
      <c r="A6" s="13" t="str">
        <f>'RECAP #9440.01'!B6</f>
        <v>Project Manager - Brad T</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611</v>
      </c>
      <c r="B9" s="287">
        <v>46077</v>
      </c>
      <c r="C9" s="288" t="s">
        <v>111</v>
      </c>
      <c r="D9" s="289">
        <v>18399.16</v>
      </c>
      <c r="E9" s="290">
        <f>D9</f>
        <v>18399.16</v>
      </c>
      <c r="F9" s="291"/>
      <c r="G9" s="291"/>
      <c r="H9" s="291">
        <f>E9</f>
        <v>18399.16</v>
      </c>
      <c r="I9" s="292"/>
    </row>
    <row r="10" spans="1:9" s="275" customFormat="1" ht="12.75" customHeight="1" x14ac:dyDescent="0.25">
      <c r="A10" s="286"/>
      <c r="B10" s="293"/>
      <c r="C10" s="288"/>
      <c r="D10" s="290"/>
      <c r="E10" s="290">
        <f t="shared" ref="E10:E21" si="0">E9+D10</f>
        <v>18399.16</v>
      </c>
      <c r="F10" s="295"/>
      <c r="G10" s="291">
        <f t="shared" ref="G10:G21" si="1">G9+F10</f>
        <v>0</v>
      </c>
      <c r="H10" s="291">
        <f t="shared" ref="H10:H21" si="2">H9-F10+D10</f>
        <v>18399.16</v>
      </c>
      <c r="I10" s="292"/>
    </row>
    <row r="11" spans="1:9" s="275" customFormat="1" ht="12.75" customHeight="1" x14ac:dyDescent="0.25">
      <c r="A11" s="286"/>
      <c r="B11" s="287"/>
      <c r="C11" s="288"/>
      <c r="D11" s="290"/>
      <c r="E11" s="290">
        <f t="shared" si="0"/>
        <v>18399.16</v>
      </c>
      <c r="F11" s="295"/>
      <c r="G11" s="291">
        <f t="shared" si="1"/>
        <v>0</v>
      </c>
      <c r="H11" s="291">
        <f t="shared" si="2"/>
        <v>18399.16</v>
      </c>
      <c r="I11" s="292"/>
    </row>
    <row r="12" spans="1:9" s="275" customFormat="1" ht="12.75" customHeight="1" x14ac:dyDescent="0.25">
      <c r="A12" s="286"/>
      <c r="B12" s="287"/>
      <c r="C12" s="288"/>
      <c r="D12" s="290"/>
      <c r="E12" s="290">
        <f t="shared" si="0"/>
        <v>18399.16</v>
      </c>
      <c r="F12" s="295"/>
      <c r="G12" s="291">
        <f t="shared" si="1"/>
        <v>0</v>
      </c>
      <c r="H12" s="291">
        <f t="shared" si="2"/>
        <v>18399.16</v>
      </c>
      <c r="I12" s="292"/>
    </row>
    <row r="13" spans="1:9" s="275" customFormat="1" ht="12.75" customHeight="1" x14ac:dyDescent="0.25">
      <c r="A13" s="286"/>
      <c r="B13" s="287"/>
      <c r="C13" s="288"/>
      <c r="D13" s="290"/>
      <c r="E13" s="290">
        <f t="shared" si="0"/>
        <v>18399.16</v>
      </c>
      <c r="F13" s="295"/>
      <c r="G13" s="291">
        <f t="shared" si="1"/>
        <v>0</v>
      </c>
      <c r="H13" s="291">
        <f t="shared" si="2"/>
        <v>18399.16</v>
      </c>
      <c r="I13" s="292"/>
    </row>
    <row r="14" spans="1:9" s="275" customFormat="1" ht="12.75" customHeight="1" x14ac:dyDescent="0.25">
      <c r="A14" s="286"/>
      <c r="B14" s="287"/>
      <c r="C14" s="288"/>
      <c r="D14" s="290"/>
      <c r="E14" s="290">
        <f t="shared" si="0"/>
        <v>18399.16</v>
      </c>
      <c r="F14" s="291"/>
      <c r="G14" s="291">
        <f t="shared" si="1"/>
        <v>0</v>
      </c>
      <c r="H14" s="291">
        <f t="shared" si="2"/>
        <v>18399.16</v>
      </c>
      <c r="I14" s="292"/>
    </row>
    <row r="15" spans="1:9" s="275" customFormat="1" ht="12.75" customHeight="1" x14ac:dyDescent="0.25">
      <c r="A15" s="286"/>
      <c r="B15" s="287"/>
      <c r="C15" s="288"/>
      <c r="D15" s="290"/>
      <c r="E15" s="290">
        <f t="shared" si="0"/>
        <v>18399.16</v>
      </c>
      <c r="F15" s="295"/>
      <c r="G15" s="291">
        <f t="shared" si="1"/>
        <v>0</v>
      </c>
      <c r="H15" s="291">
        <f t="shared" si="2"/>
        <v>18399.16</v>
      </c>
      <c r="I15" s="292"/>
    </row>
    <row r="16" spans="1:9" s="275" customFormat="1" ht="12.75" customHeight="1" x14ac:dyDescent="0.25">
      <c r="A16" s="286"/>
      <c r="B16" s="287"/>
      <c r="C16" s="288"/>
      <c r="D16" s="290"/>
      <c r="E16" s="290">
        <f t="shared" si="0"/>
        <v>18399.16</v>
      </c>
      <c r="F16" s="295"/>
      <c r="G16" s="291">
        <f t="shared" si="1"/>
        <v>0</v>
      </c>
      <c r="H16" s="291">
        <f t="shared" si="2"/>
        <v>18399.16</v>
      </c>
      <c r="I16" s="292"/>
    </row>
    <row r="17" spans="1:9" s="275" customFormat="1" ht="12.75" customHeight="1" x14ac:dyDescent="0.25">
      <c r="A17" s="286"/>
      <c r="B17" s="287"/>
      <c r="C17" s="288"/>
      <c r="D17" s="290"/>
      <c r="E17" s="290">
        <f t="shared" si="0"/>
        <v>18399.16</v>
      </c>
      <c r="F17" s="295"/>
      <c r="G17" s="291">
        <f t="shared" si="1"/>
        <v>0</v>
      </c>
      <c r="H17" s="291">
        <f t="shared" si="2"/>
        <v>18399.16</v>
      </c>
      <c r="I17" s="292"/>
    </row>
    <row r="18" spans="1:9" s="275" customFormat="1" ht="12.75" customHeight="1" x14ac:dyDescent="0.25">
      <c r="A18" s="286"/>
      <c r="B18" s="287"/>
      <c r="C18" s="288"/>
      <c r="D18" s="290"/>
      <c r="E18" s="290">
        <f t="shared" si="0"/>
        <v>18399.16</v>
      </c>
      <c r="F18" s="295"/>
      <c r="G18" s="291">
        <f t="shared" si="1"/>
        <v>0</v>
      </c>
      <c r="H18" s="291">
        <f t="shared" si="2"/>
        <v>18399.16</v>
      </c>
      <c r="I18" s="292"/>
    </row>
    <row r="19" spans="1:9" s="275" customFormat="1" ht="12.75" customHeight="1" x14ac:dyDescent="0.25">
      <c r="A19" s="286"/>
      <c r="B19" s="287"/>
      <c r="C19" s="288"/>
      <c r="D19" s="290"/>
      <c r="E19" s="290">
        <f t="shared" si="0"/>
        <v>18399.16</v>
      </c>
      <c r="F19" s="291"/>
      <c r="G19" s="291">
        <f t="shared" si="1"/>
        <v>0</v>
      </c>
      <c r="H19" s="291">
        <f t="shared" si="2"/>
        <v>18399.16</v>
      </c>
      <c r="I19" s="292"/>
    </row>
    <row r="20" spans="1:9" s="275" customFormat="1" ht="12.75" customHeight="1" x14ac:dyDescent="0.25">
      <c r="A20" s="286"/>
      <c r="B20" s="287"/>
      <c r="C20" s="288"/>
      <c r="D20" s="290"/>
      <c r="E20" s="290">
        <f t="shared" si="0"/>
        <v>18399.16</v>
      </c>
      <c r="F20" s="291"/>
      <c r="G20" s="291">
        <f t="shared" si="1"/>
        <v>0</v>
      </c>
      <c r="H20" s="291">
        <f t="shared" si="2"/>
        <v>18399.16</v>
      </c>
      <c r="I20" s="292"/>
    </row>
    <row r="21" spans="1:9" s="275" customFormat="1" ht="12.75" customHeight="1" x14ac:dyDescent="0.25">
      <c r="A21" s="286"/>
      <c r="B21" s="287"/>
      <c r="C21" s="296"/>
      <c r="D21" s="290"/>
      <c r="E21" s="290">
        <f t="shared" si="0"/>
        <v>18399.16</v>
      </c>
      <c r="F21" s="291"/>
      <c r="G21" s="291">
        <f t="shared" si="1"/>
        <v>0</v>
      </c>
      <c r="H21" s="291">
        <f t="shared" si="2"/>
        <v>18399.16</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18399.16</v>
      </c>
      <c r="E23" s="302"/>
      <c r="F23" s="302">
        <f>SUM(F9:F22)</f>
        <v>0</v>
      </c>
      <c r="G23" s="302"/>
      <c r="H23" s="302">
        <f>D23-F23</f>
        <v>18399.16</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17339.16</v>
      </c>
      <c r="E26" s="313"/>
      <c r="F26" s="313"/>
      <c r="G26" s="313"/>
      <c r="H26" s="313">
        <f>D26-F26</f>
        <v>17339.16</v>
      </c>
      <c r="I26" s="292"/>
    </row>
    <row r="27" spans="1:9" s="275" customFormat="1" ht="12.75" customHeight="1" x14ac:dyDescent="0.25">
      <c r="A27" s="286"/>
      <c r="B27" s="288"/>
      <c r="C27" s="312" t="s">
        <v>113</v>
      </c>
      <c r="D27" s="313">
        <v>1000</v>
      </c>
      <c r="E27" s="313"/>
      <c r="F27" s="313"/>
      <c r="G27" s="313"/>
      <c r="H27" s="313">
        <f>D27-F27</f>
        <v>1000</v>
      </c>
      <c r="I27" s="292"/>
    </row>
    <row r="28" spans="1:9" s="275" customFormat="1" ht="12.75" customHeight="1" thickBot="1" x14ac:dyDescent="0.3">
      <c r="A28" s="286"/>
      <c r="B28" s="288"/>
      <c r="C28" s="314" t="s">
        <v>67</v>
      </c>
      <c r="D28" s="315">
        <f>SUM(D26:D27)</f>
        <v>18339.16</v>
      </c>
      <c r="E28" s="316"/>
      <c r="F28" s="315">
        <f>SUM(F26:F27)</f>
        <v>0</v>
      </c>
      <c r="G28" s="316"/>
      <c r="H28" s="315">
        <f>SUM(H26:H27)</f>
        <v>18339.16</v>
      </c>
      <c r="I28" s="292"/>
    </row>
    <row r="29" spans="1:9" s="275" customFormat="1" ht="12.75" customHeight="1" thickTop="1" x14ac:dyDescent="0.25"/>
  </sheetData>
  <conditionalFormatting sqref="I8:I23">
    <cfRule type="cellIs" dxfId="56" priority="1" operator="greaterThan">
      <formula>$H$23</formula>
    </cfRule>
  </conditionalFormatting>
  <pageMargins left="0.25" right="0.25" top="0.95" bottom="0.75" header="0.09" footer="0.3"/>
  <pageSetup scale="7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9FD8-612E-492B-801F-E5DD60442549}">
  <sheetPr>
    <tabColor indexed="30"/>
    <pageSetUpPr fitToPage="1"/>
  </sheetPr>
  <dimension ref="A1:H23"/>
  <sheetViews>
    <sheetView zoomScaleNormal="100" workbookViewId="0">
      <selection activeCell="E6" sqref="E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#9499.00'!B1</f>
        <v>IPBS 6535 Corporate Drive Parking Lot Replacement</v>
      </c>
      <c r="B1" s="3"/>
      <c r="C1" s="3"/>
      <c r="D1" s="3"/>
      <c r="E1" s="4"/>
      <c r="F1" s="4"/>
      <c r="G1" s="4"/>
      <c r="H1" s="33"/>
    </row>
    <row r="2" spans="1:8" ht="15.75" x14ac:dyDescent="0.25">
      <c r="A2" s="6" t="str">
        <f>'RECAP #9499.00'!B2</f>
        <v>Project # 9499.00</v>
      </c>
      <c r="B2" s="5"/>
      <c r="C2" s="5"/>
      <c r="D2" s="5"/>
      <c r="E2" s="4"/>
      <c r="F2" s="4"/>
      <c r="G2" s="4"/>
      <c r="H2" s="33"/>
    </row>
    <row r="3" spans="1:8" ht="15.75" x14ac:dyDescent="0.25">
      <c r="A3" s="7" t="str">
        <f>'RECAP #9499.00'!B3</f>
        <v>Program code 949900</v>
      </c>
      <c r="B3" s="5"/>
      <c r="C3" s="5"/>
      <c r="D3" s="5"/>
      <c r="E3" s="8" t="str">
        <f>'RECAP #9499.00'!E3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742</v>
      </c>
      <c r="F6" s="41"/>
      <c r="G6" s="44"/>
      <c r="H6" s="45"/>
    </row>
    <row r="7" spans="1:8" ht="15.75" x14ac:dyDescent="0.25">
      <c r="A7" s="13" t="str">
        <f>'RECAP #9499.00'!B6</f>
        <v>Project Manager -  Oliver S (BA)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27A6F-3F6E-4F74-866D-11FC2F869313}">
  <sheetPr>
    <pageSetUpPr fitToPage="1"/>
  </sheetPr>
  <dimension ref="A1:I33"/>
  <sheetViews>
    <sheetView zoomScaleNormal="100" workbookViewId="0">
      <selection activeCell="M21" sqref="M2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33"/>
      <c r="G1" s="33"/>
      <c r="H1" s="34"/>
      <c r="I1" s="34"/>
    </row>
    <row r="2" spans="1:9" ht="15.75" x14ac:dyDescent="0.25">
      <c r="A2" s="6" t="str">
        <f>'RECAP #9499.00'!B2</f>
        <v>Project # 9499.00</v>
      </c>
      <c r="B2" s="5"/>
      <c r="C2" s="4"/>
      <c r="D2" s="4"/>
      <c r="E2" s="4"/>
      <c r="F2" s="33"/>
      <c r="G2" s="33"/>
      <c r="H2" s="34"/>
      <c r="I2" s="34"/>
    </row>
    <row r="3" spans="1:9" ht="15.75" x14ac:dyDescent="0.25">
      <c r="A3" s="7" t="str">
        <f>'RECAP #9499.00'!B3</f>
        <v>Program code 949900</v>
      </c>
      <c r="B3" s="5"/>
      <c r="C3" s="4"/>
      <c r="D3" s="8" t="str">
        <f>'RECAP #9499.00'!E3</f>
        <v>Major Program 4E19</v>
      </c>
      <c r="E3" s="4"/>
      <c r="F3" s="33"/>
      <c r="G3" s="33"/>
      <c r="H3" s="34"/>
      <c r="I3" s="34"/>
    </row>
    <row r="4" spans="1:9" ht="15.75" x14ac:dyDescent="0.25">
      <c r="A4" s="35" t="s">
        <v>430</v>
      </c>
      <c r="B4" s="36"/>
      <c r="C4" s="37"/>
      <c r="D4" s="38" t="s">
        <v>431</v>
      </c>
      <c r="E4" s="39"/>
      <c r="F4" s="33"/>
      <c r="G4" s="33"/>
      <c r="H4" s="34"/>
      <c r="I4" s="34"/>
    </row>
    <row r="5" spans="1:9" ht="15.75" x14ac:dyDescent="0.25">
      <c r="A5" s="40" t="s">
        <v>117</v>
      </c>
      <c r="B5" s="41"/>
      <c r="C5" s="42"/>
      <c r="D5" s="43" t="s">
        <v>432</v>
      </c>
      <c r="E5" s="44"/>
      <c r="F5" s="45"/>
      <c r="G5" s="46"/>
      <c r="H5" s="41"/>
      <c r="I5" s="34"/>
    </row>
    <row r="6" spans="1:9" ht="15.75" x14ac:dyDescent="0.25">
      <c r="A6" s="13" t="str">
        <f>'RECAP #9499.00'!B6</f>
        <v>Project Manager -  Oliver S (BA)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464</v>
      </c>
      <c r="B9" s="287">
        <v>46045</v>
      </c>
      <c r="C9" s="288" t="s">
        <v>111</v>
      </c>
      <c r="D9" s="289">
        <v>33530</v>
      </c>
      <c r="E9" s="290">
        <f>D9</f>
        <v>33530</v>
      </c>
      <c r="F9" s="291"/>
      <c r="G9" s="291"/>
      <c r="H9" s="291">
        <f>E9</f>
        <v>33530</v>
      </c>
      <c r="I9" s="292"/>
    </row>
    <row r="10" spans="1:9" s="275" customFormat="1" ht="12.75" customHeight="1" x14ac:dyDescent="0.25">
      <c r="A10" s="286" t="s">
        <v>595</v>
      </c>
      <c r="B10" s="293">
        <v>46073</v>
      </c>
      <c r="C10" s="288" t="s">
        <v>402</v>
      </c>
      <c r="D10" s="290"/>
      <c r="E10" s="290">
        <f t="shared" ref="E10:E21" si="0">E9+D10</f>
        <v>33530</v>
      </c>
      <c r="F10" s="294">
        <v>14300</v>
      </c>
      <c r="G10" s="291">
        <f t="shared" ref="G10:G21" si="1">G9+F10</f>
        <v>14300</v>
      </c>
      <c r="H10" s="291">
        <f t="shared" ref="H10:H21" si="2">H9-F10+D10</f>
        <v>19230</v>
      </c>
      <c r="I10" s="292"/>
    </row>
    <row r="11" spans="1:9" s="275" customFormat="1" ht="12.75" customHeight="1" x14ac:dyDescent="0.25">
      <c r="A11" s="286" t="s">
        <v>734</v>
      </c>
      <c r="B11" s="287">
        <v>46107</v>
      </c>
      <c r="C11" s="288" t="s">
        <v>573</v>
      </c>
      <c r="D11" s="290"/>
      <c r="E11" s="290">
        <f t="shared" si="0"/>
        <v>33530</v>
      </c>
      <c r="F11" s="294">
        <v>10420</v>
      </c>
      <c r="G11" s="291">
        <f t="shared" si="1"/>
        <v>24720</v>
      </c>
      <c r="H11" s="291">
        <f t="shared" si="2"/>
        <v>8810</v>
      </c>
      <c r="I11" s="292"/>
    </row>
    <row r="12" spans="1:9" s="275" customFormat="1" ht="12.75" customHeight="1" x14ac:dyDescent="0.25">
      <c r="A12" s="286"/>
      <c r="B12" s="287"/>
      <c r="C12" s="288"/>
      <c r="D12" s="290"/>
      <c r="E12" s="290">
        <f t="shared" si="0"/>
        <v>33530</v>
      </c>
      <c r="F12" s="295"/>
      <c r="G12" s="291">
        <f t="shared" si="1"/>
        <v>24720</v>
      </c>
      <c r="H12" s="291">
        <f t="shared" si="2"/>
        <v>8810</v>
      </c>
      <c r="I12" s="292"/>
    </row>
    <row r="13" spans="1:9" s="275" customFormat="1" ht="12.75" customHeight="1" x14ac:dyDescent="0.25">
      <c r="A13" s="286"/>
      <c r="B13" s="287"/>
      <c r="C13" s="288"/>
      <c r="D13" s="290"/>
      <c r="E13" s="290">
        <f t="shared" si="0"/>
        <v>33530</v>
      </c>
      <c r="F13" s="295"/>
      <c r="G13" s="291">
        <f t="shared" si="1"/>
        <v>24720</v>
      </c>
      <c r="H13" s="291">
        <f t="shared" si="2"/>
        <v>8810</v>
      </c>
      <c r="I13" s="292"/>
    </row>
    <row r="14" spans="1:9" s="275" customFormat="1" ht="12.75" customHeight="1" x14ac:dyDescent="0.25">
      <c r="A14" s="286"/>
      <c r="B14" s="287"/>
      <c r="C14" s="288"/>
      <c r="D14" s="290"/>
      <c r="E14" s="290">
        <f t="shared" si="0"/>
        <v>33530</v>
      </c>
      <c r="F14" s="291"/>
      <c r="G14" s="291">
        <f t="shared" si="1"/>
        <v>24720</v>
      </c>
      <c r="H14" s="291">
        <f t="shared" si="2"/>
        <v>8810</v>
      </c>
      <c r="I14" s="292"/>
    </row>
    <row r="15" spans="1:9" s="275" customFormat="1" ht="12.75" customHeight="1" x14ac:dyDescent="0.25">
      <c r="A15" s="286"/>
      <c r="B15" s="287"/>
      <c r="C15" s="288"/>
      <c r="D15" s="290"/>
      <c r="E15" s="290">
        <f t="shared" si="0"/>
        <v>33530</v>
      </c>
      <c r="F15" s="295"/>
      <c r="G15" s="291">
        <f t="shared" si="1"/>
        <v>24720</v>
      </c>
      <c r="H15" s="291">
        <f t="shared" si="2"/>
        <v>8810</v>
      </c>
      <c r="I15" s="292"/>
    </row>
    <row r="16" spans="1:9" s="275" customFormat="1" ht="12.75" customHeight="1" x14ac:dyDescent="0.25">
      <c r="A16" s="286"/>
      <c r="B16" s="287"/>
      <c r="C16" s="288"/>
      <c r="D16" s="290"/>
      <c r="E16" s="290">
        <f t="shared" si="0"/>
        <v>33530</v>
      </c>
      <c r="F16" s="295"/>
      <c r="G16" s="291">
        <f t="shared" si="1"/>
        <v>24720</v>
      </c>
      <c r="H16" s="291">
        <f t="shared" si="2"/>
        <v>8810</v>
      </c>
      <c r="I16" s="292"/>
    </row>
    <row r="17" spans="1:9" s="275" customFormat="1" ht="12.75" customHeight="1" x14ac:dyDescent="0.25">
      <c r="A17" s="286"/>
      <c r="B17" s="287"/>
      <c r="C17" s="288"/>
      <c r="D17" s="290"/>
      <c r="E17" s="290">
        <f t="shared" si="0"/>
        <v>33530</v>
      </c>
      <c r="F17" s="295"/>
      <c r="G17" s="291">
        <f t="shared" si="1"/>
        <v>24720</v>
      </c>
      <c r="H17" s="291">
        <f t="shared" si="2"/>
        <v>8810</v>
      </c>
      <c r="I17" s="292"/>
    </row>
    <row r="18" spans="1:9" s="275" customFormat="1" ht="12.75" customHeight="1" x14ac:dyDescent="0.25">
      <c r="A18" s="286"/>
      <c r="B18" s="287"/>
      <c r="C18" s="288"/>
      <c r="D18" s="290"/>
      <c r="E18" s="290">
        <f t="shared" si="0"/>
        <v>33530</v>
      </c>
      <c r="F18" s="295"/>
      <c r="G18" s="291">
        <f t="shared" si="1"/>
        <v>24720</v>
      </c>
      <c r="H18" s="291">
        <f t="shared" si="2"/>
        <v>8810</v>
      </c>
      <c r="I18" s="292"/>
    </row>
    <row r="19" spans="1:9" s="275" customFormat="1" ht="12.75" customHeight="1" x14ac:dyDescent="0.25">
      <c r="A19" s="286"/>
      <c r="B19" s="287"/>
      <c r="C19" s="288"/>
      <c r="D19" s="290"/>
      <c r="E19" s="290">
        <f t="shared" si="0"/>
        <v>33530</v>
      </c>
      <c r="F19" s="291"/>
      <c r="G19" s="291">
        <f t="shared" si="1"/>
        <v>24720</v>
      </c>
      <c r="H19" s="291">
        <f t="shared" si="2"/>
        <v>8810</v>
      </c>
      <c r="I19" s="292"/>
    </row>
    <row r="20" spans="1:9" s="275" customFormat="1" ht="12.75" customHeight="1" x14ac:dyDescent="0.25">
      <c r="A20" s="286"/>
      <c r="B20" s="287"/>
      <c r="C20" s="288"/>
      <c r="D20" s="290"/>
      <c r="E20" s="290">
        <f t="shared" si="0"/>
        <v>33530</v>
      </c>
      <c r="F20" s="291"/>
      <c r="G20" s="291">
        <f t="shared" si="1"/>
        <v>24720</v>
      </c>
      <c r="H20" s="291">
        <f t="shared" si="2"/>
        <v>8810</v>
      </c>
      <c r="I20" s="292"/>
    </row>
    <row r="21" spans="1:9" s="275" customFormat="1" ht="12.75" customHeight="1" x14ac:dyDescent="0.25">
      <c r="A21" s="286"/>
      <c r="B21" s="287"/>
      <c r="C21" s="296"/>
      <c r="D21" s="290"/>
      <c r="E21" s="290">
        <f t="shared" si="0"/>
        <v>33530</v>
      </c>
      <c r="F21" s="291"/>
      <c r="G21" s="291">
        <f t="shared" si="1"/>
        <v>24720</v>
      </c>
      <c r="H21" s="291">
        <f t="shared" si="2"/>
        <v>8810</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33530</v>
      </c>
      <c r="E23" s="302"/>
      <c r="F23" s="302">
        <f>SUM(F9:F22)</f>
        <v>24720</v>
      </c>
      <c r="G23" s="302"/>
      <c r="H23" s="302">
        <f>D23-F23</f>
        <v>8810</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297" t="s">
        <v>465</v>
      </c>
      <c r="D26" s="291">
        <v>2000</v>
      </c>
      <c r="E26" s="291"/>
      <c r="F26" s="291">
        <f>2000</f>
        <v>2000</v>
      </c>
      <c r="G26" s="291"/>
      <c r="H26" s="291">
        <f>D26-F26</f>
        <v>0</v>
      </c>
      <c r="I26" s="292"/>
    </row>
    <row r="27" spans="1:9" s="275" customFormat="1" ht="12.75" customHeight="1" x14ac:dyDescent="0.25">
      <c r="A27" s="286"/>
      <c r="B27" s="288"/>
      <c r="C27" s="297" t="s">
        <v>466</v>
      </c>
      <c r="D27" s="291">
        <v>3200</v>
      </c>
      <c r="E27" s="291"/>
      <c r="F27" s="291">
        <f>3200</f>
        <v>3200</v>
      </c>
      <c r="G27" s="291"/>
      <c r="H27" s="291">
        <f t="shared" ref="H27:H31" si="3">D27-F27</f>
        <v>0</v>
      </c>
      <c r="I27" s="292"/>
    </row>
    <row r="28" spans="1:9" s="275" customFormat="1" ht="12.75" customHeight="1" x14ac:dyDescent="0.25">
      <c r="A28" s="286"/>
      <c r="B28" s="288"/>
      <c r="C28" s="297" t="s">
        <v>467</v>
      </c>
      <c r="D28" s="291">
        <v>9100</v>
      </c>
      <c r="E28" s="291"/>
      <c r="F28" s="291">
        <f>9100</f>
        <v>9100</v>
      </c>
      <c r="G28" s="291"/>
      <c r="H28" s="291">
        <f t="shared" si="3"/>
        <v>0</v>
      </c>
      <c r="I28" s="292"/>
    </row>
    <row r="29" spans="1:9" s="275" customFormat="1" ht="12.75" customHeight="1" x14ac:dyDescent="0.25">
      <c r="A29" s="286"/>
      <c r="B29" s="288"/>
      <c r="C29" s="297" t="s">
        <v>408</v>
      </c>
      <c r="D29" s="291">
        <v>10420</v>
      </c>
      <c r="E29" s="291"/>
      <c r="F29" s="291">
        <f>10420</f>
        <v>10420</v>
      </c>
      <c r="G29" s="291"/>
      <c r="H29" s="291">
        <f t="shared" si="3"/>
        <v>0</v>
      </c>
      <c r="I29" s="292"/>
    </row>
    <row r="30" spans="1:9" s="275" customFormat="1" ht="12.75" customHeight="1" x14ac:dyDescent="0.25">
      <c r="A30" s="286"/>
      <c r="B30" s="288"/>
      <c r="C30" s="312" t="s">
        <v>308</v>
      </c>
      <c r="D30" s="313">
        <v>2350</v>
      </c>
      <c r="E30" s="313"/>
      <c r="F30" s="313"/>
      <c r="G30" s="313"/>
      <c r="H30" s="291">
        <f t="shared" si="3"/>
        <v>2350</v>
      </c>
      <c r="I30" s="292"/>
    </row>
    <row r="31" spans="1:9" s="275" customFormat="1" ht="12.75" customHeight="1" x14ac:dyDescent="0.25">
      <c r="A31" s="286"/>
      <c r="B31" s="288"/>
      <c r="C31" s="312" t="s">
        <v>125</v>
      </c>
      <c r="D31" s="313">
        <v>6460</v>
      </c>
      <c r="E31" s="313"/>
      <c r="F31" s="313"/>
      <c r="G31" s="313"/>
      <c r="H31" s="291">
        <f t="shared" si="3"/>
        <v>6460</v>
      </c>
      <c r="I31" s="292"/>
    </row>
    <row r="32" spans="1:9" s="275" customFormat="1" ht="12.75" customHeight="1" thickBot="1" x14ac:dyDescent="0.3">
      <c r="A32" s="286"/>
      <c r="B32" s="288"/>
      <c r="C32" s="314" t="s">
        <v>67</v>
      </c>
      <c r="D32" s="315">
        <f>SUM(D26:D31)</f>
        <v>33530</v>
      </c>
      <c r="E32" s="316"/>
      <c r="F32" s="315">
        <f>SUM(F26:F31)</f>
        <v>24720</v>
      </c>
      <c r="G32" s="316"/>
      <c r="H32" s="315">
        <f>SUM(H26:H31)</f>
        <v>8810</v>
      </c>
      <c r="I32" s="292"/>
    </row>
    <row r="33" s="275" customFormat="1" ht="12.75" customHeight="1" thickTop="1" x14ac:dyDescent="0.25"/>
  </sheetData>
  <conditionalFormatting sqref="I8:I23">
    <cfRule type="cellIs" dxfId="36"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BECE1-41B0-4E6D-B170-2B7E42D1F2E8}">
  <sheetPr>
    <pageSetUpPr fitToPage="1"/>
  </sheetPr>
  <dimension ref="A1:I29"/>
  <sheetViews>
    <sheetView zoomScaleNormal="100" workbookViewId="0">
      <selection activeCell="A14" sqref="A1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33"/>
      <c r="G1" s="33"/>
      <c r="H1" s="34"/>
      <c r="I1" s="34"/>
    </row>
    <row r="2" spans="1:9" ht="15.75" x14ac:dyDescent="0.25">
      <c r="A2" s="6" t="str">
        <f>'RECAP #9499.00'!B2</f>
        <v>Project # 9499.00</v>
      </c>
      <c r="B2" s="5"/>
      <c r="C2" s="4"/>
      <c r="D2" s="4"/>
      <c r="E2" s="4"/>
      <c r="F2" s="33"/>
      <c r="G2" s="33"/>
      <c r="H2" s="34"/>
      <c r="I2" s="34"/>
    </row>
    <row r="3" spans="1:9" ht="15.75" x14ac:dyDescent="0.25">
      <c r="A3" s="7" t="str">
        <f>'RECAP #9499.00'!B3</f>
        <v>Program code 949900</v>
      </c>
      <c r="B3" s="5"/>
      <c r="C3" s="4"/>
      <c r="D3" s="8" t="str">
        <f>'RECAP #9499.00'!E3</f>
        <v>Major Program 4E19</v>
      </c>
      <c r="E3" s="4"/>
      <c r="F3" s="33"/>
      <c r="G3" s="33"/>
      <c r="H3" s="34"/>
      <c r="I3" s="34"/>
    </row>
    <row r="4" spans="1:9" ht="15.75" x14ac:dyDescent="0.25">
      <c r="A4" s="35" t="s">
        <v>740</v>
      </c>
      <c r="B4" s="36"/>
      <c r="C4" s="37"/>
      <c r="D4" s="38" t="s">
        <v>360</v>
      </c>
      <c r="E4" s="39"/>
      <c r="F4" s="33"/>
      <c r="G4" s="33"/>
      <c r="H4" s="34"/>
      <c r="I4" s="34"/>
    </row>
    <row r="5" spans="1:9" ht="15.75" x14ac:dyDescent="0.25">
      <c r="A5" s="40" t="s">
        <v>106</v>
      </c>
      <c r="B5" s="41"/>
      <c r="C5" s="42"/>
      <c r="D5" s="43" t="s">
        <v>361</v>
      </c>
      <c r="E5" s="44"/>
      <c r="F5" s="45"/>
      <c r="G5" s="46"/>
      <c r="H5" s="41"/>
      <c r="I5" s="34"/>
    </row>
    <row r="6" spans="1:9" ht="15.75" x14ac:dyDescent="0.25">
      <c r="A6" s="13" t="str">
        <f>'RECAP #9499.00'!B6</f>
        <v>Project Manager -  Oliver S (BA)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741</v>
      </c>
      <c r="B9" s="287">
        <v>46111</v>
      </c>
      <c r="C9" s="288" t="s">
        <v>111</v>
      </c>
      <c r="D9" s="289">
        <v>29267.48</v>
      </c>
      <c r="E9" s="290">
        <f>D9</f>
        <v>29267.48</v>
      </c>
      <c r="F9" s="291"/>
      <c r="G9" s="291"/>
      <c r="H9" s="291">
        <f>E9</f>
        <v>29267.48</v>
      </c>
      <c r="I9" s="292"/>
    </row>
    <row r="10" spans="1:9" s="275" customFormat="1" ht="12.75" customHeight="1" x14ac:dyDescent="0.25">
      <c r="A10" s="286"/>
      <c r="B10" s="293"/>
      <c r="C10" s="288"/>
      <c r="D10" s="290"/>
      <c r="E10" s="290">
        <f t="shared" ref="E10:E21" si="0">E9+D10</f>
        <v>29267.48</v>
      </c>
      <c r="F10" s="294"/>
      <c r="G10" s="291">
        <f t="shared" ref="G10:G21" si="1">G9+F10</f>
        <v>0</v>
      </c>
      <c r="H10" s="291">
        <f t="shared" ref="H10:H21" si="2">H9-F10+D10</f>
        <v>29267.48</v>
      </c>
      <c r="I10" s="292"/>
    </row>
    <row r="11" spans="1:9" s="275" customFormat="1" ht="12.75" customHeight="1" x14ac:dyDescent="0.25">
      <c r="A11" s="286"/>
      <c r="B11" s="287"/>
      <c r="C11" s="288"/>
      <c r="D11" s="290"/>
      <c r="E11" s="290">
        <f t="shared" si="0"/>
        <v>29267.48</v>
      </c>
      <c r="F11" s="294"/>
      <c r="G11" s="291">
        <f t="shared" si="1"/>
        <v>0</v>
      </c>
      <c r="H11" s="291">
        <f t="shared" si="2"/>
        <v>29267.48</v>
      </c>
      <c r="I11" s="292"/>
    </row>
    <row r="12" spans="1:9" s="275" customFormat="1" ht="12.75" customHeight="1" x14ac:dyDescent="0.25">
      <c r="A12" s="286"/>
      <c r="B12" s="287"/>
      <c r="C12" s="288"/>
      <c r="D12" s="290"/>
      <c r="E12" s="290">
        <f t="shared" si="0"/>
        <v>29267.48</v>
      </c>
      <c r="F12" s="294"/>
      <c r="G12" s="291">
        <f t="shared" si="1"/>
        <v>0</v>
      </c>
      <c r="H12" s="291">
        <f t="shared" si="2"/>
        <v>29267.48</v>
      </c>
      <c r="I12" s="292"/>
    </row>
    <row r="13" spans="1:9" s="275" customFormat="1" ht="12.75" customHeight="1" x14ac:dyDescent="0.25">
      <c r="A13" s="286"/>
      <c r="B13" s="287"/>
      <c r="C13" s="288"/>
      <c r="D13" s="290"/>
      <c r="E13" s="290">
        <f t="shared" si="0"/>
        <v>29267.48</v>
      </c>
      <c r="F13" s="295"/>
      <c r="G13" s="291">
        <f t="shared" si="1"/>
        <v>0</v>
      </c>
      <c r="H13" s="291">
        <f t="shared" si="2"/>
        <v>29267.48</v>
      </c>
      <c r="I13" s="292"/>
    </row>
    <row r="14" spans="1:9" s="275" customFormat="1" ht="12.75" customHeight="1" x14ac:dyDescent="0.25">
      <c r="A14" s="286"/>
      <c r="B14" s="287"/>
      <c r="C14" s="288"/>
      <c r="D14" s="290"/>
      <c r="E14" s="290">
        <f t="shared" si="0"/>
        <v>29267.48</v>
      </c>
      <c r="F14" s="291"/>
      <c r="G14" s="291">
        <f t="shared" si="1"/>
        <v>0</v>
      </c>
      <c r="H14" s="291">
        <f t="shared" si="2"/>
        <v>29267.48</v>
      </c>
      <c r="I14" s="292"/>
    </row>
    <row r="15" spans="1:9" s="275" customFormat="1" ht="12.75" customHeight="1" x14ac:dyDescent="0.25">
      <c r="A15" s="286"/>
      <c r="B15" s="287"/>
      <c r="C15" s="288"/>
      <c r="D15" s="290"/>
      <c r="E15" s="290">
        <f t="shared" si="0"/>
        <v>29267.48</v>
      </c>
      <c r="F15" s="295"/>
      <c r="G15" s="291">
        <f t="shared" si="1"/>
        <v>0</v>
      </c>
      <c r="H15" s="291">
        <f t="shared" si="2"/>
        <v>29267.48</v>
      </c>
      <c r="I15" s="292"/>
    </row>
    <row r="16" spans="1:9" s="275" customFormat="1" ht="12.75" customHeight="1" x14ac:dyDescent="0.25">
      <c r="A16" s="286"/>
      <c r="B16" s="287"/>
      <c r="C16" s="288"/>
      <c r="D16" s="290"/>
      <c r="E16" s="290">
        <f t="shared" si="0"/>
        <v>29267.48</v>
      </c>
      <c r="F16" s="295"/>
      <c r="G16" s="291">
        <f t="shared" si="1"/>
        <v>0</v>
      </c>
      <c r="H16" s="291">
        <f t="shared" si="2"/>
        <v>29267.48</v>
      </c>
      <c r="I16" s="292"/>
    </row>
    <row r="17" spans="1:9" s="275" customFormat="1" ht="12.75" customHeight="1" x14ac:dyDescent="0.25">
      <c r="A17" s="286"/>
      <c r="B17" s="287"/>
      <c r="C17" s="288"/>
      <c r="D17" s="290"/>
      <c r="E17" s="290">
        <f t="shared" si="0"/>
        <v>29267.48</v>
      </c>
      <c r="F17" s="295"/>
      <c r="G17" s="291">
        <f t="shared" si="1"/>
        <v>0</v>
      </c>
      <c r="H17" s="291">
        <f t="shared" si="2"/>
        <v>29267.48</v>
      </c>
      <c r="I17" s="292"/>
    </row>
    <row r="18" spans="1:9" s="275" customFormat="1" ht="12.75" customHeight="1" x14ac:dyDescent="0.25">
      <c r="A18" s="286"/>
      <c r="B18" s="287"/>
      <c r="C18" s="288"/>
      <c r="D18" s="290"/>
      <c r="E18" s="290">
        <f t="shared" si="0"/>
        <v>29267.48</v>
      </c>
      <c r="F18" s="295"/>
      <c r="G18" s="291">
        <f t="shared" si="1"/>
        <v>0</v>
      </c>
      <c r="H18" s="291">
        <f t="shared" si="2"/>
        <v>29267.48</v>
      </c>
      <c r="I18" s="292"/>
    </row>
    <row r="19" spans="1:9" s="275" customFormat="1" ht="12.75" customHeight="1" x14ac:dyDescent="0.25">
      <c r="A19" s="286"/>
      <c r="B19" s="287"/>
      <c r="C19" s="288"/>
      <c r="D19" s="290"/>
      <c r="E19" s="290">
        <f t="shared" si="0"/>
        <v>29267.48</v>
      </c>
      <c r="F19" s="291"/>
      <c r="G19" s="291">
        <f t="shared" si="1"/>
        <v>0</v>
      </c>
      <c r="H19" s="291">
        <f t="shared" si="2"/>
        <v>29267.48</v>
      </c>
      <c r="I19" s="292"/>
    </row>
    <row r="20" spans="1:9" s="275" customFormat="1" ht="12.75" customHeight="1" x14ac:dyDescent="0.25">
      <c r="A20" s="286"/>
      <c r="B20" s="287"/>
      <c r="C20" s="288"/>
      <c r="D20" s="290"/>
      <c r="E20" s="290">
        <f t="shared" si="0"/>
        <v>29267.48</v>
      </c>
      <c r="F20" s="291"/>
      <c r="G20" s="291">
        <f t="shared" si="1"/>
        <v>0</v>
      </c>
      <c r="H20" s="291">
        <f t="shared" si="2"/>
        <v>29267.48</v>
      </c>
      <c r="I20" s="292"/>
    </row>
    <row r="21" spans="1:9" s="275" customFormat="1" ht="12.75" customHeight="1" x14ac:dyDescent="0.25">
      <c r="A21" s="286"/>
      <c r="B21" s="287"/>
      <c r="C21" s="296"/>
      <c r="D21" s="290"/>
      <c r="E21" s="290">
        <f t="shared" si="0"/>
        <v>29267.48</v>
      </c>
      <c r="F21" s="291"/>
      <c r="G21" s="291">
        <f t="shared" si="1"/>
        <v>0</v>
      </c>
      <c r="H21" s="291">
        <f t="shared" si="2"/>
        <v>29267.48</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29267.48</v>
      </c>
      <c r="E23" s="302"/>
      <c r="F23" s="302">
        <f>SUM(F9:F22)</f>
        <v>0</v>
      </c>
      <c r="G23" s="302"/>
      <c r="H23" s="302">
        <f>D23-F23</f>
        <v>29267.48</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29141.48</v>
      </c>
      <c r="E26" s="313"/>
      <c r="F26" s="313"/>
      <c r="G26" s="313"/>
      <c r="H26" s="313">
        <f>D26-F26</f>
        <v>29141.48</v>
      </c>
      <c r="I26" s="292"/>
    </row>
    <row r="27" spans="1:9" s="275" customFormat="1" ht="12.75" customHeight="1" x14ac:dyDescent="0.25">
      <c r="A27" s="286"/>
      <c r="B27" s="288"/>
      <c r="C27" s="312" t="s">
        <v>113</v>
      </c>
      <c r="D27" s="313">
        <v>126</v>
      </c>
      <c r="E27" s="313"/>
      <c r="F27" s="313"/>
      <c r="G27" s="313"/>
      <c r="H27" s="313">
        <f>D27-F27</f>
        <v>126</v>
      </c>
      <c r="I27" s="292"/>
    </row>
    <row r="28" spans="1:9" s="275" customFormat="1" ht="12.75" customHeight="1" thickBot="1" x14ac:dyDescent="0.3">
      <c r="A28" s="286"/>
      <c r="B28" s="288"/>
      <c r="C28" s="314" t="s">
        <v>67</v>
      </c>
      <c r="D28" s="315">
        <f>SUM(D26:D27)</f>
        <v>29267.48</v>
      </c>
      <c r="E28" s="316"/>
      <c r="F28" s="315">
        <f>SUM(F26:F27)</f>
        <v>0</v>
      </c>
      <c r="G28" s="316"/>
      <c r="H28" s="315">
        <f>SUM(H26:H27)</f>
        <v>29267.48</v>
      </c>
      <c r="I28" s="292"/>
    </row>
    <row r="29" spans="1:9" s="275" customFormat="1" ht="12.75" customHeight="1" thickTop="1" x14ac:dyDescent="0.25"/>
  </sheetData>
  <conditionalFormatting sqref="I8:I23">
    <cfRule type="cellIs" dxfId="35"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7CEB-03E9-45C6-881A-35228819A169}">
  <sheetPr>
    <pageSetUpPr fitToPage="1"/>
  </sheetPr>
  <dimension ref="A1:G17"/>
  <sheetViews>
    <sheetView topLeftCell="A3" zoomScaleNormal="100" workbookViewId="0">
      <selection activeCell="J13" sqref="J1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157</v>
      </c>
      <c r="C1" s="3"/>
      <c r="D1" s="4"/>
      <c r="E1" s="4"/>
      <c r="F1" s="4"/>
      <c r="G1" s="4"/>
    </row>
    <row r="2" spans="1:7" ht="15.75" x14ac:dyDescent="0.25">
      <c r="A2" s="1"/>
      <c r="B2" s="6" t="s">
        <v>200</v>
      </c>
      <c r="C2" s="5"/>
      <c r="D2" s="4"/>
      <c r="E2" s="4"/>
      <c r="F2" s="4"/>
      <c r="G2" s="4"/>
    </row>
    <row r="3" spans="1:7" ht="15.75" x14ac:dyDescent="0.25">
      <c r="A3" s="1"/>
      <c r="B3" s="7" t="s">
        <v>201</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202</v>
      </c>
      <c r="C6" s="14"/>
      <c r="D6" s="15" t="s">
        <v>2</v>
      </c>
      <c r="E6" s="16"/>
      <c r="F6" s="16"/>
      <c r="G6" s="16"/>
    </row>
    <row r="7" spans="1:7" ht="36" customHeight="1" thickBot="1" x14ac:dyDescent="0.3">
      <c r="A7" s="1"/>
      <c r="B7" s="18" t="s">
        <v>2</v>
      </c>
      <c r="C7" s="19" t="s">
        <v>3</v>
      </c>
      <c r="D7" s="20" t="s">
        <v>4</v>
      </c>
      <c r="E7" s="21" t="s">
        <v>5</v>
      </c>
      <c r="F7" s="22" t="s">
        <v>6</v>
      </c>
      <c r="G7" s="22" t="s">
        <v>7</v>
      </c>
    </row>
    <row r="8" spans="1:7" ht="28.35" customHeight="1" x14ac:dyDescent="0.25">
      <c r="A8" s="1"/>
      <c r="B8" s="1" t="s">
        <v>8</v>
      </c>
      <c r="C8" s="23">
        <f>FINANCIAL!G27</f>
        <v>400000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03"/>
      <c r="B10" s="304" t="s">
        <v>261</v>
      </c>
      <c r="C10" s="305"/>
      <c r="D10" s="308">
        <f>'#9500.00 McGough Construction'!D23</f>
        <v>15864.97</v>
      </c>
      <c r="E10" s="308">
        <f>'#9500.00 McGough Construction'!F23</f>
        <v>5037.84</v>
      </c>
      <c r="F10" s="308">
        <f>'#9500.00 McGough Construction'!H23</f>
        <v>10827.13</v>
      </c>
      <c r="G10" s="307"/>
    </row>
    <row r="11" spans="1:7" s="275" customFormat="1" ht="12.75" customHeight="1" x14ac:dyDescent="0.25">
      <c r="A11" s="303"/>
      <c r="B11" s="304" t="s">
        <v>10</v>
      </c>
      <c r="C11" s="305"/>
      <c r="D11" s="308">
        <f>'#9500.00 PM TIME'!E26</f>
        <v>10000</v>
      </c>
      <c r="E11" s="308">
        <f>'#9500.00 PM TIME'!G26</f>
        <v>6722.3499999999995</v>
      </c>
      <c r="F11" s="308">
        <f>'#9500.00 PM TIME'!I26</f>
        <v>3277.6500000000005</v>
      </c>
      <c r="G11" s="307"/>
    </row>
    <row r="12" spans="1:7" s="275" customFormat="1" ht="12.75" customHeight="1" x14ac:dyDescent="0.25">
      <c r="A12" s="303"/>
      <c r="B12" s="304" t="s">
        <v>11</v>
      </c>
      <c r="C12" s="306"/>
      <c r="D12" s="309">
        <f>'#9500.00 Misc'!G22</f>
        <v>0</v>
      </c>
      <c r="E12" s="309">
        <f>'#9500.00 Misc'!H22</f>
        <v>0</v>
      </c>
      <c r="F12" s="308">
        <f>D12-E12</f>
        <v>0</v>
      </c>
      <c r="G12" s="307"/>
    </row>
    <row r="13" spans="1:7" s="275" customFormat="1" ht="12.75" customHeight="1" x14ac:dyDescent="0.25">
      <c r="A13" s="303"/>
      <c r="B13" s="304" t="s">
        <v>303</v>
      </c>
      <c r="C13" s="306"/>
      <c r="D13" s="309">
        <f>'#9500.00 KCL Engineering'!D23</f>
        <v>35000</v>
      </c>
      <c r="E13" s="309">
        <f>'#9500.00 KCL Engineering'!F23</f>
        <v>12674</v>
      </c>
      <c r="F13" s="308">
        <f>'#9500.00 KCL Engineering'!H23</f>
        <v>22326</v>
      </c>
      <c r="G13" s="307"/>
    </row>
    <row r="14" spans="1:7" s="275" customFormat="1" ht="12.75" customHeight="1" x14ac:dyDescent="0.25">
      <c r="A14" s="303"/>
      <c r="B14" s="304" t="s">
        <v>580</v>
      </c>
      <c r="C14" s="306"/>
      <c r="D14" s="309">
        <f>'#9500.00 Terracon Consultants'!D23</f>
        <v>7210</v>
      </c>
      <c r="E14" s="309">
        <f>'#9500.00 Terracon Consultants'!F23</f>
        <v>0</v>
      </c>
      <c r="F14" s="308">
        <f>'#9500.00 Terracon Consultants'!H23</f>
        <v>7210</v>
      </c>
      <c r="G14" s="307"/>
    </row>
    <row r="15" spans="1:7" s="275" customFormat="1" ht="12.75" customHeight="1" x14ac:dyDescent="0.25">
      <c r="A15" s="310"/>
      <c r="B15" s="304"/>
      <c r="C15" s="306"/>
      <c r="D15" s="309"/>
      <c r="E15" s="309"/>
      <c r="F15" s="308"/>
      <c r="G15" s="311"/>
    </row>
    <row r="16" spans="1:7" ht="24" customHeight="1" thickBot="1" x14ac:dyDescent="0.3">
      <c r="A16" s="30"/>
      <c r="B16" s="31" t="s">
        <v>12</v>
      </c>
      <c r="C16" s="32">
        <f>SUM(C8:C15)</f>
        <v>400000</v>
      </c>
      <c r="D16" s="32">
        <f>SUM(D8:D15)</f>
        <v>68074.97</v>
      </c>
      <c r="E16" s="32">
        <f>SUM(E8:E15)</f>
        <v>24434.19</v>
      </c>
      <c r="F16" s="32">
        <f>SUM(D16-E16)</f>
        <v>43640.78</v>
      </c>
      <c r="G16" s="32">
        <f>C8-D16</f>
        <v>331925.03000000003</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943E-C3A1-45B8-9FBD-5C034A01F76F}">
  <sheetPr>
    <pageSetUpPr fitToPage="1"/>
  </sheetPr>
  <dimension ref="A1:I29"/>
  <sheetViews>
    <sheetView zoomScaleNormal="100" workbookViewId="0">
      <selection activeCell="K18" sqref="K18:K19"/>
    </sheetView>
  </sheetViews>
  <sheetFormatPr defaultColWidth="11.42578125" defaultRowHeight="15" customHeight="1" x14ac:dyDescent="0.25"/>
  <cols>
    <col min="1" max="1" width="24.5703125" customWidth="1"/>
    <col min="2" max="2" width="9.42578125" customWidth="1"/>
    <col min="3" max="3" width="19.42578125"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#9500.00'!B1</f>
        <v>DOC MPCF Spill Containment for Diesel Tank</v>
      </c>
      <c r="B1" s="3"/>
      <c r="C1" s="4"/>
      <c r="D1" s="4"/>
      <c r="E1" s="4"/>
      <c r="F1" s="33"/>
      <c r="G1" s="33"/>
      <c r="H1" s="34"/>
      <c r="I1" s="34"/>
    </row>
    <row r="2" spans="1:9" ht="15.75" x14ac:dyDescent="0.25">
      <c r="A2" s="6" t="str">
        <f>'RECAP #9500.00'!B2</f>
        <v>Project # 9500.00</v>
      </c>
      <c r="B2" s="5"/>
      <c r="C2" s="4"/>
      <c r="D2" s="4"/>
      <c r="E2" s="4"/>
      <c r="F2" s="33"/>
      <c r="G2" s="33"/>
      <c r="H2" s="34"/>
      <c r="I2" s="34"/>
    </row>
    <row r="3" spans="1:9" ht="15.75" x14ac:dyDescent="0.25">
      <c r="A3" s="7" t="str">
        <f>'RECAP #9500.00'!B3</f>
        <v>Program code 950000</v>
      </c>
      <c r="B3" s="5"/>
      <c r="C3" s="4"/>
      <c r="D3" s="8" t="str">
        <f>'RECAP #9500.00'!E3</f>
        <v>Major Program 4E01</v>
      </c>
      <c r="E3" s="4"/>
      <c r="F3" s="33"/>
      <c r="G3" s="33"/>
      <c r="H3" s="34"/>
      <c r="I3" s="34"/>
    </row>
    <row r="4" spans="1:9" ht="15.75" x14ac:dyDescent="0.25">
      <c r="A4" s="35" t="s">
        <v>261</v>
      </c>
      <c r="B4" s="36"/>
      <c r="C4" s="37"/>
      <c r="D4" s="38" t="s">
        <v>262</v>
      </c>
      <c r="E4" s="39"/>
      <c r="F4" s="33"/>
      <c r="G4" s="33"/>
      <c r="H4" s="34"/>
      <c r="I4" s="34"/>
    </row>
    <row r="5" spans="1:9" ht="15.75" x14ac:dyDescent="0.25">
      <c r="A5" s="40" t="s">
        <v>330</v>
      </c>
      <c r="B5" s="41"/>
      <c r="C5" s="42"/>
      <c r="D5" s="43" t="s">
        <v>263</v>
      </c>
      <c r="E5" s="44"/>
      <c r="F5" s="45"/>
      <c r="G5" s="46"/>
      <c r="H5" s="41"/>
      <c r="I5" s="34"/>
    </row>
    <row r="6" spans="1:9" ht="15.75" x14ac:dyDescent="0.25">
      <c r="A6" s="13" t="str">
        <f>'RECAP #9500.00'!B6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344</v>
      </c>
      <c r="B9" s="287">
        <v>45986</v>
      </c>
      <c r="C9" s="288" t="s">
        <v>111</v>
      </c>
      <c r="D9" s="289">
        <v>15864.97</v>
      </c>
      <c r="E9" s="290">
        <f>D9</f>
        <v>15864.97</v>
      </c>
      <c r="F9" s="294"/>
      <c r="G9" s="291"/>
      <c r="H9" s="291">
        <f>E9</f>
        <v>15864.97</v>
      </c>
      <c r="I9" s="292"/>
    </row>
    <row r="10" spans="1:9" s="275" customFormat="1" ht="12.75" customHeight="1" x14ac:dyDescent="0.25">
      <c r="A10" s="286" t="s">
        <v>591</v>
      </c>
      <c r="B10" s="293">
        <v>46072</v>
      </c>
      <c r="C10" s="288" t="s">
        <v>592</v>
      </c>
      <c r="D10" s="290"/>
      <c r="E10" s="290">
        <f t="shared" ref="E10:E21" si="0">E9+D10</f>
        <v>15864.97</v>
      </c>
      <c r="F10" s="294">
        <v>3389.6</v>
      </c>
      <c r="G10" s="291">
        <f t="shared" ref="G10:G21" si="1">G9+F10</f>
        <v>3389.6</v>
      </c>
      <c r="H10" s="291">
        <f t="shared" ref="H10:H21" si="2">H9-F10+D10</f>
        <v>12475.369999999999</v>
      </c>
      <c r="I10" s="292"/>
    </row>
    <row r="11" spans="1:9" s="275" customFormat="1" ht="12.75" customHeight="1" x14ac:dyDescent="0.25">
      <c r="A11" s="286" t="s">
        <v>705</v>
      </c>
      <c r="B11" s="287">
        <v>46104</v>
      </c>
      <c r="C11" s="288" t="s">
        <v>706</v>
      </c>
      <c r="D11" s="290"/>
      <c r="E11" s="290">
        <f t="shared" si="0"/>
        <v>15864.97</v>
      </c>
      <c r="F11" s="294">
        <v>1648.24</v>
      </c>
      <c r="G11" s="291">
        <f t="shared" si="1"/>
        <v>5037.84</v>
      </c>
      <c r="H11" s="291">
        <f t="shared" si="2"/>
        <v>10827.13</v>
      </c>
      <c r="I11" s="292"/>
    </row>
    <row r="12" spans="1:9" s="275" customFormat="1" ht="12.75" customHeight="1" x14ac:dyDescent="0.25">
      <c r="A12" s="286"/>
      <c r="B12" s="287"/>
      <c r="C12" s="288"/>
      <c r="D12" s="290"/>
      <c r="E12" s="290">
        <f t="shared" si="0"/>
        <v>15864.97</v>
      </c>
      <c r="F12" s="295"/>
      <c r="G12" s="291">
        <f t="shared" si="1"/>
        <v>5037.84</v>
      </c>
      <c r="H12" s="291">
        <f t="shared" si="2"/>
        <v>10827.13</v>
      </c>
      <c r="I12" s="292"/>
    </row>
    <row r="13" spans="1:9" s="275" customFormat="1" ht="12.75" customHeight="1" x14ac:dyDescent="0.25">
      <c r="A13" s="286"/>
      <c r="B13" s="287"/>
      <c r="C13" s="288"/>
      <c r="D13" s="290"/>
      <c r="E13" s="290">
        <f t="shared" si="0"/>
        <v>15864.97</v>
      </c>
      <c r="F13" s="295"/>
      <c r="G13" s="291">
        <f t="shared" si="1"/>
        <v>5037.84</v>
      </c>
      <c r="H13" s="291">
        <f t="shared" si="2"/>
        <v>10827.13</v>
      </c>
      <c r="I13" s="292"/>
    </row>
    <row r="14" spans="1:9" s="275" customFormat="1" ht="12.75" customHeight="1" x14ac:dyDescent="0.25">
      <c r="A14" s="286"/>
      <c r="B14" s="287"/>
      <c r="C14" s="288"/>
      <c r="D14" s="290"/>
      <c r="E14" s="290">
        <f t="shared" si="0"/>
        <v>15864.97</v>
      </c>
      <c r="F14" s="291"/>
      <c r="G14" s="291">
        <f t="shared" si="1"/>
        <v>5037.84</v>
      </c>
      <c r="H14" s="291">
        <f t="shared" si="2"/>
        <v>10827.13</v>
      </c>
      <c r="I14" s="292"/>
    </row>
    <row r="15" spans="1:9" s="275" customFormat="1" ht="12.75" customHeight="1" x14ac:dyDescent="0.25">
      <c r="A15" s="286"/>
      <c r="B15" s="287"/>
      <c r="C15" s="288"/>
      <c r="D15" s="290"/>
      <c r="E15" s="290">
        <f t="shared" si="0"/>
        <v>15864.97</v>
      </c>
      <c r="F15" s="295"/>
      <c r="G15" s="291">
        <f t="shared" si="1"/>
        <v>5037.84</v>
      </c>
      <c r="H15" s="291">
        <f t="shared" si="2"/>
        <v>10827.13</v>
      </c>
      <c r="I15" s="292"/>
    </row>
    <row r="16" spans="1:9" s="275" customFormat="1" ht="12.75" customHeight="1" x14ac:dyDescent="0.25">
      <c r="A16" s="286"/>
      <c r="B16" s="287"/>
      <c r="C16" s="288"/>
      <c r="D16" s="290"/>
      <c r="E16" s="290">
        <f t="shared" si="0"/>
        <v>15864.97</v>
      </c>
      <c r="F16" s="295"/>
      <c r="G16" s="291">
        <f t="shared" si="1"/>
        <v>5037.84</v>
      </c>
      <c r="H16" s="291">
        <f t="shared" si="2"/>
        <v>10827.13</v>
      </c>
      <c r="I16" s="292"/>
    </row>
    <row r="17" spans="1:9" s="275" customFormat="1" ht="12.75" customHeight="1" x14ac:dyDescent="0.25">
      <c r="A17" s="286"/>
      <c r="B17" s="287"/>
      <c r="C17" s="288"/>
      <c r="D17" s="290"/>
      <c r="E17" s="290">
        <f t="shared" si="0"/>
        <v>15864.97</v>
      </c>
      <c r="F17" s="295"/>
      <c r="G17" s="291">
        <f t="shared" si="1"/>
        <v>5037.84</v>
      </c>
      <c r="H17" s="291">
        <f t="shared" si="2"/>
        <v>10827.13</v>
      </c>
      <c r="I17" s="292"/>
    </row>
    <row r="18" spans="1:9" s="275" customFormat="1" ht="12.75" customHeight="1" x14ac:dyDescent="0.25">
      <c r="A18" s="286"/>
      <c r="B18" s="287"/>
      <c r="C18" s="288"/>
      <c r="D18" s="290"/>
      <c r="E18" s="290">
        <f t="shared" si="0"/>
        <v>15864.97</v>
      </c>
      <c r="F18" s="295"/>
      <c r="G18" s="291">
        <f t="shared" si="1"/>
        <v>5037.84</v>
      </c>
      <c r="H18" s="291">
        <f t="shared" si="2"/>
        <v>10827.13</v>
      </c>
      <c r="I18" s="292"/>
    </row>
    <row r="19" spans="1:9" s="275" customFormat="1" ht="12.75" customHeight="1" x14ac:dyDescent="0.25">
      <c r="A19" s="286"/>
      <c r="B19" s="287"/>
      <c r="C19" s="288"/>
      <c r="D19" s="290"/>
      <c r="E19" s="290">
        <f t="shared" si="0"/>
        <v>15864.97</v>
      </c>
      <c r="F19" s="291"/>
      <c r="G19" s="291">
        <f t="shared" si="1"/>
        <v>5037.84</v>
      </c>
      <c r="H19" s="291">
        <f t="shared" si="2"/>
        <v>10827.13</v>
      </c>
      <c r="I19" s="292"/>
    </row>
    <row r="20" spans="1:9" s="275" customFormat="1" ht="12.75" customHeight="1" x14ac:dyDescent="0.25">
      <c r="A20" s="286"/>
      <c r="B20" s="287"/>
      <c r="C20" s="288"/>
      <c r="D20" s="290"/>
      <c r="E20" s="290">
        <f t="shared" si="0"/>
        <v>15864.97</v>
      </c>
      <c r="F20" s="291"/>
      <c r="G20" s="291">
        <f t="shared" si="1"/>
        <v>5037.84</v>
      </c>
      <c r="H20" s="291">
        <f t="shared" si="2"/>
        <v>10827.13</v>
      </c>
      <c r="I20" s="292"/>
    </row>
    <row r="21" spans="1:9" s="275" customFormat="1" ht="12.75" customHeight="1" x14ac:dyDescent="0.25">
      <c r="A21" s="286"/>
      <c r="B21" s="287"/>
      <c r="C21" s="296"/>
      <c r="D21" s="290"/>
      <c r="E21" s="290">
        <f t="shared" si="0"/>
        <v>15864.97</v>
      </c>
      <c r="F21" s="291"/>
      <c r="G21" s="291">
        <f t="shared" si="1"/>
        <v>5037.84</v>
      </c>
      <c r="H21" s="291">
        <f t="shared" si="2"/>
        <v>10827.13</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15864.97</v>
      </c>
      <c r="E23" s="302"/>
      <c r="F23" s="302">
        <f>SUM(F9:F22)</f>
        <v>5037.84</v>
      </c>
      <c r="G23" s="302"/>
      <c r="H23" s="302">
        <f>D23-F23</f>
        <v>10827.13</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15444.97</v>
      </c>
      <c r="E26" s="313"/>
      <c r="F26" s="313">
        <f>3343.1+1634.74</f>
        <v>4977.84</v>
      </c>
      <c r="G26" s="313"/>
      <c r="H26" s="313">
        <f>D26-F26</f>
        <v>10467.129999999999</v>
      </c>
      <c r="I26" s="292"/>
    </row>
    <row r="27" spans="1:9" s="275" customFormat="1" ht="12.75" customHeight="1" x14ac:dyDescent="0.25">
      <c r="A27" s="286"/>
      <c r="B27" s="288"/>
      <c r="C27" s="312" t="s">
        <v>113</v>
      </c>
      <c r="D27" s="313">
        <v>420</v>
      </c>
      <c r="E27" s="313"/>
      <c r="F27" s="313">
        <f>46.5+13.5</f>
        <v>60</v>
      </c>
      <c r="G27" s="313"/>
      <c r="H27" s="313">
        <f>D27-F27</f>
        <v>360</v>
      </c>
      <c r="I27" s="292"/>
    </row>
    <row r="28" spans="1:9" s="275" customFormat="1" ht="12.75" customHeight="1" thickBot="1" x14ac:dyDescent="0.3">
      <c r="A28" s="286"/>
      <c r="B28" s="288"/>
      <c r="C28" s="314" t="s">
        <v>67</v>
      </c>
      <c r="D28" s="315">
        <f>SUM(D26:D27)</f>
        <v>15864.97</v>
      </c>
      <c r="E28" s="316"/>
      <c r="F28" s="315">
        <f>SUM(F26:F27)</f>
        <v>5037.84</v>
      </c>
      <c r="G28" s="316"/>
      <c r="H28" s="315">
        <f>SUM(H26:H27)</f>
        <v>10827.13</v>
      </c>
      <c r="I28" s="292"/>
    </row>
    <row r="29" spans="1:9" s="275" customFormat="1" ht="12.75" customHeight="1" thickTop="1" x14ac:dyDescent="0.25"/>
  </sheetData>
  <conditionalFormatting sqref="I8:I23">
    <cfRule type="cellIs" dxfId="34"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0E41F-18E1-4878-B911-B858BF73811E}">
  <sheetPr>
    <pageSetUpPr fitToPage="1"/>
  </sheetPr>
  <dimension ref="A1:J28"/>
  <sheetViews>
    <sheetView zoomScaleNormal="100" workbookViewId="0">
      <selection activeCell="D30" sqref="D30"/>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4.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#9500.00'!B1</f>
        <v>DOC MPCF Spill Containment for Diesel Tank</v>
      </c>
      <c r="B1" s="3"/>
      <c r="C1" s="3"/>
      <c r="D1" s="4"/>
      <c r="E1" s="4"/>
      <c r="F1" s="4"/>
      <c r="G1" s="33"/>
      <c r="H1" s="33"/>
      <c r="I1" s="34"/>
      <c r="J1" s="34"/>
    </row>
    <row r="2" spans="1:10" ht="15.75" x14ac:dyDescent="0.25">
      <c r="A2" s="6" t="str">
        <f>'RECAP #9500.00'!B2</f>
        <v>Project # 9500.00</v>
      </c>
      <c r="B2" s="5"/>
      <c r="C2" s="5"/>
      <c r="D2" s="4"/>
      <c r="E2" s="4"/>
      <c r="F2" s="4"/>
      <c r="G2" s="33"/>
      <c r="H2" s="33"/>
      <c r="I2" s="34"/>
      <c r="J2" s="34"/>
    </row>
    <row r="3" spans="1:10" ht="15.75" x14ac:dyDescent="0.25">
      <c r="A3" s="7" t="str">
        <f>'RECAP #9500.00'!B3</f>
        <v>Program code 950000</v>
      </c>
      <c r="B3" s="5"/>
      <c r="C3" s="5"/>
      <c r="D3" s="4"/>
      <c r="E3" s="8" t="str">
        <f>'RECAP #9500.00'!E3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244</v>
      </c>
      <c r="F6" s="49"/>
      <c r="G6" s="50"/>
      <c r="H6" s="46"/>
      <c r="I6" s="41"/>
      <c r="J6" s="34"/>
    </row>
    <row r="7" spans="1:10" ht="15.75" x14ac:dyDescent="0.25">
      <c r="A7" s="13" t="str">
        <f>'RECAP #9500.00'!B6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10000</v>
      </c>
      <c r="F9" s="290">
        <f>E9</f>
        <v>10000</v>
      </c>
      <c r="G9" s="291"/>
      <c r="H9" s="291"/>
      <c r="I9" s="291">
        <f>F9</f>
        <v>10000</v>
      </c>
      <c r="J9" s="292"/>
    </row>
    <row r="10" spans="1:10" s="275" customFormat="1" ht="12.75" customHeight="1" x14ac:dyDescent="0.25">
      <c r="A10" s="220" t="s">
        <v>268</v>
      </c>
      <c r="B10" s="221">
        <v>45937</v>
      </c>
      <c r="C10" s="329" t="s">
        <v>269</v>
      </c>
      <c r="D10" s="179" t="s">
        <v>270</v>
      </c>
      <c r="E10" s="290"/>
      <c r="F10" s="290">
        <f t="shared" ref="F10:F24" si="0">F9+E10</f>
        <v>10000</v>
      </c>
      <c r="G10" s="294">
        <v>44.41</v>
      </c>
      <c r="H10" s="291">
        <f t="shared" ref="H10:H24" si="1">H9+G10</f>
        <v>44.41</v>
      </c>
      <c r="I10" s="291">
        <f t="shared" ref="I10:I24" si="2">I9-G10+E10</f>
        <v>9955.59</v>
      </c>
      <c r="J10" s="292"/>
    </row>
    <row r="11" spans="1:10" s="275" customFormat="1" ht="12.75" customHeight="1" x14ac:dyDescent="0.25">
      <c r="A11" s="220" t="s">
        <v>268</v>
      </c>
      <c r="B11" s="221">
        <v>45937</v>
      </c>
      <c r="C11" s="329">
        <v>9500</v>
      </c>
      <c r="D11" s="222" t="s">
        <v>271</v>
      </c>
      <c r="E11" s="290"/>
      <c r="F11" s="290">
        <f t="shared" si="0"/>
        <v>10000</v>
      </c>
      <c r="G11" s="294">
        <v>229.2</v>
      </c>
      <c r="H11" s="291">
        <f t="shared" si="1"/>
        <v>273.61</v>
      </c>
      <c r="I11" s="291">
        <f t="shared" si="2"/>
        <v>9726.39</v>
      </c>
      <c r="J11" s="292"/>
    </row>
    <row r="12" spans="1:10" s="275" customFormat="1" ht="12.75" customHeight="1" x14ac:dyDescent="0.25">
      <c r="A12" s="220" t="s">
        <v>322</v>
      </c>
      <c r="B12" s="221">
        <v>45968</v>
      </c>
      <c r="C12" s="329" t="s">
        <v>269</v>
      </c>
      <c r="D12" s="179" t="s">
        <v>323</v>
      </c>
      <c r="E12" s="290"/>
      <c r="F12" s="290">
        <f t="shared" si="0"/>
        <v>10000</v>
      </c>
      <c r="G12" s="294">
        <v>228.95</v>
      </c>
      <c r="H12" s="291">
        <f t="shared" si="1"/>
        <v>502.56</v>
      </c>
      <c r="I12" s="291">
        <f t="shared" si="2"/>
        <v>9497.4399999999987</v>
      </c>
      <c r="J12" s="292"/>
    </row>
    <row r="13" spans="1:10" s="275" customFormat="1" ht="12.75" customHeight="1" x14ac:dyDescent="0.25">
      <c r="A13" s="220" t="s">
        <v>322</v>
      </c>
      <c r="B13" s="221">
        <v>45968</v>
      </c>
      <c r="C13" s="329">
        <v>9500</v>
      </c>
      <c r="D13" s="222" t="s">
        <v>324</v>
      </c>
      <c r="E13" s="290"/>
      <c r="F13" s="290">
        <f t="shared" si="0"/>
        <v>10000</v>
      </c>
      <c r="G13" s="294">
        <v>829.8</v>
      </c>
      <c r="H13" s="291">
        <f t="shared" si="1"/>
        <v>1332.36</v>
      </c>
      <c r="I13" s="291">
        <f t="shared" si="2"/>
        <v>8667.64</v>
      </c>
      <c r="J13" s="292"/>
    </row>
    <row r="14" spans="1:10" s="275" customFormat="1" ht="12.75" customHeight="1" x14ac:dyDescent="0.2">
      <c r="A14" s="213" t="s">
        <v>373</v>
      </c>
      <c r="B14" s="214">
        <v>45996</v>
      </c>
      <c r="C14" s="332" t="s">
        <v>269</v>
      </c>
      <c r="D14" s="175" t="s">
        <v>374</v>
      </c>
      <c r="E14" s="290"/>
      <c r="F14" s="290">
        <f t="shared" si="0"/>
        <v>10000</v>
      </c>
      <c r="G14" s="299">
        <v>-113.17</v>
      </c>
      <c r="H14" s="291">
        <f t="shared" si="1"/>
        <v>1219.1899999999998</v>
      </c>
      <c r="I14" s="291">
        <f t="shared" si="2"/>
        <v>8780.81</v>
      </c>
      <c r="J14" s="292"/>
    </row>
    <row r="15" spans="1:10" s="275" customFormat="1" ht="12.75" customHeight="1" x14ac:dyDescent="0.2">
      <c r="A15" s="213" t="s">
        <v>373</v>
      </c>
      <c r="B15" s="214">
        <v>45996</v>
      </c>
      <c r="C15" s="333">
        <v>9500</v>
      </c>
      <c r="D15" s="78" t="s">
        <v>375</v>
      </c>
      <c r="E15" s="290"/>
      <c r="F15" s="290">
        <f t="shared" si="0"/>
        <v>10000</v>
      </c>
      <c r="G15" s="294">
        <v>81.3</v>
      </c>
      <c r="H15" s="291">
        <f t="shared" si="1"/>
        <v>1300.4899999999998</v>
      </c>
      <c r="I15" s="291">
        <f t="shared" si="2"/>
        <v>8699.51</v>
      </c>
      <c r="J15" s="292"/>
    </row>
    <row r="16" spans="1:10" s="275" customFormat="1" ht="12.75" customHeight="1" x14ac:dyDescent="0.2">
      <c r="A16" s="213" t="s">
        <v>433</v>
      </c>
      <c r="B16" s="214">
        <v>46030</v>
      </c>
      <c r="C16" s="332" t="s">
        <v>269</v>
      </c>
      <c r="D16" s="175" t="s">
        <v>434</v>
      </c>
      <c r="E16" s="290"/>
      <c r="F16" s="290">
        <f t="shared" si="0"/>
        <v>10000</v>
      </c>
      <c r="G16" s="294">
        <v>142.26</v>
      </c>
      <c r="H16" s="291">
        <f t="shared" si="1"/>
        <v>1442.7499999999998</v>
      </c>
      <c r="I16" s="291">
        <f t="shared" si="2"/>
        <v>8557.25</v>
      </c>
      <c r="J16" s="292"/>
    </row>
    <row r="17" spans="1:10" s="275" customFormat="1" ht="12.75" customHeight="1" x14ac:dyDescent="0.2">
      <c r="A17" s="213" t="s">
        <v>433</v>
      </c>
      <c r="B17" s="214">
        <v>46030</v>
      </c>
      <c r="C17" s="333">
        <v>9500</v>
      </c>
      <c r="D17" s="78" t="s">
        <v>435</v>
      </c>
      <c r="E17" s="290"/>
      <c r="F17" s="290">
        <f t="shared" si="0"/>
        <v>10000</v>
      </c>
      <c r="G17" s="294">
        <v>1617.8</v>
      </c>
      <c r="H17" s="291">
        <f t="shared" si="1"/>
        <v>3060.5499999999997</v>
      </c>
      <c r="I17" s="291">
        <f t="shared" si="2"/>
        <v>6939.45</v>
      </c>
      <c r="J17" s="292"/>
    </row>
    <row r="18" spans="1:10" s="275" customFormat="1" ht="12.75" customHeight="1" x14ac:dyDescent="0.2">
      <c r="A18" s="213" t="s">
        <v>559</v>
      </c>
      <c r="B18" s="214">
        <v>46062</v>
      </c>
      <c r="C18" s="332" t="s">
        <v>269</v>
      </c>
      <c r="D18" s="175" t="s">
        <v>560</v>
      </c>
      <c r="E18" s="290"/>
      <c r="F18" s="290">
        <f t="shared" si="0"/>
        <v>10000</v>
      </c>
      <c r="G18" s="294">
        <v>120.86</v>
      </c>
      <c r="H18" s="291">
        <f t="shared" si="1"/>
        <v>3181.41</v>
      </c>
      <c r="I18" s="291">
        <f t="shared" si="2"/>
        <v>6818.59</v>
      </c>
      <c r="J18" s="292"/>
    </row>
    <row r="19" spans="1:10" s="275" customFormat="1" ht="12.75" customHeight="1" x14ac:dyDescent="0.2">
      <c r="A19" s="213" t="s">
        <v>559</v>
      </c>
      <c r="B19" s="214">
        <v>46062</v>
      </c>
      <c r="C19" s="333">
        <v>9500</v>
      </c>
      <c r="D19" s="78" t="s">
        <v>561</v>
      </c>
      <c r="E19" s="290"/>
      <c r="F19" s="290">
        <f t="shared" si="0"/>
        <v>10000</v>
      </c>
      <c r="G19" s="294">
        <v>1504.7</v>
      </c>
      <c r="H19" s="291">
        <f t="shared" si="1"/>
        <v>4686.1099999999997</v>
      </c>
      <c r="I19" s="291">
        <f t="shared" si="2"/>
        <v>5313.89</v>
      </c>
      <c r="J19" s="292"/>
    </row>
    <row r="20" spans="1:10" s="275" customFormat="1" ht="12.75" customHeight="1" x14ac:dyDescent="0.2">
      <c r="A20" s="213" t="s">
        <v>663</v>
      </c>
      <c r="B20" s="214">
        <v>46090</v>
      </c>
      <c r="C20" s="332" t="s">
        <v>269</v>
      </c>
      <c r="D20" s="175" t="s">
        <v>664</v>
      </c>
      <c r="E20" s="290"/>
      <c r="F20" s="290">
        <f t="shared" si="0"/>
        <v>10000</v>
      </c>
      <c r="G20" s="294">
        <v>162.54</v>
      </c>
      <c r="H20" s="291">
        <f t="shared" si="1"/>
        <v>4848.6499999999996</v>
      </c>
      <c r="I20" s="291">
        <f t="shared" si="2"/>
        <v>5151.3500000000004</v>
      </c>
      <c r="J20" s="292"/>
    </row>
    <row r="21" spans="1:10" s="275" customFormat="1" ht="12.75" customHeight="1" x14ac:dyDescent="0.2">
      <c r="A21" s="213" t="s">
        <v>663</v>
      </c>
      <c r="B21" s="214">
        <v>46090</v>
      </c>
      <c r="C21" s="333">
        <v>9500</v>
      </c>
      <c r="D21" s="78" t="s">
        <v>665</v>
      </c>
      <c r="E21" s="290"/>
      <c r="F21" s="290">
        <f t="shared" si="0"/>
        <v>10000</v>
      </c>
      <c r="G21" s="294">
        <v>1873.7</v>
      </c>
      <c r="H21" s="291">
        <f t="shared" si="1"/>
        <v>6722.3499999999995</v>
      </c>
      <c r="I21" s="291">
        <f t="shared" si="2"/>
        <v>3277.6500000000005</v>
      </c>
      <c r="J21" s="292"/>
    </row>
    <row r="22" spans="1:10" s="275" customFormat="1" ht="12.75" customHeight="1" x14ac:dyDescent="0.2">
      <c r="A22" s="213"/>
      <c r="B22" s="214"/>
      <c r="C22" s="333"/>
      <c r="D22" s="78"/>
      <c r="E22" s="290"/>
      <c r="F22" s="290">
        <f t="shared" si="0"/>
        <v>10000</v>
      </c>
      <c r="G22" s="295"/>
      <c r="H22" s="291">
        <f t="shared" si="1"/>
        <v>6722.3499999999995</v>
      </c>
      <c r="I22" s="291">
        <f t="shared" si="2"/>
        <v>3277.6500000000005</v>
      </c>
      <c r="J22" s="292"/>
    </row>
    <row r="23" spans="1:10" s="275" customFormat="1" ht="12.75" customHeight="1" x14ac:dyDescent="0.2">
      <c r="A23" s="213"/>
      <c r="B23" s="214"/>
      <c r="C23" s="333"/>
      <c r="D23" s="78"/>
      <c r="E23" s="290"/>
      <c r="F23" s="290">
        <f t="shared" si="0"/>
        <v>10000</v>
      </c>
      <c r="G23" s="295"/>
      <c r="H23" s="291">
        <f t="shared" si="1"/>
        <v>6722.3499999999995</v>
      </c>
      <c r="I23" s="291">
        <f t="shared" si="2"/>
        <v>3277.6500000000005</v>
      </c>
      <c r="J23" s="292"/>
    </row>
    <row r="24" spans="1:10" s="275" customFormat="1" ht="12.75" customHeight="1" x14ac:dyDescent="0.2">
      <c r="A24" s="213"/>
      <c r="B24" s="214"/>
      <c r="C24" s="333"/>
      <c r="D24" s="78"/>
      <c r="E24" s="290"/>
      <c r="F24" s="290">
        <f t="shared" si="0"/>
        <v>10000</v>
      </c>
      <c r="G24" s="295"/>
      <c r="H24" s="291">
        <f t="shared" si="1"/>
        <v>6722.3499999999995</v>
      </c>
      <c r="I24" s="291">
        <f t="shared" si="2"/>
        <v>3277.6500000000005</v>
      </c>
      <c r="J24" s="292"/>
    </row>
    <row r="25" spans="1:10" s="275" customFormat="1" ht="12.75" customHeight="1" x14ac:dyDescent="0.25">
      <c r="A25" s="286"/>
      <c r="B25" s="288"/>
      <c r="C25" s="329"/>
      <c r="D25" s="297"/>
      <c r="E25" s="291"/>
      <c r="F25" s="291"/>
      <c r="G25" s="291"/>
      <c r="H25" s="291"/>
      <c r="I25" s="291"/>
      <c r="J25" s="292"/>
    </row>
    <row r="26" spans="1:10" s="275" customFormat="1" ht="12.75" customHeight="1" thickBot="1" x14ac:dyDescent="0.3">
      <c r="A26" s="286"/>
      <c r="B26" s="300"/>
      <c r="C26" s="329"/>
      <c r="D26" s="301" t="s">
        <v>24</v>
      </c>
      <c r="E26" s="302">
        <f>SUM(E9:E25)</f>
        <v>10000</v>
      </c>
      <c r="F26" s="302"/>
      <c r="G26" s="302">
        <f>SUM(G9:G25)</f>
        <v>6722.3499999999995</v>
      </c>
      <c r="H26" s="302"/>
      <c r="I26" s="302">
        <f>E26-G26</f>
        <v>3277.6500000000005</v>
      </c>
      <c r="J26" s="292"/>
    </row>
    <row r="27" spans="1:10" s="275" customFormat="1" ht="12.75" customHeight="1" thickTop="1" x14ac:dyDescent="0.25"/>
    <row r="28" spans="1:10" s="275" customFormat="1" ht="12.75" customHeight="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14110-F28F-40A5-8DE9-A297F646D56C}">
  <sheetPr>
    <tabColor indexed="30"/>
    <pageSetUpPr fitToPage="1"/>
  </sheetPr>
  <dimension ref="A1:H84"/>
  <sheetViews>
    <sheetView zoomScaleNormal="100" workbookViewId="0">
      <selection activeCell="J22" sqref="J22:J2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#9500.00'!B1</f>
        <v>DOC MPCF Spill Containment for Diesel Tank</v>
      </c>
      <c r="B1" s="3"/>
      <c r="C1" s="3"/>
      <c r="D1" s="3"/>
      <c r="E1" s="4"/>
      <c r="F1" s="4"/>
      <c r="G1" s="4"/>
      <c r="H1" s="33"/>
    </row>
    <row r="2" spans="1:8" ht="15.75" x14ac:dyDescent="0.25">
      <c r="A2" s="6" t="str">
        <f>'RECAP #9500.00'!B2</f>
        <v>Project # 9500.00</v>
      </c>
      <c r="B2" s="5"/>
      <c r="C2" s="5"/>
      <c r="D2" s="5"/>
      <c r="E2" s="4"/>
      <c r="F2" s="4"/>
      <c r="G2" s="4"/>
      <c r="H2" s="33"/>
    </row>
    <row r="3" spans="1:8" ht="15.75" x14ac:dyDescent="0.25">
      <c r="A3" s="7" t="str">
        <f>'RECAP #9500.00'!B3</f>
        <v>Program code 950000</v>
      </c>
      <c r="B3" s="5"/>
      <c r="C3" s="5"/>
      <c r="D3" s="5"/>
      <c r="E3" s="8" t="str">
        <f>'RECAP #9500.00'!E3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345</v>
      </c>
      <c r="F6" s="41"/>
      <c r="G6" s="44"/>
      <c r="H6" s="45"/>
    </row>
    <row r="7" spans="1:8" ht="15.75" x14ac:dyDescent="0.25">
      <c r="A7" s="13" t="str">
        <f>'RECAP #9500.00'!B6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s="275" customFormat="1" ht="12.75" customHeight="1" thickTop="1" x14ac:dyDescent="0.25"/>
    <row r="24" spans="1:8" s="275" customFormat="1" ht="12.75" customHeight="1" x14ac:dyDescent="0.25"/>
    <row r="25" spans="1:8" s="275" customFormat="1" ht="12.75" customHeight="1" x14ac:dyDescent="0.25"/>
    <row r="26" spans="1:8" s="275" customFormat="1" ht="12.75" customHeight="1" x14ac:dyDescent="0.25"/>
    <row r="27" spans="1:8" s="275" customFormat="1" ht="12.75" customHeight="1" x14ac:dyDescent="0.25"/>
    <row r="28" spans="1:8" s="275" customFormat="1" ht="12.75" customHeight="1" x14ac:dyDescent="0.25"/>
    <row r="29" spans="1:8" s="275" customFormat="1" ht="12.75" customHeight="1" x14ac:dyDescent="0.25"/>
    <row r="30" spans="1:8" s="275" customFormat="1" ht="12.75" customHeight="1" x14ac:dyDescent="0.25"/>
    <row r="31" spans="1:8" s="275" customFormat="1" ht="12.75" customHeight="1" x14ac:dyDescent="0.25"/>
    <row r="32" spans="1:8" s="275" customFormat="1" ht="12.75" customHeight="1" x14ac:dyDescent="0.25"/>
    <row r="33" s="275" customFormat="1" ht="12.75" customHeight="1" x14ac:dyDescent="0.25"/>
    <row r="34" s="275" customFormat="1" ht="12.75" customHeight="1" x14ac:dyDescent="0.25"/>
    <row r="35" s="275" customFormat="1" ht="12.75" customHeight="1" x14ac:dyDescent="0.25"/>
    <row r="36" s="275" customFormat="1" ht="12.75" customHeight="1" x14ac:dyDescent="0.25"/>
    <row r="37" s="275" customFormat="1" ht="12.75" customHeight="1" x14ac:dyDescent="0.25"/>
    <row r="38" s="275" customFormat="1" ht="12.75" customHeight="1" x14ac:dyDescent="0.25"/>
    <row r="39" s="275" customFormat="1" ht="12.75" customHeight="1" x14ac:dyDescent="0.25"/>
    <row r="40" s="275" customFormat="1" ht="12.75" customHeight="1" x14ac:dyDescent="0.25"/>
    <row r="41" s="275" customFormat="1" ht="12.75" customHeight="1" x14ac:dyDescent="0.25"/>
    <row r="42" s="275" customFormat="1" ht="12.75" customHeight="1" x14ac:dyDescent="0.25"/>
    <row r="43" s="275" customFormat="1" ht="12.75" customHeight="1" x14ac:dyDescent="0.25"/>
    <row r="44" s="275" customFormat="1" ht="12.75" customHeight="1" x14ac:dyDescent="0.25"/>
    <row r="45" s="275" customFormat="1" ht="12.75" customHeight="1" x14ac:dyDescent="0.25"/>
    <row r="46" s="275" customFormat="1" ht="12.75" customHeight="1" x14ac:dyDescent="0.25"/>
    <row r="47" s="275" customFormat="1" ht="12.75" customHeight="1" x14ac:dyDescent="0.25"/>
    <row r="48" s="275" customFormat="1" ht="12.75" customHeight="1" x14ac:dyDescent="0.25"/>
    <row r="49" s="275" customFormat="1" ht="12.75" customHeight="1" x14ac:dyDescent="0.25"/>
    <row r="50" s="275" customFormat="1" ht="12.75" customHeight="1" x14ac:dyDescent="0.25"/>
    <row r="51" s="275" customFormat="1" ht="12.75" customHeight="1" x14ac:dyDescent="0.25"/>
    <row r="52" s="275" customFormat="1" ht="12.75" customHeight="1" x14ac:dyDescent="0.25"/>
    <row r="53" s="275" customFormat="1" ht="12.75" customHeight="1" x14ac:dyDescent="0.25"/>
    <row r="54" s="275" customFormat="1" ht="12.75" customHeight="1" x14ac:dyDescent="0.25"/>
    <row r="55" s="275" customFormat="1" ht="12.75" customHeight="1" x14ac:dyDescent="0.25"/>
    <row r="56" s="275" customFormat="1" ht="12.75" customHeight="1" x14ac:dyDescent="0.25"/>
    <row r="57" s="275" customFormat="1" ht="12.75" customHeight="1" x14ac:dyDescent="0.25"/>
    <row r="58" s="275" customFormat="1" ht="12.75" customHeight="1" x14ac:dyDescent="0.25"/>
    <row r="59" s="275" customFormat="1" ht="12.75" customHeight="1" x14ac:dyDescent="0.25"/>
    <row r="60" s="275" customFormat="1" ht="12.75" customHeight="1" x14ac:dyDescent="0.25"/>
    <row r="61" s="275" customFormat="1" ht="12.75" customHeight="1" x14ac:dyDescent="0.25"/>
    <row r="62" s="275" customFormat="1" ht="12.75" customHeight="1" x14ac:dyDescent="0.25"/>
    <row r="63" s="275" customFormat="1" ht="12.75" customHeight="1" x14ac:dyDescent="0.25"/>
    <row r="64" s="275" customFormat="1" ht="12.75" customHeight="1" x14ac:dyDescent="0.25"/>
    <row r="65" s="275" customFormat="1" ht="12.75" customHeight="1" x14ac:dyDescent="0.25"/>
    <row r="66" s="275" customFormat="1" ht="12.75" customHeight="1" x14ac:dyDescent="0.25"/>
    <row r="67" s="275" customFormat="1" ht="12.75" customHeight="1" x14ac:dyDescent="0.25"/>
    <row r="68" s="275" customFormat="1" ht="12.75" customHeight="1" x14ac:dyDescent="0.25"/>
    <row r="69" s="275" customFormat="1" ht="12.75" customHeight="1" x14ac:dyDescent="0.25"/>
    <row r="70" s="275" customFormat="1" ht="12.75" customHeight="1" x14ac:dyDescent="0.25"/>
    <row r="71" s="275" customFormat="1" ht="12.75" customHeight="1" x14ac:dyDescent="0.25"/>
    <row r="72" s="275" customFormat="1" ht="12.75" customHeight="1" x14ac:dyDescent="0.25"/>
    <row r="73" s="275" customFormat="1" ht="12.75" customHeight="1" x14ac:dyDescent="0.25"/>
    <row r="74" s="275" customFormat="1" ht="12.75" customHeight="1" x14ac:dyDescent="0.25"/>
    <row r="75" s="275" customFormat="1" ht="12.75" customHeight="1" x14ac:dyDescent="0.25"/>
    <row r="76" s="275" customFormat="1" ht="12.75" customHeight="1" x14ac:dyDescent="0.25"/>
    <row r="77" s="275" customFormat="1" ht="12.75" customHeight="1" x14ac:dyDescent="0.25"/>
    <row r="78" s="275" customFormat="1" ht="12.75" customHeight="1" x14ac:dyDescent="0.25"/>
    <row r="79" s="275" customFormat="1" ht="12.75" customHeight="1" x14ac:dyDescent="0.25"/>
    <row r="80" s="275" customFormat="1" ht="12.75" customHeight="1" x14ac:dyDescent="0.25"/>
    <row r="81" s="275" customFormat="1" ht="12.75" customHeight="1" x14ac:dyDescent="0.25"/>
    <row r="82" s="275" customFormat="1" ht="12.75" customHeight="1" x14ac:dyDescent="0.25"/>
    <row r="83" s="275" customFormat="1" ht="12.75" customHeight="1" x14ac:dyDescent="0.25"/>
    <row r="84" s="275"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87902-F65F-426D-8F87-8845C98772CE}">
  <sheetPr>
    <pageSetUpPr fitToPage="1"/>
  </sheetPr>
  <dimension ref="A1:I31"/>
  <sheetViews>
    <sheetView topLeftCell="A3" zoomScaleNormal="100" workbookViewId="0">
      <selection activeCell="L17" sqref="L17"/>
    </sheetView>
  </sheetViews>
  <sheetFormatPr defaultColWidth="11.42578125" defaultRowHeight="15" customHeight="1" x14ac:dyDescent="0.25"/>
  <cols>
    <col min="1" max="1" width="24.5703125" customWidth="1"/>
    <col min="2" max="2" width="9.42578125" customWidth="1"/>
    <col min="3" max="3" width="23.1406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#9500.00'!B1</f>
        <v>DOC MPCF Spill Containment for Diesel Tank</v>
      </c>
      <c r="B1" s="3"/>
      <c r="C1" s="4"/>
      <c r="D1" s="4"/>
      <c r="E1" s="4"/>
      <c r="F1" s="33"/>
      <c r="G1" s="33"/>
      <c r="H1" s="34"/>
      <c r="I1" s="34"/>
    </row>
    <row r="2" spans="1:9" ht="15.75" x14ac:dyDescent="0.25">
      <c r="A2" s="6" t="str">
        <f>'RECAP #9500.00'!B2</f>
        <v>Project # 9500.00</v>
      </c>
      <c r="B2" s="5"/>
      <c r="C2" s="4"/>
      <c r="D2" s="4"/>
      <c r="E2" s="4"/>
      <c r="F2" s="33"/>
      <c r="G2" s="33"/>
      <c r="H2" s="34"/>
      <c r="I2" s="34"/>
    </row>
    <row r="3" spans="1:9" ht="15.75" x14ac:dyDescent="0.25">
      <c r="A3" s="7" t="str">
        <f>'RECAP #9500.00'!B3</f>
        <v>Program code 950000</v>
      </c>
      <c r="B3" s="5"/>
      <c r="C3" s="4"/>
      <c r="D3" s="8" t="str">
        <f>'RECAP #9500.00'!E3</f>
        <v>Major Program 4E01</v>
      </c>
      <c r="E3" s="4"/>
      <c r="F3" s="33"/>
      <c r="G3" s="33"/>
      <c r="H3" s="34"/>
      <c r="I3" s="34"/>
    </row>
    <row r="4" spans="1:9" ht="15.75" x14ac:dyDescent="0.25">
      <c r="A4" s="35" t="s">
        <v>303</v>
      </c>
      <c r="B4" s="36"/>
      <c r="C4" s="37"/>
      <c r="D4" s="38" t="s">
        <v>304</v>
      </c>
      <c r="E4" s="39"/>
      <c r="F4" s="33"/>
      <c r="G4" s="33"/>
      <c r="H4" s="34"/>
      <c r="I4" s="34"/>
    </row>
    <row r="5" spans="1:9" ht="15.75" x14ac:dyDescent="0.25">
      <c r="A5" s="40" t="s">
        <v>552</v>
      </c>
      <c r="B5" s="41"/>
      <c r="C5" s="42"/>
      <c r="D5" s="43" t="s">
        <v>553</v>
      </c>
      <c r="E5" s="44"/>
      <c r="F5" s="45"/>
      <c r="G5" s="46"/>
      <c r="H5" s="41"/>
      <c r="I5" s="34"/>
    </row>
    <row r="6" spans="1:9" ht="15.75" x14ac:dyDescent="0.25">
      <c r="A6" s="13" t="str">
        <f>'RECAP #9500.00'!B6</f>
        <v>Project Manager - Brandon 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554</v>
      </c>
      <c r="B9" s="287">
        <v>46057</v>
      </c>
      <c r="C9" s="288" t="s">
        <v>111</v>
      </c>
      <c r="D9" s="289">
        <v>35000</v>
      </c>
      <c r="E9" s="290">
        <f>D9</f>
        <v>35000</v>
      </c>
      <c r="F9" s="291"/>
      <c r="G9" s="291"/>
      <c r="H9" s="291">
        <f>E9</f>
        <v>35000</v>
      </c>
      <c r="I9" s="292"/>
    </row>
    <row r="10" spans="1:9" s="275" customFormat="1" ht="12.75" customHeight="1" x14ac:dyDescent="0.25">
      <c r="A10" s="286" t="s">
        <v>707</v>
      </c>
      <c r="B10" s="293">
        <v>46104</v>
      </c>
      <c r="C10" s="288" t="s">
        <v>708</v>
      </c>
      <c r="D10" s="290"/>
      <c r="E10" s="290">
        <f t="shared" ref="E10:E21" si="0">E9+D10</f>
        <v>35000</v>
      </c>
      <c r="F10" s="294">
        <v>12674</v>
      </c>
      <c r="G10" s="291">
        <f t="shared" ref="G10:G21" si="1">G9+F10</f>
        <v>12674</v>
      </c>
      <c r="H10" s="291">
        <f t="shared" ref="H10:H21" si="2">H9-F10+D10</f>
        <v>22326</v>
      </c>
      <c r="I10" s="292"/>
    </row>
    <row r="11" spans="1:9" s="275" customFormat="1" ht="12.75" customHeight="1" x14ac:dyDescent="0.25">
      <c r="A11" s="286"/>
      <c r="B11" s="287"/>
      <c r="C11" s="288"/>
      <c r="D11" s="290"/>
      <c r="E11" s="290">
        <f t="shared" si="0"/>
        <v>35000</v>
      </c>
      <c r="F11" s="295"/>
      <c r="G11" s="291">
        <f t="shared" si="1"/>
        <v>12674</v>
      </c>
      <c r="H11" s="291">
        <f t="shared" si="2"/>
        <v>22326</v>
      </c>
      <c r="I11" s="292"/>
    </row>
    <row r="12" spans="1:9" s="275" customFormat="1" ht="12.75" customHeight="1" x14ac:dyDescent="0.25">
      <c r="A12" s="286"/>
      <c r="B12" s="287"/>
      <c r="C12" s="288"/>
      <c r="D12" s="290"/>
      <c r="E12" s="290">
        <f t="shared" si="0"/>
        <v>35000</v>
      </c>
      <c r="F12" s="295"/>
      <c r="G12" s="291">
        <f t="shared" si="1"/>
        <v>12674</v>
      </c>
      <c r="H12" s="291">
        <f t="shared" si="2"/>
        <v>22326</v>
      </c>
      <c r="I12" s="292"/>
    </row>
    <row r="13" spans="1:9" s="275" customFormat="1" ht="12.75" customHeight="1" x14ac:dyDescent="0.25">
      <c r="A13" s="286"/>
      <c r="B13" s="287"/>
      <c r="C13" s="288"/>
      <c r="D13" s="290"/>
      <c r="E13" s="290">
        <f t="shared" si="0"/>
        <v>35000</v>
      </c>
      <c r="F13" s="295"/>
      <c r="G13" s="291">
        <f t="shared" si="1"/>
        <v>12674</v>
      </c>
      <c r="H13" s="291">
        <f t="shared" si="2"/>
        <v>22326</v>
      </c>
      <c r="I13" s="292"/>
    </row>
    <row r="14" spans="1:9" s="275" customFormat="1" ht="12.75" customHeight="1" x14ac:dyDescent="0.25">
      <c r="A14" s="286"/>
      <c r="B14" s="287"/>
      <c r="C14" s="288"/>
      <c r="D14" s="290"/>
      <c r="E14" s="290">
        <f t="shared" si="0"/>
        <v>35000</v>
      </c>
      <c r="F14" s="291"/>
      <c r="G14" s="291">
        <f t="shared" si="1"/>
        <v>12674</v>
      </c>
      <c r="H14" s="291">
        <f t="shared" si="2"/>
        <v>22326</v>
      </c>
      <c r="I14" s="292"/>
    </row>
    <row r="15" spans="1:9" s="275" customFormat="1" ht="12.75" customHeight="1" x14ac:dyDescent="0.25">
      <c r="A15" s="286"/>
      <c r="B15" s="287"/>
      <c r="C15" s="288"/>
      <c r="D15" s="290"/>
      <c r="E15" s="290">
        <f t="shared" si="0"/>
        <v>35000</v>
      </c>
      <c r="F15" s="295"/>
      <c r="G15" s="291">
        <f t="shared" si="1"/>
        <v>12674</v>
      </c>
      <c r="H15" s="291">
        <f t="shared" si="2"/>
        <v>22326</v>
      </c>
      <c r="I15" s="292"/>
    </row>
    <row r="16" spans="1:9" s="275" customFormat="1" ht="12.75" customHeight="1" x14ac:dyDescent="0.25">
      <c r="A16" s="286"/>
      <c r="B16" s="287"/>
      <c r="C16" s="288"/>
      <c r="D16" s="290"/>
      <c r="E16" s="290">
        <f t="shared" si="0"/>
        <v>35000</v>
      </c>
      <c r="F16" s="295"/>
      <c r="G16" s="291">
        <f t="shared" si="1"/>
        <v>12674</v>
      </c>
      <c r="H16" s="291">
        <f t="shared" si="2"/>
        <v>22326</v>
      </c>
      <c r="I16" s="292"/>
    </row>
    <row r="17" spans="1:9" s="275" customFormat="1" ht="12.75" customHeight="1" x14ac:dyDescent="0.25">
      <c r="A17" s="286"/>
      <c r="B17" s="287"/>
      <c r="C17" s="288"/>
      <c r="D17" s="290"/>
      <c r="E17" s="290">
        <f t="shared" si="0"/>
        <v>35000</v>
      </c>
      <c r="F17" s="295"/>
      <c r="G17" s="291">
        <f t="shared" si="1"/>
        <v>12674</v>
      </c>
      <c r="H17" s="291">
        <f t="shared" si="2"/>
        <v>22326</v>
      </c>
      <c r="I17" s="292"/>
    </row>
    <row r="18" spans="1:9" s="275" customFormat="1" ht="12.75" customHeight="1" x14ac:dyDescent="0.25">
      <c r="A18" s="286"/>
      <c r="B18" s="287"/>
      <c r="C18" s="288"/>
      <c r="D18" s="290"/>
      <c r="E18" s="290">
        <f t="shared" si="0"/>
        <v>35000</v>
      </c>
      <c r="F18" s="295"/>
      <c r="G18" s="291">
        <f t="shared" si="1"/>
        <v>12674</v>
      </c>
      <c r="H18" s="291">
        <f t="shared" si="2"/>
        <v>22326</v>
      </c>
      <c r="I18" s="292"/>
    </row>
    <row r="19" spans="1:9" s="275" customFormat="1" ht="12.75" customHeight="1" x14ac:dyDescent="0.25">
      <c r="A19" s="286"/>
      <c r="B19" s="287"/>
      <c r="C19" s="288"/>
      <c r="D19" s="290"/>
      <c r="E19" s="290">
        <f t="shared" si="0"/>
        <v>35000</v>
      </c>
      <c r="F19" s="291"/>
      <c r="G19" s="291">
        <f t="shared" si="1"/>
        <v>12674</v>
      </c>
      <c r="H19" s="291">
        <f t="shared" si="2"/>
        <v>22326</v>
      </c>
      <c r="I19" s="292"/>
    </row>
    <row r="20" spans="1:9" s="275" customFormat="1" ht="12.75" customHeight="1" x14ac:dyDescent="0.25">
      <c r="A20" s="286"/>
      <c r="B20" s="287"/>
      <c r="C20" s="288"/>
      <c r="D20" s="290"/>
      <c r="E20" s="290">
        <f t="shared" si="0"/>
        <v>35000</v>
      </c>
      <c r="F20" s="291"/>
      <c r="G20" s="291">
        <f t="shared" si="1"/>
        <v>12674</v>
      </c>
      <c r="H20" s="291">
        <f t="shared" si="2"/>
        <v>22326</v>
      </c>
      <c r="I20" s="292"/>
    </row>
    <row r="21" spans="1:9" s="275" customFormat="1" ht="12.75" customHeight="1" x14ac:dyDescent="0.25">
      <c r="A21" s="286"/>
      <c r="B21" s="287"/>
      <c r="C21" s="296"/>
      <c r="D21" s="290"/>
      <c r="E21" s="290">
        <f t="shared" si="0"/>
        <v>35000</v>
      </c>
      <c r="F21" s="291"/>
      <c r="G21" s="291">
        <f t="shared" si="1"/>
        <v>12674</v>
      </c>
      <c r="H21" s="291">
        <f t="shared" si="2"/>
        <v>22326</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35000</v>
      </c>
      <c r="E23" s="302"/>
      <c r="F23" s="302">
        <f>SUM(F9:F22)</f>
        <v>12674</v>
      </c>
      <c r="G23" s="302"/>
      <c r="H23" s="302">
        <f>D23-F23</f>
        <v>22326</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297" t="s">
        <v>307</v>
      </c>
      <c r="D26" s="291">
        <v>12674</v>
      </c>
      <c r="E26" s="291"/>
      <c r="F26" s="291">
        <f>12674</f>
        <v>12674</v>
      </c>
      <c r="G26" s="291"/>
      <c r="H26" s="291">
        <f>D26-F26</f>
        <v>0</v>
      </c>
      <c r="I26" s="292"/>
    </row>
    <row r="27" spans="1:9" s="275" customFormat="1" ht="12.75" customHeight="1" x14ac:dyDescent="0.25">
      <c r="A27" s="286"/>
      <c r="B27" s="288"/>
      <c r="C27" s="297" t="s">
        <v>123</v>
      </c>
      <c r="D27" s="291">
        <v>13013</v>
      </c>
      <c r="E27" s="291"/>
      <c r="F27" s="291"/>
      <c r="G27" s="291"/>
      <c r="H27" s="291">
        <f t="shared" ref="H27:H29" si="3">D27-F27</f>
        <v>13013</v>
      </c>
      <c r="I27" s="292"/>
    </row>
    <row r="28" spans="1:9" s="275" customFormat="1" ht="12.75" customHeight="1" x14ac:dyDescent="0.25">
      <c r="A28" s="286"/>
      <c r="B28" s="288"/>
      <c r="C28" s="312" t="s">
        <v>409</v>
      </c>
      <c r="D28" s="313">
        <v>2280</v>
      </c>
      <c r="E28" s="313"/>
      <c r="F28" s="313"/>
      <c r="G28" s="313"/>
      <c r="H28" s="291">
        <f t="shared" si="3"/>
        <v>2280</v>
      </c>
      <c r="I28" s="292"/>
    </row>
    <row r="29" spans="1:9" s="275" customFormat="1" ht="12.75" customHeight="1" x14ac:dyDescent="0.25">
      <c r="A29" s="286"/>
      <c r="B29" s="288"/>
      <c r="C29" s="312" t="s">
        <v>125</v>
      </c>
      <c r="D29" s="313">
        <v>7033</v>
      </c>
      <c r="E29" s="313"/>
      <c r="F29" s="313"/>
      <c r="G29" s="313"/>
      <c r="H29" s="291">
        <f t="shared" si="3"/>
        <v>7033</v>
      </c>
      <c r="I29" s="292"/>
    </row>
    <row r="30" spans="1:9" s="275" customFormat="1" ht="12.75" customHeight="1" thickBot="1" x14ac:dyDescent="0.3">
      <c r="A30" s="286"/>
      <c r="B30" s="288"/>
      <c r="C30" s="314" t="s">
        <v>67</v>
      </c>
      <c r="D30" s="315">
        <f>SUM(D26:D29)</f>
        <v>35000</v>
      </c>
      <c r="E30" s="316"/>
      <c r="F30" s="315">
        <f>SUM(F26:F29)</f>
        <v>12674</v>
      </c>
      <c r="G30" s="316"/>
      <c r="H30" s="315">
        <f>SUM(H26:H29)</f>
        <v>22326</v>
      </c>
      <c r="I30" s="292"/>
    </row>
    <row r="31" spans="1:9" s="275" customFormat="1" ht="12.75" customHeight="1" thickTop="1" x14ac:dyDescent="0.25"/>
  </sheetData>
  <conditionalFormatting sqref="I8:I23">
    <cfRule type="cellIs" dxfId="33"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8E4D0-5A04-420A-BEDC-8D6FF46FE18F}">
  <sheetPr>
    <pageSetUpPr fitToPage="1"/>
  </sheetPr>
  <dimension ref="A1:I34"/>
  <sheetViews>
    <sheetView zoomScaleNormal="100" workbookViewId="0">
      <selection activeCell="A16" sqref="A16"/>
    </sheetView>
  </sheetViews>
  <sheetFormatPr defaultColWidth="11.42578125" defaultRowHeight="15" customHeight="1" x14ac:dyDescent="0.25"/>
  <cols>
    <col min="1" max="1" width="24.5703125" customWidth="1"/>
    <col min="2" max="2" width="9.42578125" customWidth="1"/>
    <col min="3" max="3" width="24.85546875"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#9500.00'!B1</f>
        <v>DOC MPCF Spill Containment for Diesel Tank</v>
      </c>
      <c r="B1" s="3"/>
      <c r="C1" s="4"/>
      <c r="D1" s="4"/>
      <c r="E1" s="4"/>
      <c r="F1" s="33"/>
      <c r="G1" s="33"/>
      <c r="H1" s="34"/>
      <c r="I1" s="34"/>
    </row>
    <row r="2" spans="1:9" ht="15.75" x14ac:dyDescent="0.25">
      <c r="A2" s="6" t="str">
        <f>'RECAP #9500.00'!B2</f>
        <v>Project # 9500.00</v>
      </c>
      <c r="B2" s="5"/>
      <c r="C2" s="4"/>
      <c r="D2" s="4"/>
      <c r="E2" s="4"/>
      <c r="F2" s="33"/>
      <c r="G2" s="33"/>
      <c r="H2" s="34"/>
      <c r="I2" s="34"/>
    </row>
    <row r="3" spans="1:9" ht="15.75" x14ac:dyDescent="0.25">
      <c r="A3" s="7" t="str">
        <f>'RECAP #9500.00'!B3</f>
        <v>Program code 950000</v>
      </c>
      <c r="B3" s="5"/>
      <c r="C3" s="4"/>
      <c r="D3" s="8" t="str">
        <f>'RECAP #9500.00'!E3</f>
        <v>Major Program 4E01</v>
      </c>
      <c r="E3" s="4"/>
      <c r="F3" s="33"/>
      <c r="G3" s="33"/>
      <c r="H3" s="34"/>
      <c r="I3" s="34"/>
    </row>
    <row r="4" spans="1:9" ht="15.75" x14ac:dyDescent="0.25">
      <c r="A4" s="35" t="s">
        <v>580</v>
      </c>
      <c r="B4" s="36"/>
      <c r="C4" s="37"/>
      <c r="D4" s="38" t="s">
        <v>582</v>
      </c>
      <c r="E4" s="39"/>
      <c r="F4" s="33"/>
      <c r="G4" s="33"/>
      <c r="H4" s="34"/>
      <c r="I4" s="34"/>
    </row>
    <row r="5" spans="1:9" ht="15.75" x14ac:dyDescent="0.25">
      <c r="A5" s="40" t="s">
        <v>552</v>
      </c>
      <c r="B5" s="41"/>
      <c r="C5" s="42"/>
      <c r="D5" s="43" t="s">
        <v>581</v>
      </c>
      <c r="E5" s="44"/>
      <c r="F5" s="45"/>
      <c r="G5" s="46"/>
      <c r="H5" s="41"/>
      <c r="I5" s="34"/>
    </row>
    <row r="6" spans="1:9" ht="15.75" x14ac:dyDescent="0.25">
      <c r="A6" s="13" t="str">
        <f>'RECAP #9500.00'!B6</f>
        <v>Project Manager - Brandon 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583</v>
      </c>
      <c r="B9" s="287">
        <v>46071</v>
      </c>
      <c r="C9" s="288" t="s">
        <v>111</v>
      </c>
      <c r="D9" s="289">
        <v>7210</v>
      </c>
      <c r="E9" s="290">
        <f>D9</f>
        <v>7210</v>
      </c>
      <c r="F9" s="291"/>
      <c r="G9" s="291"/>
      <c r="H9" s="291">
        <f>E9</f>
        <v>7210</v>
      </c>
      <c r="I9" s="292"/>
    </row>
    <row r="10" spans="1:9" s="275" customFormat="1" ht="12.75" customHeight="1" x14ac:dyDescent="0.25">
      <c r="A10" s="286"/>
      <c r="B10" s="293"/>
      <c r="C10" s="288"/>
      <c r="D10" s="290"/>
      <c r="E10" s="290">
        <f t="shared" ref="E10:E21" si="0">E9+D10</f>
        <v>7210</v>
      </c>
      <c r="F10" s="295"/>
      <c r="G10" s="291">
        <f t="shared" ref="G10:G21" si="1">G9+F10</f>
        <v>0</v>
      </c>
      <c r="H10" s="291">
        <f t="shared" ref="H10:H21" si="2">H9-F10+D10</f>
        <v>7210</v>
      </c>
      <c r="I10" s="292"/>
    </row>
    <row r="11" spans="1:9" s="275" customFormat="1" ht="12.75" customHeight="1" x14ac:dyDescent="0.25">
      <c r="A11" s="286"/>
      <c r="B11" s="287"/>
      <c r="C11" s="288"/>
      <c r="D11" s="290"/>
      <c r="E11" s="290">
        <f t="shared" si="0"/>
        <v>7210</v>
      </c>
      <c r="F11" s="295"/>
      <c r="G11" s="291">
        <f t="shared" si="1"/>
        <v>0</v>
      </c>
      <c r="H11" s="291">
        <f t="shared" si="2"/>
        <v>7210</v>
      </c>
      <c r="I11" s="292"/>
    </row>
    <row r="12" spans="1:9" s="275" customFormat="1" ht="12.75" customHeight="1" x14ac:dyDescent="0.25">
      <c r="A12" s="286"/>
      <c r="B12" s="287"/>
      <c r="C12" s="288"/>
      <c r="D12" s="290"/>
      <c r="E12" s="290">
        <f t="shared" si="0"/>
        <v>7210</v>
      </c>
      <c r="F12" s="295"/>
      <c r="G12" s="291">
        <f t="shared" si="1"/>
        <v>0</v>
      </c>
      <c r="H12" s="291">
        <f t="shared" si="2"/>
        <v>7210</v>
      </c>
      <c r="I12" s="292"/>
    </row>
    <row r="13" spans="1:9" s="275" customFormat="1" ht="12.75" customHeight="1" x14ac:dyDescent="0.25">
      <c r="A13" s="286"/>
      <c r="B13" s="287"/>
      <c r="C13" s="288"/>
      <c r="D13" s="290"/>
      <c r="E13" s="290">
        <f t="shared" si="0"/>
        <v>7210</v>
      </c>
      <c r="F13" s="295"/>
      <c r="G13" s="291">
        <f t="shared" si="1"/>
        <v>0</v>
      </c>
      <c r="H13" s="291">
        <f t="shared" si="2"/>
        <v>7210</v>
      </c>
      <c r="I13" s="292"/>
    </row>
    <row r="14" spans="1:9" s="275" customFormat="1" ht="12.75" customHeight="1" x14ac:dyDescent="0.25">
      <c r="A14" s="286"/>
      <c r="B14" s="287"/>
      <c r="C14" s="288"/>
      <c r="D14" s="290"/>
      <c r="E14" s="290">
        <f t="shared" si="0"/>
        <v>7210</v>
      </c>
      <c r="F14" s="291"/>
      <c r="G14" s="291">
        <f t="shared" si="1"/>
        <v>0</v>
      </c>
      <c r="H14" s="291">
        <f t="shared" si="2"/>
        <v>7210</v>
      </c>
      <c r="I14" s="292"/>
    </row>
    <row r="15" spans="1:9" s="275" customFormat="1" ht="12.75" customHeight="1" x14ac:dyDescent="0.25">
      <c r="A15" s="286"/>
      <c r="B15" s="287"/>
      <c r="C15" s="288"/>
      <c r="D15" s="290"/>
      <c r="E15" s="290">
        <f t="shared" si="0"/>
        <v>7210</v>
      </c>
      <c r="F15" s="295"/>
      <c r="G15" s="291">
        <f t="shared" si="1"/>
        <v>0</v>
      </c>
      <c r="H15" s="291">
        <f t="shared" si="2"/>
        <v>7210</v>
      </c>
      <c r="I15" s="292"/>
    </row>
    <row r="16" spans="1:9" s="275" customFormat="1" ht="12.75" customHeight="1" x14ac:dyDescent="0.25">
      <c r="A16" s="286"/>
      <c r="B16" s="287"/>
      <c r="C16" s="288"/>
      <c r="D16" s="290"/>
      <c r="E16" s="290">
        <f t="shared" si="0"/>
        <v>7210</v>
      </c>
      <c r="F16" s="295"/>
      <c r="G16" s="291">
        <f t="shared" si="1"/>
        <v>0</v>
      </c>
      <c r="H16" s="291">
        <f t="shared" si="2"/>
        <v>7210</v>
      </c>
      <c r="I16" s="292"/>
    </row>
    <row r="17" spans="1:9" s="275" customFormat="1" ht="12.75" customHeight="1" x14ac:dyDescent="0.25">
      <c r="A17" s="286"/>
      <c r="B17" s="287"/>
      <c r="C17" s="288"/>
      <c r="D17" s="290"/>
      <c r="E17" s="290">
        <f t="shared" si="0"/>
        <v>7210</v>
      </c>
      <c r="F17" s="295"/>
      <c r="G17" s="291">
        <f t="shared" si="1"/>
        <v>0</v>
      </c>
      <c r="H17" s="291">
        <f t="shared" si="2"/>
        <v>7210</v>
      </c>
      <c r="I17" s="292"/>
    </row>
    <row r="18" spans="1:9" s="275" customFormat="1" ht="12.75" customHeight="1" x14ac:dyDescent="0.25">
      <c r="A18" s="286"/>
      <c r="B18" s="287"/>
      <c r="C18" s="288"/>
      <c r="D18" s="290"/>
      <c r="E18" s="290">
        <f t="shared" si="0"/>
        <v>7210</v>
      </c>
      <c r="F18" s="295"/>
      <c r="G18" s="291">
        <f t="shared" si="1"/>
        <v>0</v>
      </c>
      <c r="H18" s="291">
        <f t="shared" si="2"/>
        <v>7210</v>
      </c>
      <c r="I18" s="292"/>
    </row>
    <row r="19" spans="1:9" s="275" customFormat="1" ht="12.75" customHeight="1" x14ac:dyDescent="0.25">
      <c r="A19" s="286"/>
      <c r="B19" s="287"/>
      <c r="C19" s="288"/>
      <c r="D19" s="290"/>
      <c r="E19" s="290">
        <f t="shared" si="0"/>
        <v>7210</v>
      </c>
      <c r="F19" s="291"/>
      <c r="G19" s="291">
        <f t="shared" si="1"/>
        <v>0</v>
      </c>
      <c r="H19" s="291">
        <f t="shared" si="2"/>
        <v>7210</v>
      </c>
      <c r="I19" s="292"/>
    </row>
    <row r="20" spans="1:9" s="275" customFormat="1" ht="12.75" customHeight="1" x14ac:dyDescent="0.25">
      <c r="A20" s="286"/>
      <c r="B20" s="287"/>
      <c r="C20" s="288"/>
      <c r="D20" s="290"/>
      <c r="E20" s="290">
        <f t="shared" si="0"/>
        <v>7210</v>
      </c>
      <c r="F20" s="291"/>
      <c r="G20" s="291">
        <f t="shared" si="1"/>
        <v>0</v>
      </c>
      <c r="H20" s="291">
        <f t="shared" si="2"/>
        <v>7210</v>
      </c>
      <c r="I20" s="292"/>
    </row>
    <row r="21" spans="1:9" s="275" customFormat="1" ht="12.75" customHeight="1" x14ac:dyDescent="0.25">
      <c r="A21" s="286"/>
      <c r="B21" s="287"/>
      <c r="C21" s="296"/>
      <c r="D21" s="290"/>
      <c r="E21" s="290">
        <f t="shared" si="0"/>
        <v>7210</v>
      </c>
      <c r="F21" s="291"/>
      <c r="G21" s="291">
        <f t="shared" si="1"/>
        <v>0</v>
      </c>
      <c r="H21" s="291">
        <f t="shared" si="2"/>
        <v>7210</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7210</v>
      </c>
      <c r="E23" s="302"/>
      <c r="F23" s="302">
        <f>SUM(F9:F22)</f>
        <v>0</v>
      </c>
      <c r="G23" s="302"/>
      <c r="H23" s="302">
        <f>D23-F23</f>
        <v>7210</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297" t="s">
        <v>584</v>
      </c>
      <c r="D26" s="291">
        <v>420</v>
      </c>
      <c r="E26" s="291"/>
      <c r="F26" s="291"/>
      <c r="G26" s="291"/>
      <c r="H26" s="291">
        <f>D26-F26</f>
        <v>420</v>
      </c>
      <c r="I26" s="292"/>
    </row>
    <row r="27" spans="1:9" s="275" customFormat="1" ht="12.75" customHeight="1" x14ac:dyDescent="0.25">
      <c r="A27" s="286"/>
      <c r="B27" s="288"/>
      <c r="C27" s="297" t="s">
        <v>585</v>
      </c>
      <c r="D27" s="291">
        <v>210</v>
      </c>
      <c r="E27" s="291"/>
      <c r="F27" s="291"/>
      <c r="G27" s="291"/>
      <c r="H27" s="291">
        <f t="shared" ref="H27:H32" si="3">D27-F27</f>
        <v>210</v>
      </c>
      <c r="I27" s="292"/>
    </row>
    <row r="28" spans="1:9" s="275" customFormat="1" ht="12.75" customHeight="1" x14ac:dyDescent="0.25">
      <c r="A28" s="286"/>
      <c r="B28" s="288"/>
      <c r="C28" s="297" t="s">
        <v>586</v>
      </c>
      <c r="D28" s="291">
        <v>260</v>
      </c>
      <c r="E28" s="291"/>
      <c r="F28" s="291"/>
      <c r="G28" s="291"/>
      <c r="H28" s="291">
        <f t="shared" si="3"/>
        <v>260</v>
      </c>
      <c r="I28" s="292"/>
    </row>
    <row r="29" spans="1:9" s="275" customFormat="1" ht="12.75" customHeight="1" x14ac:dyDescent="0.25">
      <c r="A29" s="286"/>
      <c r="B29" s="288"/>
      <c r="C29" s="297" t="s">
        <v>587</v>
      </c>
      <c r="D29" s="291">
        <v>3380</v>
      </c>
      <c r="E29" s="291"/>
      <c r="F29" s="291"/>
      <c r="G29" s="291"/>
      <c r="H29" s="291">
        <f t="shared" si="3"/>
        <v>3380</v>
      </c>
      <c r="I29" s="292"/>
    </row>
    <row r="30" spans="1:9" s="275" customFormat="1" ht="12.75" customHeight="1" x14ac:dyDescent="0.25">
      <c r="A30" s="286"/>
      <c r="B30" s="288"/>
      <c r="C30" s="297" t="s">
        <v>588</v>
      </c>
      <c r="D30" s="291">
        <v>1750</v>
      </c>
      <c r="E30" s="291"/>
      <c r="F30" s="291"/>
      <c r="G30" s="291"/>
      <c r="H30" s="291">
        <f t="shared" si="3"/>
        <v>1750</v>
      </c>
      <c r="I30" s="292"/>
    </row>
    <row r="31" spans="1:9" s="275" customFormat="1" ht="12.75" customHeight="1" x14ac:dyDescent="0.25">
      <c r="A31" s="286"/>
      <c r="B31" s="288"/>
      <c r="C31" s="312" t="s">
        <v>589</v>
      </c>
      <c r="D31" s="313">
        <v>150</v>
      </c>
      <c r="E31" s="313"/>
      <c r="F31" s="313"/>
      <c r="G31" s="313"/>
      <c r="H31" s="291">
        <f t="shared" si="3"/>
        <v>150</v>
      </c>
      <c r="I31" s="292"/>
    </row>
    <row r="32" spans="1:9" s="275" customFormat="1" ht="12.75" customHeight="1" x14ac:dyDescent="0.25">
      <c r="A32" s="286"/>
      <c r="B32" s="288"/>
      <c r="C32" s="312" t="s">
        <v>590</v>
      </c>
      <c r="D32" s="313">
        <v>1040</v>
      </c>
      <c r="E32" s="313"/>
      <c r="F32" s="313"/>
      <c r="G32" s="313"/>
      <c r="H32" s="291">
        <f t="shared" si="3"/>
        <v>1040</v>
      </c>
      <c r="I32" s="292"/>
    </row>
    <row r="33" spans="1:9" s="275" customFormat="1" ht="12.75" customHeight="1" thickBot="1" x14ac:dyDescent="0.3">
      <c r="A33" s="286"/>
      <c r="B33" s="288"/>
      <c r="C33" s="314" t="s">
        <v>67</v>
      </c>
      <c r="D33" s="315">
        <f>SUM(D26:D32)</f>
        <v>7210</v>
      </c>
      <c r="E33" s="316"/>
      <c r="F33" s="315">
        <f>SUM(F26:F32)</f>
        <v>0</v>
      </c>
      <c r="G33" s="316"/>
      <c r="H33" s="315">
        <f>SUM(H26:H32)</f>
        <v>7210</v>
      </c>
      <c r="I33" s="292"/>
    </row>
    <row r="34" spans="1:9" s="275" customFormat="1" ht="12.75" customHeight="1" thickTop="1" x14ac:dyDescent="0.25"/>
  </sheetData>
  <conditionalFormatting sqref="I8:I23">
    <cfRule type="cellIs" dxfId="32"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D26BA-6FBF-4CD4-AE56-E80DEA20B3F0}">
  <sheetPr>
    <pageSetUpPr fitToPage="1"/>
  </sheetPr>
  <dimension ref="A1:G16"/>
  <sheetViews>
    <sheetView zoomScaleNormal="100" workbookViewId="0">
      <selection activeCell="K17" sqref="K17"/>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470</v>
      </c>
      <c r="C1" s="3"/>
      <c r="D1" s="4"/>
      <c r="E1" s="4"/>
      <c r="F1" s="4"/>
      <c r="G1" s="4"/>
    </row>
    <row r="2" spans="1:7" ht="15.75" x14ac:dyDescent="0.25">
      <c r="A2" s="1"/>
      <c r="B2" s="6" t="s">
        <v>203</v>
      </c>
      <c r="C2" s="5"/>
      <c r="D2" s="4"/>
      <c r="E2" s="4"/>
      <c r="F2" s="4"/>
      <c r="G2" s="4"/>
    </row>
    <row r="3" spans="1:7" ht="15.75" x14ac:dyDescent="0.25">
      <c r="A3" s="1"/>
      <c r="B3" s="7" t="s">
        <v>205</v>
      </c>
      <c r="C3" s="5"/>
      <c r="D3" s="4"/>
      <c r="E3" s="8" t="s">
        <v>204</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33.75" customHeight="1" thickBot="1" x14ac:dyDescent="0.3">
      <c r="A7" s="1"/>
      <c r="B7" s="18" t="s">
        <v>2</v>
      </c>
      <c r="C7" s="19" t="s">
        <v>3</v>
      </c>
      <c r="D7" s="20" t="s">
        <v>4</v>
      </c>
      <c r="E7" s="21" t="s">
        <v>5</v>
      </c>
      <c r="F7" s="22" t="s">
        <v>6</v>
      </c>
      <c r="G7" s="22" t="s">
        <v>7</v>
      </c>
    </row>
    <row r="8" spans="1:7" ht="28.35" customHeight="1" x14ac:dyDescent="0.25">
      <c r="A8" s="1"/>
      <c r="B8" s="1" t="s">
        <v>8</v>
      </c>
      <c r="C8" s="23">
        <f>FINANCIAL!G28</f>
        <v>275000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03"/>
      <c r="B10" s="304" t="s">
        <v>261</v>
      </c>
      <c r="C10" s="305"/>
      <c r="D10" s="308">
        <f>'#9501.00 McGough Construction'!D23</f>
        <v>17978.830000000002</v>
      </c>
      <c r="E10" s="308">
        <f>'#9501.00 McGough Construction'!F23</f>
        <v>3526.81</v>
      </c>
      <c r="F10" s="308">
        <f>'#9501.00 McGough Construction'!H23</f>
        <v>14452.020000000002</v>
      </c>
      <c r="G10" s="307"/>
    </row>
    <row r="11" spans="1:7" s="275" customFormat="1" ht="12.75" customHeight="1" x14ac:dyDescent="0.25">
      <c r="A11" s="303"/>
      <c r="B11" s="304" t="s">
        <v>10</v>
      </c>
      <c r="C11" s="305"/>
      <c r="D11" s="308">
        <f>'#9501.00 PM TIME'!E23</f>
        <v>10000</v>
      </c>
      <c r="E11" s="308">
        <f>'#9501.00 PM TIME'!G23</f>
        <v>2149.66</v>
      </c>
      <c r="F11" s="308">
        <f>'#9501.00 PM TIME'!I23</f>
        <v>7850.34</v>
      </c>
      <c r="G11" s="307"/>
    </row>
    <row r="12" spans="1:7" s="275" customFormat="1" ht="12.75" customHeight="1" x14ac:dyDescent="0.25">
      <c r="A12" s="303"/>
      <c r="B12" s="304" t="s">
        <v>11</v>
      </c>
      <c r="C12" s="306"/>
      <c r="D12" s="309">
        <f>'#9501.00 Misc'!G22</f>
        <v>0</v>
      </c>
      <c r="E12" s="309">
        <f>'#9501.00 Misc'!G22</f>
        <v>0</v>
      </c>
      <c r="F12" s="308">
        <f>D12-E12</f>
        <v>0</v>
      </c>
      <c r="G12" s="307"/>
    </row>
    <row r="13" spans="1:7" s="275" customFormat="1" ht="12.75" customHeight="1" x14ac:dyDescent="0.25">
      <c r="A13" s="303"/>
      <c r="B13" s="304" t="s">
        <v>700</v>
      </c>
      <c r="C13" s="306"/>
      <c r="D13" s="309">
        <f>'#9501.00 IMEG Corp'!D23</f>
        <v>34940</v>
      </c>
      <c r="E13" s="309">
        <f>'#9501.00 IMEG Corp'!F23</f>
        <v>0</v>
      </c>
      <c r="F13" s="308">
        <f>'#9501.00 IMEG Corp'!H23</f>
        <v>34940</v>
      </c>
      <c r="G13" s="307"/>
    </row>
    <row r="14" spans="1:7" s="275" customFormat="1" ht="12.75" customHeight="1" x14ac:dyDescent="0.25">
      <c r="A14" s="310"/>
      <c r="B14" s="304"/>
      <c r="C14" s="306"/>
      <c r="D14" s="309"/>
      <c r="E14" s="309"/>
      <c r="F14" s="308"/>
      <c r="G14" s="311"/>
    </row>
    <row r="15" spans="1:7" ht="24" customHeight="1" thickBot="1" x14ac:dyDescent="0.3">
      <c r="A15" s="30"/>
      <c r="B15" s="31" t="s">
        <v>12</v>
      </c>
      <c r="C15" s="32">
        <f>SUM(C8:C14)</f>
        <v>275000</v>
      </c>
      <c r="D15" s="32">
        <f>SUM(D8:D14)</f>
        <v>62918.83</v>
      </c>
      <c r="E15" s="32">
        <f>SUM(E8:E14)</f>
        <v>5676.4699999999993</v>
      </c>
      <c r="F15" s="32">
        <f>SUM(D15-E15)</f>
        <v>57242.36</v>
      </c>
      <c r="G15" s="32">
        <f>C8-D15</f>
        <v>212081.16999999998</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D6CA4-0E12-4800-AF6C-00CF46D89B51}">
  <sheetPr>
    <pageSetUpPr fitToPage="1"/>
  </sheetPr>
  <dimension ref="A1:J25"/>
  <sheetViews>
    <sheetView zoomScaleNormal="100" workbookViewId="0">
      <selection activeCell="H29" sqref="H29"/>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3.1406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#9440.01'!B1</f>
        <v>DAS CC Historical Building Elevators Replacement PH1</v>
      </c>
      <c r="B1" s="3"/>
      <c r="C1" s="3"/>
      <c r="D1" s="4"/>
      <c r="E1" s="4"/>
      <c r="F1" s="4"/>
      <c r="G1" s="33"/>
      <c r="H1" s="33"/>
      <c r="I1" s="34"/>
      <c r="J1" s="34"/>
    </row>
    <row r="2" spans="1:10" ht="15.75" x14ac:dyDescent="0.25">
      <c r="A2" s="6" t="str">
        <f>'RECAP #9440.01'!B2</f>
        <v>Project # 9440.01</v>
      </c>
      <c r="B2" s="5"/>
      <c r="C2" s="5"/>
      <c r="D2" s="4"/>
      <c r="E2" s="4"/>
      <c r="F2" s="4"/>
      <c r="G2" s="33"/>
      <c r="H2" s="33"/>
      <c r="I2" s="34"/>
      <c r="J2" s="34"/>
    </row>
    <row r="3" spans="1:10" ht="15.75" x14ac:dyDescent="0.25">
      <c r="A3" s="7" t="str">
        <f>'RECAP #9440.01'!B3</f>
        <v>Program code 944001</v>
      </c>
      <c r="B3" s="5"/>
      <c r="C3" s="5"/>
      <c r="D3" s="4"/>
      <c r="E3" s="8" t="str">
        <f>'RECAP #9440.01'!E3</f>
        <v xml:space="preserve">Major Program:  4D03 </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530</v>
      </c>
      <c r="F6" s="49"/>
      <c r="G6" s="50"/>
      <c r="H6" s="46"/>
      <c r="I6" s="41"/>
      <c r="J6" s="34"/>
    </row>
    <row r="7" spans="1:10" ht="15.75" x14ac:dyDescent="0.25">
      <c r="A7" s="13" t="str">
        <f>'RECAP #9440.01'!B6</f>
        <v>Project Manager - Brad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30000</v>
      </c>
      <c r="F9" s="290">
        <f>E9</f>
        <v>30000</v>
      </c>
      <c r="G9" s="291"/>
      <c r="H9" s="291"/>
      <c r="I9" s="291">
        <f>F9</f>
        <v>30000</v>
      </c>
      <c r="J9" s="292"/>
    </row>
    <row r="10" spans="1:10" s="275" customFormat="1" ht="12.75" customHeight="1" x14ac:dyDescent="0.2">
      <c r="A10" s="213" t="s">
        <v>663</v>
      </c>
      <c r="B10" s="214">
        <v>46090</v>
      </c>
      <c r="C10" s="332" t="s">
        <v>269</v>
      </c>
      <c r="D10" s="175" t="s">
        <v>664</v>
      </c>
      <c r="E10" s="290"/>
      <c r="F10" s="290">
        <f t="shared" ref="F10:F21" si="0">F9+E10</f>
        <v>30000</v>
      </c>
      <c r="G10" s="294">
        <v>48.78</v>
      </c>
      <c r="H10" s="291">
        <f t="shared" ref="H10:H21" si="1">H9+G10</f>
        <v>48.78</v>
      </c>
      <c r="I10" s="291">
        <f t="shared" ref="I10:I21" si="2">I9-G10+E10</f>
        <v>29951.22</v>
      </c>
      <c r="J10" s="292"/>
    </row>
    <row r="11" spans="1:10" s="275" customFormat="1" ht="12.75" customHeight="1" x14ac:dyDescent="0.2">
      <c r="A11" s="213" t="s">
        <v>663</v>
      </c>
      <c r="B11" s="214">
        <v>46090</v>
      </c>
      <c r="C11" s="333">
        <v>9500</v>
      </c>
      <c r="D11" s="78" t="s">
        <v>665</v>
      </c>
      <c r="E11" s="290"/>
      <c r="F11" s="290">
        <f t="shared" si="0"/>
        <v>30000</v>
      </c>
      <c r="G11" s="294">
        <v>561.5</v>
      </c>
      <c r="H11" s="291">
        <f t="shared" si="1"/>
        <v>610.28</v>
      </c>
      <c r="I11" s="291">
        <f t="shared" si="2"/>
        <v>29389.72</v>
      </c>
      <c r="J11" s="292"/>
    </row>
    <row r="12" spans="1:10" s="275" customFormat="1" ht="12.75" customHeight="1" x14ac:dyDescent="0.25">
      <c r="A12" s="317"/>
      <c r="B12" s="287"/>
      <c r="C12" s="287"/>
      <c r="D12" s="297"/>
      <c r="E12" s="290"/>
      <c r="F12" s="290">
        <f t="shared" si="0"/>
        <v>30000</v>
      </c>
      <c r="G12" s="295"/>
      <c r="H12" s="291">
        <f t="shared" si="1"/>
        <v>610.28</v>
      </c>
      <c r="I12" s="291">
        <f t="shared" si="2"/>
        <v>29389.72</v>
      </c>
      <c r="J12" s="292"/>
    </row>
    <row r="13" spans="1:10" s="275" customFormat="1" ht="12.75" customHeight="1" x14ac:dyDescent="0.25">
      <c r="A13" s="317"/>
      <c r="B13" s="287"/>
      <c r="C13" s="287"/>
      <c r="D13" s="297"/>
      <c r="E13" s="290"/>
      <c r="F13" s="290">
        <f t="shared" si="0"/>
        <v>30000</v>
      </c>
      <c r="G13" s="295"/>
      <c r="H13" s="291">
        <f t="shared" si="1"/>
        <v>610.28</v>
      </c>
      <c r="I13" s="291">
        <f t="shared" si="2"/>
        <v>29389.72</v>
      </c>
      <c r="J13" s="292"/>
    </row>
    <row r="14" spans="1:10" s="275" customFormat="1" ht="12.75" customHeight="1" x14ac:dyDescent="0.25">
      <c r="A14" s="317"/>
      <c r="B14" s="287"/>
      <c r="C14" s="287"/>
      <c r="D14" s="297"/>
      <c r="E14" s="290"/>
      <c r="F14" s="290">
        <f t="shared" si="0"/>
        <v>30000</v>
      </c>
      <c r="G14" s="291"/>
      <c r="H14" s="291">
        <f t="shared" si="1"/>
        <v>610.28</v>
      </c>
      <c r="I14" s="291">
        <f t="shared" si="2"/>
        <v>29389.72</v>
      </c>
      <c r="J14" s="292"/>
    </row>
    <row r="15" spans="1:10" s="275" customFormat="1" ht="12.75" customHeight="1" x14ac:dyDescent="0.25">
      <c r="A15" s="317"/>
      <c r="B15" s="287"/>
      <c r="C15" s="287"/>
      <c r="D15" s="297"/>
      <c r="E15" s="290"/>
      <c r="F15" s="290">
        <f t="shared" si="0"/>
        <v>30000</v>
      </c>
      <c r="G15" s="295"/>
      <c r="H15" s="291">
        <f t="shared" si="1"/>
        <v>610.28</v>
      </c>
      <c r="I15" s="291">
        <f t="shared" si="2"/>
        <v>29389.72</v>
      </c>
      <c r="J15" s="292"/>
    </row>
    <row r="16" spans="1:10" s="275" customFormat="1" ht="12.75" customHeight="1" x14ac:dyDescent="0.25">
      <c r="A16" s="317"/>
      <c r="B16" s="287"/>
      <c r="C16" s="287"/>
      <c r="D16" s="297"/>
      <c r="E16" s="290"/>
      <c r="F16" s="290">
        <f t="shared" si="0"/>
        <v>30000</v>
      </c>
      <c r="G16" s="295"/>
      <c r="H16" s="291">
        <f t="shared" si="1"/>
        <v>610.28</v>
      </c>
      <c r="I16" s="291">
        <f t="shared" si="2"/>
        <v>29389.72</v>
      </c>
      <c r="J16" s="292"/>
    </row>
    <row r="17" spans="1:10" s="275" customFormat="1" ht="12.75" customHeight="1" x14ac:dyDescent="0.25">
      <c r="A17" s="317"/>
      <c r="B17" s="287"/>
      <c r="C17" s="287"/>
      <c r="D17" s="297"/>
      <c r="E17" s="290"/>
      <c r="F17" s="290">
        <f t="shared" si="0"/>
        <v>30000</v>
      </c>
      <c r="G17" s="295"/>
      <c r="H17" s="291">
        <f t="shared" si="1"/>
        <v>610.28</v>
      </c>
      <c r="I17" s="291">
        <f t="shared" si="2"/>
        <v>29389.72</v>
      </c>
      <c r="J17" s="292"/>
    </row>
    <row r="18" spans="1:10" s="275" customFormat="1" ht="12.75" customHeight="1" x14ac:dyDescent="0.25">
      <c r="A18" s="317"/>
      <c r="B18" s="287"/>
      <c r="C18" s="287"/>
      <c r="D18" s="297"/>
      <c r="E18" s="290"/>
      <c r="F18" s="290">
        <f t="shared" si="0"/>
        <v>30000</v>
      </c>
      <c r="G18" s="295"/>
      <c r="H18" s="291">
        <f t="shared" si="1"/>
        <v>610.28</v>
      </c>
      <c r="I18" s="291">
        <f t="shared" si="2"/>
        <v>29389.72</v>
      </c>
      <c r="J18" s="292"/>
    </row>
    <row r="19" spans="1:10" s="275" customFormat="1" ht="12.75" customHeight="1" x14ac:dyDescent="0.25">
      <c r="A19" s="298"/>
      <c r="B19" s="287"/>
      <c r="C19" s="287"/>
      <c r="D19" s="297"/>
      <c r="E19" s="290"/>
      <c r="F19" s="290">
        <f t="shared" si="0"/>
        <v>30000</v>
      </c>
      <c r="G19" s="291"/>
      <c r="H19" s="291">
        <f t="shared" si="1"/>
        <v>610.28</v>
      </c>
      <c r="I19" s="291">
        <f t="shared" si="2"/>
        <v>29389.72</v>
      </c>
      <c r="J19" s="292"/>
    </row>
    <row r="20" spans="1:10" s="275" customFormat="1" ht="12.75" customHeight="1" x14ac:dyDescent="0.25">
      <c r="A20" s="298"/>
      <c r="B20" s="287"/>
      <c r="C20" s="287"/>
      <c r="D20" s="297"/>
      <c r="E20" s="290"/>
      <c r="F20" s="290">
        <f t="shared" si="0"/>
        <v>30000</v>
      </c>
      <c r="G20" s="291"/>
      <c r="H20" s="291">
        <f t="shared" si="1"/>
        <v>610.28</v>
      </c>
      <c r="I20" s="291">
        <f t="shared" si="2"/>
        <v>29389.72</v>
      </c>
      <c r="J20" s="292"/>
    </row>
    <row r="21" spans="1:10" s="275" customFormat="1" ht="12.75" customHeight="1" x14ac:dyDescent="0.25">
      <c r="A21" s="298"/>
      <c r="B21" s="287"/>
      <c r="C21" s="287"/>
      <c r="D21" s="318"/>
      <c r="E21" s="290"/>
      <c r="F21" s="290">
        <f t="shared" si="0"/>
        <v>30000</v>
      </c>
      <c r="G21" s="291"/>
      <c r="H21" s="291">
        <f t="shared" si="1"/>
        <v>610.28</v>
      </c>
      <c r="I21" s="291">
        <f t="shared" si="2"/>
        <v>29389.72</v>
      </c>
      <c r="J21" s="292"/>
    </row>
    <row r="22" spans="1:10" s="275" customFormat="1" ht="12.75" customHeight="1" x14ac:dyDescent="0.25">
      <c r="A22" s="286"/>
      <c r="B22" s="288"/>
      <c r="C22" s="288"/>
      <c r="D22" s="297"/>
      <c r="E22" s="291"/>
      <c r="F22" s="291"/>
      <c r="G22" s="291"/>
      <c r="H22" s="291"/>
      <c r="I22" s="291"/>
      <c r="J22" s="292"/>
    </row>
    <row r="23" spans="1:10" s="275" customFormat="1" ht="12.75" customHeight="1" thickBot="1" x14ac:dyDescent="0.3">
      <c r="A23" s="286"/>
      <c r="B23" s="300"/>
      <c r="C23" s="300"/>
      <c r="D23" s="301" t="s">
        <v>24</v>
      </c>
      <c r="E23" s="302">
        <f>SUM(E9:E22)</f>
        <v>30000</v>
      </c>
      <c r="F23" s="302"/>
      <c r="G23" s="302">
        <f>SUM(G9:G22)</f>
        <v>610.28</v>
      </c>
      <c r="H23" s="302"/>
      <c r="I23" s="302">
        <f>E23-G23</f>
        <v>29389.72</v>
      </c>
      <c r="J23" s="292"/>
    </row>
    <row r="24" spans="1:10" s="275" customFormat="1" ht="12.75" customHeight="1" thickTop="1" x14ac:dyDescent="0.25"/>
    <row r="25" spans="1:10" s="275"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D09C-F972-40F7-B925-1E9CCA56BE1F}">
  <sheetPr>
    <pageSetUpPr fitToPage="1"/>
  </sheetPr>
  <dimension ref="A1:I29"/>
  <sheetViews>
    <sheetView zoomScaleNormal="100" workbookViewId="0">
      <selection activeCell="L14" sqref="L14:L15"/>
    </sheetView>
  </sheetViews>
  <sheetFormatPr defaultColWidth="11.42578125" defaultRowHeight="15" customHeight="1" x14ac:dyDescent="0.25"/>
  <cols>
    <col min="1" max="1" width="24.5703125" customWidth="1"/>
    <col min="2" max="2" width="9.42578125" customWidth="1"/>
    <col min="3" max="3" width="21.140625"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#9501.00'!B1</f>
        <v>DOC NCCF Air Handler Replacement and Condenser Coils Unit A and B</v>
      </c>
      <c r="B1" s="3"/>
      <c r="C1" s="4"/>
      <c r="D1" s="4"/>
      <c r="E1" s="4"/>
      <c r="F1" s="33"/>
      <c r="G1" s="33"/>
      <c r="H1" s="34"/>
      <c r="I1" s="34"/>
    </row>
    <row r="2" spans="1:9" ht="15.75" x14ac:dyDescent="0.25">
      <c r="A2" s="6" t="str">
        <f>'RECAP #9501.00'!B2</f>
        <v>Project # 9501.00</v>
      </c>
      <c r="B2" s="5"/>
      <c r="C2" s="4"/>
      <c r="D2" s="4"/>
      <c r="E2" s="4"/>
      <c r="F2" s="33"/>
      <c r="G2" s="33"/>
      <c r="H2" s="34"/>
      <c r="I2" s="34"/>
    </row>
    <row r="3" spans="1:9" ht="15.75" x14ac:dyDescent="0.25">
      <c r="A3" s="7" t="str">
        <f>'RECAP #9501.00'!B3</f>
        <v>Program code 950100</v>
      </c>
      <c r="B3" s="5"/>
      <c r="C3" s="4"/>
      <c r="D3" s="8" t="str">
        <f>'RECAP #9501.00'!E3</f>
        <v>Major Program 4F03</v>
      </c>
      <c r="E3" s="4"/>
      <c r="F3" s="33"/>
      <c r="G3" s="33"/>
      <c r="H3" s="34"/>
      <c r="I3" s="34"/>
    </row>
    <row r="4" spans="1:9" ht="15.75" x14ac:dyDescent="0.25">
      <c r="A4" s="35" t="s">
        <v>261</v>
      </c>
      <c r="B4" s="36"/>
      <c r="C4" s="37"/>
      <c r="D4" s="38" t="s">
        <v>262</v>
      </c>
      <c r="E4" s="39"/>
      <c r="F4" s="33"/>
      <c r="G4" s="33"/>
      <c r="H4" s="34"/>
      <c r="I4" s="34"/>
    </row>
    <row r="5" spans="1:9" ht="15.75" x14ac:dyDescent="0.25">
      <c r="A5" s="40" t="s">
        <v>106</v>
      </c>
      <c r="B5" s="41"/>
      <c r="C5" s="42"/>
      <c r="D5" s="43" t="s">
        <v>263</v>
      </c>
      <c r="E5" s="44"/>
      <c r="F5" s="45"/>
      <c r="G5" s="46"/>
      <c r="H5" s="41"/>
      <c r="I5" s="34"/>
    </row>
    <row r="6" spans="1:9" ht="15.75" x14ac:dyDescent="0.25">
      <c r="A6" s="13" t="str">
        <f>'RECAP #9501.00'!B6</f>
        <v>Project Manager - Jennie 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469</v>
      </c>
      <c r="B9" s="287">
        <v>46045</v>
      </c>
      <c r="C9" s="288" t="s">
        <v>111</v>
      </c>
      <c r="D9" s="289">
        <v>17978.830000000002</v>
      </c>
      <c r="E9" s="290">
        <f>D9</f>
        <v>17978.830000000002</v>
      </c>
      <c r="F9" s="291"/>
      <c r="G9" s="291"/>
      <c r="H9" s="291">
        <f>E9</f>
        <v>17978.830000000002</v>
      </c>
      <c r="I9" s="292"/>
    </row>
    <row r="10" spans="1:9" s="275" customFormat="1" ht="12.75" customHeight="1" x14ac:dyDescent="0.25">
      <c r="A10" s="286" t="s">
        <v>608</v>
      </c>
      <c r="B10" s="293">
        <v>46077</v>
      </c>
      <c r="C10" s="288" t="s">
        <v>609</v>
      </c>
      <c r="D10" s="290"/>
      <c r="E10" s="290">
        <f t="shared" ref="E10:E21" si="0">E9+D10</f>
        <v>17978.830000000002</v>
      </c>
      <c r="F10" s="294">
        <v>1050.8499999999999</v>
      </c>
      <c r="G10" s="291">
        <f t="shared" ref="G10:G21" si="1">G9+F10</f>
        <v>1050.8499999999999</v>
      </c>
      <c r="H10" s="291">
        <f t="shared" ref="H10:H21" si="2">H9-F10+D10</f>
        <v>16927.980000000003</v>
      </c>
      <c r="I10" s="292"/>
    </row>
    <row r="11" spans="1:9" s="275" customFormat="1" ht="12.75" customHeight="1" x14ac:dyDescent="0.25">
      <c r="A11" s="286" t="s">
        <v>657</v>
      </c>
      <c r="B11" s="287">
        <v>46091</v>
      </c>
      <c r="C11" s="288" t="s">
        <v>658</v>
      </c>
      <c r="D11" s="290"/>
      <c r="E11" s="290">
        <f t="shared" si="0"/>
        <v>17978.830000000002</v>
      </c>
      <c r="F11" s="294">
        <v>2475.96</v>
      </c>
      <c r="G11" s="291">
        <f t="shared" si="1"/>
        <v>3526.81</v>
      </c>
      <c r="H11" s="291">
        <f t="shared" si="2"/>
        <v>14452.020000000004</v>
      </c>
      <c r="I11" s="292"/>
    </row>
    <row r="12" spans="1:9" s="275" customFormat="1" ht="12.75" customHeight="1" x14ac:dyDescent="0.25">
      <c r="A12" s="286"/>
      <c r="B12" s="287"/>
      <c r="C12" s="288"/>
      <c r="D12" s="290"/>
      <c r="E12" s="290">
        <f t="shared" si="0"/>
        <v>17978.830000000002</v>
      </c>
      <c r="F12" s="295"/>
      <c r="G12" s="291">
        <f t="shared" si="1"/>
        <v>3526.81</v>
      </c>
      <c r="H12" s="291">
        <f t="shared" si="2"/>
        <v>14452.020000000004</v>
      </c>
      <c r="I12" s="292"/>
    </row>
    <row r="13" spans="1:9" s="275" customFormat="1" ht="12.75" customHeight="1" x14ac:dyDescent="0.25">
      <c r="A13" s="286"/>
      <c r="B13" s="287"/>
      <c r="C13" s="288"/>
      <c r="D13" s="290"/>
      <c r="E13" s="290">
        <f t="shared" si="0"/>
        <v>17978.830000000002</v>
      </c>
      <c r="F13" s="295"/>
      <c r="G13" s="291">
        <f t="shared" si="1"/>
        <v>3526.81</v>
      </c>
      <c r="H13" s="291">
        <f t="shared" si="2"/>
        <v>14452.020000000004</v>
      </c>
      <c r="I13" s="292"/>
    </row>
    <row r="14" spans="1:9" s="275" customFormat="1" ht="12.75" customHeight="1" x14ac:dyDescent="0.25">
      <c r="A14" s="286"/>
      <c r="B14" s="287"/>
      <c r="C14" s="288"/>
      <c r="D14" s="290"/>
      <c r="E14" s="290">
        <f t="shared" si="0"/>
        <v>17978.830000000002</v>
      </c>
      <c r="F14" s="291"/>
      <c r="G14" s="291">
        <f t="shared" si="1"/>
        <v>3526.81</v>
      </c>
      <c r="H14" s="291">
        <f t="shared" si="2"/>
        <v>14452.020000000004</v>
      </c>
      <c r="I14" s="292"/>
    </row>
    <row r="15" spans="1:9" s="275" customFormat="1" ht="12.75" customHeight="1" x14ac:dyDescent="0.25">
      <c r="A15" s="286"/>
      <c r="B15" s="287"/>
      <c r="C15" s="288"/>
      <c r="D15" s="290"/>
      <c r="E15" s="290">
        <f t="shared" si="0"/>
        <v>17978.830000000002</v>
      </c>
      <c r="F15" s="295"/>
      <c r="G15" s="291">
        <f t="shared" si="1"/>
        <v>3526.81</v>
      </c>
      <c r="H15" s="291">
        <f t="shared" si="2"/>
        <v>14452.020000000004</v>
      </c>
      <c r="I15" s="292"/>
    </row>
    <row r="16" spans="1:9" s="275" customFormat="1" ht="12.75" customHeight="1" x14ac:dyDescent="0.25">
      <c r="A16" s="286"/>
      <c r="B16" s="287"/>
      <c r="C16" s="288"/>
      <c r="D16" s="290"/>
      <c r="E16" s="290">
        <f t="shared" si="0"/>
        <v>17978.830000000002</v>
      </c>
      <c r="F16" s="295"/>
      <c r="G16" s="291">
        <f t="shared" si="1"/>
        <v>3526.81</v>
      </c>
      <c r="H16" s="291">
        <f t="shared" si="2"/>
        <v>14452.020000000004</v>
      </c>
      <c r="I16" s="292"/>
    </row>
    <row r="17" spans="1:9" s="275" customFormat="1" ht="12.75" customHeight="1" x14ac:dyDescent="0.25">
      <c r="A17" s="286"/>
      <c r="B17" s="287"/>
      <c r="C17" s="288"/>
      <c r="D17" s="290"/>
      <c r="E17" s="290">
        <f t="shared" si="0"/>
        <v>17978.830000000002</v>
      </c>
      <c r="F17" s="295"/>
      <c r="G17" s="291">
        <f t="shared" si="1"/>
        <v>3526.81</v>
      </c>
      <c r="H17" s="291">
        <f t="shared" si="2"/>
        <v>14452.020000000004</v>
      </c>
      <c r="I17" s="292"/>
    </row>
    <row r="18" spans="1:9" s="275" customFormat="1" ht="12.75" customHeight="1" x14ac:dyDescent="0.25">
      <c r="A18" s="286"/>
      <c r="B18" s="287"/>
      <c r="C18" s="288"/>
      <c r="D18" s="290"/>
      <c r="E18" s="290">
        <f t="shared" si="0"/>
        <v>17978.830000000002</v>
      </c>
      <c r="F18" s="295"/>
      <c r="G18" s="291">
        <f t="shared" si="1"/>
        <v>3526.81</v>
      </c>
      <c r="H18" s="291">
        <f t="shared" si="2"/>
        <v>14452.020000000004</v>
      </c>
      <c r="I18" s="292"/>
    </row>
    <row r="19" spans="1:9" s="275" customFormat="1" ht="12.75" customHeight="1" x14ac:dyDescent="0.25">
      <c r="A19" s="286"/>
      <c r="B19" s="287"/>
      <c r="C19" s="288"/>
      <c r="D19" s="290"/>
      <c r="E19" s="290">
        <f t="shared" si="0"/>
        <v>17978.830000000002</v>
      </c>
      <c r="F19" s="291"/>
      <c r="G19" s="291">
        <f t="shared" si="1"/>
        <v>3526.81</v>
      </c>
      <c r="H19" s="291">
        <f t="shared" si="2"/>
        <v>14452.020000000004</v>
      </c>
      <c r="I19" s="292"/>
    </row>
    <row r="20" spans="1:9" s="275" customFormat="1" ht="12.75" customHeight="1" x14ac:dyDescent="0.25">
      <c r="A20" s="286"/>
      <c r="B20" s="287"/>
      <c r="C20" s="288"/>
      <c r="D20" s="290"/>
      <c r="E20" s="290">
        <f t="shared" si="0"/>
        <v>17978.830000000002</v>
      </c>
      <c r="F20" s="291"/>
      <c r="G20" s="291">
        <f t="shared" si="1"/>
        <v>3526.81</v>
      </c>
      <c r="H20" s="291">
        <f t="shared" si="2"/>
        <v>14452.020000000004</v>
      </c>
      <c r="I20" s="292"/>
    </row>
    <row r="21" spans="1:9" s="275" customFormat="1" ht="12.75" customHeight="1" x14ac:dyDescent="0.25">
      <c r="A21" s="286"/>
      <c r="B21" s="287"/>
      <c r="C21" s="296"/>
      <c r="D21" s="290"/>
      <c r="E21" s="290">
        <f t="shared" si="0"/>
        <v>17978.830000000002</v>
      </c>
      <c r="F21" s="291"/>
      <c r="G21" s="291">
        <f t="shared" si="1"/>
        <v>3526.81</v>
      </c>
      <c r="H21" s="291">
        <f t="shared" si="2"/>
        <v>14452.020000000004</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17978.830000000002</v>
      </c>
      <c r="E23" s="302"/>
      <c r="F23" s="302">
        <f>SUM(F9:F22)</f>
        <v>3526.81</v>
      </c>
      <c r="G23" s="302"/>
      <c r="H23" s="302">
        <f>D23-F23</f>
        <v>14452.020000000002</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17378.830000000002</v>
      </c>
      <c r="E26" s="313"/>
      <c r="F26" s="313">
        <f>1050.85+2416.46</f>
        <v>3467.31</v>
      </c>
      <c r="G26" s="313"/>
      <c r="H26" s="313">
        <f>D26-F26</f>
        <v>13911.520000000002</v>
      </c>
      <c r="I26" s="292"/>
    </row>
    <row r="27" spans="1:9" s="275" customFormat="1" ht="12.75" customHeight="1" x14ac:dyDescent="0.25">
      <c r="A27" s="286"/>
      <c r="B27" s="288"/>
      <c r="C27" s="312" t="s">
        <v>113</v>
      </c>
      <c r="D27" s="313">
        <v>600</v>
      </c>
      <c r="E27" s="313"/>
      <c r="F27" s="313">
        <f>59.5</f>
        <v>59.5</v>
      </c>
      <c r="G27" s="313"/>
      <c r="H27" s="313">
        <f>D27-F27</f>
        <v>540.5</v>
      </c>
      <c r="I27" s="292"/>
    </row>
    <row r="28" spans="1:9" s="275" customFormat="1" ht="12.75" customHeight="1" thickBot="1" x14ac:dyDescent="0.3">
      <c r="A28" s="286"/>
      <c r="B28" s="288"/>
      <c r="C28" s="314" t="s">
        <v>67</v>
      </c>
      <c r="D28" s="315">
        <f>SUM(D26:D27)</f>
        <v>17978.830000000002</v>
      </c>
      <c r="E28" s="316"/>
      <c r="F28" s="315">
        <f>SUM(F26:F27)</f>
        <v>3526.81</v>
      </c>
      <c r="G28" s="316"/>
      <c r="H28" s="315">
        <f>SUM(H26:H27)</f>
        <v>14452.020000000002</v>
      </c>
      <c r="I28" s="292"/>
    </row>
    <row r="29" spans="1:9" ht="15" customHeight="1" thickTop="1" x14ac:dyDescent="0.25"/>
  </sheetData>
  <conditionalFormatting sqref="I8:I23">
    <cfRule type="cellIs" dxfId="31"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1EDBB-C987-4718-BBCC-66FC4D24195F}">
  <sheetPr>
    <pageSetUpPr fitToPage="1"/>
  </sheetPr>
  <dimension ref="A1:J28"/>
  <sheetViews>
    <sheetView zoomScaleNormal="100" workbookViewId="0">
      <selection activeCell="L19" sqref="L19"/>
    </sheetView>
  </sheetViews>
  <sheetFormatPr defaultColWidth="11.42578125" defaultRowHeight="15" customHeight="1" x14ac:dyDescent="0.25"/>
  <cols>
    <col min="1" max="1" width="24.5703125" customWidth="1"/>
    <col min="2" max="3" width="9.42578125" customWidth="1"/>
    <col min="4" max="4" width="36" bestFit="1" customWidth="1"/>
    <col min="5" max="5" width="12.5703125" customWidth="1"/>
    <col min="6" max="6" width="13.5703125" customWidth="1"/>
    <col min="7" max="7" width="12.42578125" customWidth="1"/>
    <col min="8" max="8" width="10.5703125" customWidth="1"/>
    <col min="9" max="9" width="12"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#9501.00'!B1</f>
        <v>DOC NCCF Air Handler Replacement and Condenser Coils Unit A and B</v>
      </c>
      <c r="B1" s="3"/>
      <c r="C1" s="3"/>
      <c r="D1" s="4"/>
      <c r="E1" s="4"/>
      <c r="F1" s="4"/>
      <c r="G1" s="33"/>
      <c r="H1" s="33"/>
      <c r="I1" s="34"/>
      <c r="J1" s="34"/>
    </row>
    <row r="2" spans="1:10" ht="15.75" x14ac:dyDescent="0.25">
      <c r="A2" s="6" t="str">
        <f>'RECAP #9501.00'!B2</f>
        <v>Project # 9501.00</v>
      </c>
      <c r="B2" s="5"/>
      <c r="C2" s="5"/>
      <c r="D2" s="4"/>
      <c r="E2" s="4"/>
      <c r="F2" s="4"/>
      <c r="G2" s="33"/>
      <c r="H2" s="33"/>
      <c r="I2" s="34"/>
      <c r="J2" s="34"/>
    </row>
    <row r="3" spans="1:10" ht="15.75" x14ac:dyDescent="0.25">
      <c r="A3" s="7" t="str">
        <f>'RECAP #9501.00'!B3</f>
        <v>Program code 950100</v>
      </c>
      <c r="B3" s="5"/>
      <c r="C3" s="5"/>
      <c r="D3" s="4"/>
      <c r="E3" s="8" t="str">
        <f>'RECAP #9501.00'!E3</f>
        <v>Major Program 4F03</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245</v>
      </c>
      <c r="F6" s="49"/>
      <c r="G6" s="50"/>
      <c r="H6" s="46"/>
      <c r="I6" s="41"/>
      <c r="J6" s="34"/>
    </row>
    <row r="7" spans="1:10" ht="15.75" x14ac:dyDescent="0.25">
      <c r="A7" s="13" t="str">
        <f>'RECAP #9501.00'!B6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10000</v>
      </c>
      <c r="F9" s="290">
        <f>E9</f>
        <v>10000</v>
      </c>
      <c r="G9" s="291"/>
      <c r="H9" s="291"/>
      <c r="I9" s="291">
        <f>F9</f>
        <v>10000</v>
      </c>
      <c r="J9" s="292"/>
    </row>
    <row r="10" spans="1:10" s="275" customFormat="1" ht="12.75" customHeight="1" x14ac:dyDescent="0.25">
      <c r="A10" s="220" t="s">
        <v>322</v>
      </c>
      <c r="B10" s="221">
        <v>45968</v>
      </c>
      <c r="C10" s="329" t="s">
        <v>269</v>
      </c>
      <c r="D10" s="179" t="s">
        <v>323</v>
      </c>
      <c r="E10" s="290"/>
      <c r="F10" s="290">
        <f t="shared" ref="F10:F21" si="0">F9+E10</f>
        <v>10000</v>
      </c>
      <c r="G10" s="294">
        <v>44.07</v>
      </c>
      <c r="H10" s="291">
        <f t="shared" ref="H10:H21" si="1">H9+G10</f>
        <v>44.07</v>
      </c>
      <c r="I10" s="291">
        <f t="shared" ref="I10:I21" si="2">I9-G10+E10</f>
        <v>9955.93</v>
      </c>
      <c r="J10" s="292"/>
    </row>
    <row r="11" spans="1:10" s="275" customFormat="1" ht="12.75" customHeight="1" x14ac:dyDescent="0.25">
      <c r="A11" s="220" t="s">
        <v>322</v>
      </c>
      <c r="B11" s="221">
        <v>45968</v>
      </c>
      <c r="C11" s="329">
        <v>9500</v>
      </c>
      <c r="D11" s="222" t="s">
        <v>324</v>
      </c>
      <c r="E11" s="290"/>
      <c r="F11" s="290">
        <f t="shared" si="0"/>
        <v>10000</v>
      </c>
      <c r="G11" s="294">
        <v>438.1</v>
      </c>
      <c r="H11" s="291">
        <f t="shared" si="1"/>
        <v>482.17</v>
      </c>
      <c r="I11" s="291">
        <f t="shared" si="2"/>
        <v>9517.83</v>
      </c>
      <c r="J11" s="292"/>
    </row>
    <row r="12" spans="1:10" s="275" customFormat="1" ht="12.75" customHeight="1" x14ac:dyDescent="0.2">
      <c r="A12" s="213" t="s">
        <v>373</v>
      </c>
      <c r="B12" s="214">
        <v>45996</v>
      </c>
      <c r="C12" s="332" t="s">
        <v>269</v>
      </c>
      <c r="D12" s="175" t="s">
        <v>374</v>
      </c>
      <c r="E12" s="290"/>
      <c r="F12" s="290">
        <f t="shared" si="0"/>
        <v>10000</v>
      </c>
      <c r="G12" s="294">
        <v>6.95</v>
      </c>
      <c r="H12" s="291">
        <f t="shared" si="1"/>
        <v>489.12</v>
      </c>
      <c r="I12" s="291">
        <f t="shared" si="2"/>
        <v>9510.8799999999992</v>
      </c>
      <c r="J12" s="292"/>
    </row>
    <row r="13" spans="1:10" s="275" customFormat="1" ht="12.75" customHeight="1" x14ac:dyDescent="0.2">
      <c r="A13" s="213" t="s">
        <v>373</v>
      </c>
      <c r="B13" s="214">
        <v>45996</v>
      </c>
      <c r="C13" s="333">
        <v>9500</v>
      </c>
      <c r="D13" s="78" t="s">
        <v>375</v>
      </c>
      <c r="E13" s="290"/>
      <c r="F13" s="290">
        <f t="shared" si="0"/>
        <v>10000</v>
      </c>
      <c r="G13" s="294">
        <v>44.3</v>
      </c>
      <c r="H13" s="291">
        <f t="shared" si="1"/>
        <v>533.41999999999996</v>
      </c>
      <c r="I13" s="291">
        <f t="shared" si="2"/>
        <v>9466.58</v>
      </c>
      <c r="J13" s="292"/>
    </row>
    <row r="14" spans="1:10" s="275" customFormat="1" ht="12.75" customHeight="1" x14ac:dyDescent="0.2">
      <c r="A14" s="213" t="s">
        <v>559</v>
      </c>
      <c r="B14" s="214">
        <v>46062</v>
      </c>
      <c r="C14" s="332" t="s">
        <v>269</v>
      </c>
      <c r="D14" s="175" t="s">
        <v>560</v>
      </c>
      <c r="E14" s="290"/>
      <c r="F14" s="290">
        <f t="shared" si="0"/>
        <v>10000</v>
      </c>
      <c r="G14" s="294">
        <v>39.04</v>
      </c>
      <c r="H14" s="291">
        <f t="shared" si="1"/>
        <v>572.45999999999992</v>
      </c>
      <c r="I14" s="291">
        <f t="shared" si="2"/>
        <v>9427.5399999999991</v>
      </c>
      <c r="J14" s="292"/>
    </row>
    <row r="15" spans="1:10" s="275" customFormat="1" ht="12.75" customHeight="1" x14ac:dyDescent="0.2">
      <c r="A15" s="213" t="s">
        <v>559</v>
      </c>
      <c r="B15" s="214">
        <v>46062</v>
      </c>
      <c r="C15" s="333">
        <v>9500</v>
      </c>
      <c r="D15" s="78" t="s">
        <v>561</v>
      </c>
      <c r="E15" s="290"/>
      <c r="F15" s="290">
        <f t="shared" si="0"/>
        <v>10000</v>
      </c>
      <c r="G15" s="294">
        <v>481.7</v>
      </c>
      <c r="H15" s="291">
        <f t="shared" si="1"/>
        <v>1054.1599999999999</v>
      </c>
      <c r="I15" s="291">
        <f t="shared" si="2"/>
        <v>8945.8399999999983</v>
      </c>
      <c r="J15" s="292"/>
    </row>
    <row r="16" spans="1:10" s="275" customFormat="1" ht="12.75" customHeight="1" x14ac:dyDescent="0.2">
      <c r="A16" s="213" t="s">
        <v>663</v>
      </c>
      <c r="B16" s="214">
        <v>46090</v>
      </c>
      <c r="C16" s="332" t="s">
        <v>269</v>
      </c>
      <c r="D16" s="175" t="s">
        <v>664</v>
      </c>
      <c r="E16" s="290"/>
      <c r="F16" s="290">
        <f t="shared" si="0"/>
        <v>10000</v>
      </c>
      <c r="G16" s="294">
        <v>87.3</v>
      </c>
      <c r="H16" s="291">
        <f t="shared" si="1"/>
        <v>1141.4599999999998</v>
      </c>
      <c r="I16" s="291">
        <f t="shared" si="2"/>
        <v>8858.5399999999991</v>
      </c>
      <c r="J16" s="292"/>
    </row>
    <row r="17" spans="1:10" s="275" customFormat="1" ht="12.75" customHeight="1" x14ac:dyDescent="0.2">
      <c r="A17" s="213" t="s">
        <v>663</v>
      </c>
      <c r="B17" s="214">
        <v>46090</v>
      </c>
      <c r="C17" s="333">
        <v>9500</v>
      </c>
      <c r="D17" s="78" t="s">
        <v>665</v>
      </c>
      <c r="E17" s="290"/>
      <c r="F17" s="290">
        <f t="shared" si="0"/>
        <v>10000</v>
      </c>
      <c r="G17" s="294">
        <v>1008.2</v>
      </c>
      <c r="H17" s="291">
        <f t="shared" si="1"/>
        <v>2149.66</v>
      </c>
      <c r="I17" s="291">
        <f t="shared" si="2"/>
        <v>7850.3399999999992</v>
      </c>
      <c r="J17" s="292"/>
    </row>
    <row r="18" spans="1:10" s="275" customFormat="1" ht="12.75" customHeight="1" x14ac:dyDescent="0.25">
      <c r="A18" s="317"/>
      <c r="B18" s="287"/>
      <c r="C18" s="329"/>
      <c r="D18" s="297"/>
      <c r="E18" s="290"/>
      <c r="F18" s="290">
        <f t="shared" si="0"/>
        <v>10000</v>
      </c>
      <c r="G18" s="295"/>
      <c r="H18" s="291">
        <f t="shared" si="1"/>
        <v>2149.66</v>
      </c>
      <c r="I18" s="291">
        <f t="shared" si="2"/>
        <v>7850.3399999999992</v>
      </c>
      <c r="J18" s="292"/>
    </row>
    <row r="19" spans="1:10" s="275" customFormat="1" ht="12.75" customHeight="1" x14ac:dyDescent="0.25">
      <c r="A19" s="298"/>
      <c r="B19" s="287"/>
      <c r="C19" s="329"/>
      <c r="D19" s="297"/>
      <c r="E19" s="290"/>
      <c r="F19" s="290">
        <f t="shared" si="0"/>
        <v>10000</v>
      </c>
      <c r="G19" s="291"/>
      <c r="H19" s="291">
        <f t="shared" si="1"/>
        <v>2149.66</v>
      </c>
      <c r="I19" s="291">
        <f t="shared" si="2"/>
        <v>7850.3399999999992</v>
      </c>
      <c r="J19" s="292"/>
    </row>
    <row r="20" spans="1:10" s="275" customFormat="1" ht="12.75" customHeight="1" x14ac:dyDescent="0.25">
      <c r="A20" s="298"/>
      <c r="B20" s="287"/>
      <c r="C20" s="329"/>
      <c r="D20" s="297"/>
      <c r="E20" s="290"/>
      <c r="F20" s="290">
        <f t="shared" si="0"/>
        <v>10000</v>
      </c>
      <c r="G20" s="291"/>
      <c r="H20" s="291">
        <f t="shared" si="1"/>
        <v>2149.66</v>
      </c>
      <c r="I20" s="291">
        <f t="shared" si="2"/>
        <v>7850.3399999999992</v>
      </c>
      <c r="J20" s="292"/>
    </row>
    <row r="21" spans="1:10" s="275" customFormat="1" ht="12.75" customHeight="1" x14ac:dyDescent="0.25">
      <c r="A21" s="298"/>
      <c r="B21" s="287"/>
      <c r="C21" s="329"/>
      <c r="D21" s="318"/>
      <c r="E21" s="290"/>
      <c r="F21" s="290">
        <f t="shared" si="0"/>
        <v>10000</v>
      </c>
      <c r="G21" s="291"/>
      <c r="H21" s="291">
        <f t="shared" si="1"/>
        <v>2149.66</v>
      </c>
      <c r="I21" s="291">
        <f t="shared" si="2"/>
        <v>7850.3399999999992</v>
      </c>
      <c r="J21" s="292"/>
    </row>
    <row r="22" spans="1:10" s="275" customFormat="1" ht="12.75" customHeight="1" x14ac:dyDescent="0.25">
      <c r="A22" s="286"/>
      <c r="B22" s="288"/>
      <c r="C22" s="329"/>
      <c r="D22" s="297"/>
      <c r="E22" s="291"/>
      <c r="F22" s="291"/>
      <c r="G22" s="291"/>
      <c r="H22" s="291"/>
      <c r="I22" s="291"/>
      <c r="J22" s="292"/>
    </row>
    <row r="23" spans="1:10" s="275" customFormat="1" ht="12.75" customHeight="1" thickBot="1" x14ac:dyDescent="0.3">
      <c r="A23" s="286"/>
      <c r="B23" s="300"/>
      <c r="C23" s="329"/>
      <c r="D23" s="301" t="s">
        <v>24</v>
      </c>
      <c r="E23" s="302">
        <f>SUM(E9:E22)</f>
        <v>10000</v>
      </c>
      <c r="F23" s="302"/>
      <c r="G23" s="302">
        <f>SUM(G9:G22)</f>
        <v>2149.66</v>
      </c>
      <c r="H23" s="302"/>
      <c r="I23" s="302">
        <f>E23-G23</f>
        <v>7850.34</v>
      </c>
      <c r="J23" s="292"/>
    </row>
    <row r="24" spans="1:10" s="275" customFormat="1" ht="12.75" customHeight="1" thickTop="1" x14ac:dyDescent="0.25"/>
    <row r="25" spans="1:10" s="275" customFormat="1" ht="12.75" customHeight="1" x14ac:dyDescent="0.25"/>
    <row r="26" spans="1:10" s="275" customFormat="1" ht="12.75" customHeight="1" x14ac:dyDescent="0.25"/>
    <row r="27" spans="1:10" s="275" customFormat="1" ht="12.75" customHeight="1" x14ac:dyDescent="0.25"/>
    <row r="28" spans="1:10" s="275"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DD4E-AFD5-4940-B7FA-5F85C439D850}">
  <sheetPr>
    <tabColor indexed="30"/>
    <pageSetUpPr fitToPage="1"/>
  </sheetPr>
  <dimension ref="A1:H27"/>
  <sheetViews>
    <sheetView zoomScaleNormal="100" workbookViewId="0">
      <selection activeCell="C13" sqref="C1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#9501.00'!B1</f>
        <v>DOC NCCF Air Handler Replacement and Condenser Coils Unit A and B</v>
      </c>
      <c r="B1" s="3"/>
      <c r="C1" s="3"/>
      <c r="D1" s="3"/>
      <c r="E1" s="4"/>
      <c r="F1" s="4"/>
      <c r="G1" s="4"/>
      <c r="H1" s="33"/>
    </row>
    <row r="2" spans="1:8" ht="15.75" x14ac:dyDescent="0.25">
      <c r="A2" s="6" t="str">
        <f>'RECAP #9501.00'!B2</f>
        <v>Project # 9501.00</v>
      </c>
      <c r="B2" s="5"/>
      <c r="C2" s="5"/>
      <c r="D2" s="5"/>
      <c r="E2" s="4"/>
      <c r="F2" s="4"/>
      <c r="G2" s="4"/>
      <c r="H2" s="33"/>
    </row>
    <row r="3" spans="1:8" ht="15.75" x14ac:dyDescent="0.25">
      <c r="A3" s="7" t="str">
        <f>'RECAP #9501.00'!B3</f>
        <v>Program code 950100</v>
      </c>
      <c r="B3" s="5"/>
      <c r="C3" s="5"/>
      <c r="D3" s="5"/>
      <c r="E3" s="8" t="str">
        <f>'RECAP #9501.00'!E3</f>
        <v>Major Program 4F03</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471</v>
      </c>
      <c r="F6" s="41"/>
      <c r="G6" s="44"/>
      <c r="H6" s="45"/>
    </row>
    <row r="7" spans="1:8" ht="15.75" x14ac:dyDescent="0.25">
      <c r="A7" s="13" t="str">
        <f>'RECAP #9501.00'!B6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s="275" customFormat="1" ht="12.75" customHeight="1" thickTop="1" x14ac:dyDescent="0.25"/>
    <row r="24" spans="1:8" s="275" customFormat="1" ht="12.75" customHeight="1" x14ac:dyDescent="0.25"/>
    <row r="25" spans="1:8" s="275" customFormat="1" ht="12.75" customHeight="1" x14ac:dyDescent="0.25"/>
    <row r="26" spans="1:8" s="275" customFormat="1" ht="12.75" customHeight="1" x14ac:dyDescent="0.25"/>
    <row r="27" spans="1:8" s="275"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47AF2-90EC-4782-87B5-A28CD5AD77BA}">
  <sheetPr>
    <pageSetUpPr fitToPage="1"/>
  </sheetPr>
  <dimension ref="A1:I32"/>
  <sheetViews>
    <sheetView zoomScaleNormal="100" workbookViewId="0">
      <selection activeCell="B12" sqref="B12"/>
    </sheetView>
  </sheetViews>
  <sheetFormatPr defaultColWidth="11.42578125" defaultRowHeight="15" customHeight="1" x14ac:dyDescent="0.25"/>
  <cols>
    <col min="1" max="1" width="24.5703125" customWidth="1"/>
    <col min="2" max="2" width="9.42578125" customWidth="1"/>
    <col min="3" max="3" width="21.140625"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#9501.00'!B1</f>
        <v>DOC NCCF Air Handler Replacement and Condenser Coils Unit A and B</v>
      </c>
      <c r="B1" s="3"/>
      <c r="C1" s="4"/>
      <c r="D1" s="4"/>
      <c r="E1" s="4"/>
      <c r="F1" s="33"/>
      <c r="G1" s="33"/>
      <c r="H1" s="34"/>
      <c r="I1" s="34"/>
    </row>
    <row r="2" spans="1:9" ht="15.75" x14ac:dyDescent="0.25">
      <c r="A2" s="6" t="str">
        <f>'RECAP #9501.00'!B2</f>
        <v>Project # 9501.00</v>
      </c>
      <c r="B2" s="5"/>
      <c r="C2" s="4"/>
      <c r="D2" s="4"/>
      <c r="E2" s="4"/>
      <c r="F2" s="33"/>
      <c r="G2" s="33"/>
      <c r="H2" s="34"/>
      <c r="I2" s="34"/>
    </row>
    <row r="3" spans="1:9" ht="15.75" x14ac:dyDescent="0.25">
      <c r="A3" s="7" t="str">
        <f>'RECAP #9501.00'!B3</f>
        <v>Program code 950100</v>
      </c>
      <c r="B3" s="5"/>
      <c r="C3" s="4"/>
      <c r="D3" s="8" t="str">
        <f>'RECAP #9501.00'!E3</f>
        <v>Major Program 4F03</v>
      </c>
      <c r="E3" s="4"/>
      <c r="F3" s="33"/>
      <c r="G3" s="33"/>
      <c r="H3" s="34"/>
      <c r="I3" s="34"/>
    </row>
    <row r="4" spans="1:9" ht="15.75" x14ac:dyDescent="0.25">
      <c r="A4" s="35" t="s">
        <v>700</v>
      </c>
      <c r="B4" s="36"/>
      <c r="C4" s="37"/>
      <c r="D4" s="38" t="s">
        <v>701</v>
      </c>
      <c r="E4" s="39"/>
      <c r="F4" s="33"/>
      <c r="G4" s="33"/>
      <c r="H4" s="34"/>
      <c r="I4" s="34"/>
    </row>
    <row r="5" spans="1:9" ht="15.75" x14ac:dyDescent="0.25">
      <c r="A5" s="40" t="s">
        <v>117</v>
      </c>
      <c r="B5" s="41"/>
      <c r="C5" s="42"/>
      <c r="D5" s="43" t="s">
        <v>702</v>
      </c>
      <c r="E5" s="44"/>
      <c r="F5" s="45"/>
      <c r="G5" s="46"/>
      <c r="H5" s="41"/>
      <c r="I5" s="34"/>
    </row>
    <row r="6" spans="1:9" ht="15.75" x14ac:dyDescent="0.25">
      <c r="A6" s="13" t="str">
        <f>'RECAP #9501.00'!B6</f>
        <v>Project Manager - Jennie E.</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703</v>
      </c>
      <c r="B9" s="287">
        <v>46104</v>
      </c>
      <c r="C9" s="288" t="s">
        <v>111</v>
      </c>
      <c r="D9" s="289">
        <v>34940</v>
      </c>
      <c r="E9" s="290">
        <f>D9</f>
        <v>34940</v>
      </c>
      <c r="F9" s="291"/>
      <c r="G9" s="291"/>
      <c r="H9" s="291">
        <f>E9</f>
        <v>34940</v>
      </c>
      <c r="I9" s="292"/>
    </row>
    <row r="10" spans="1:9" s="275" customFormat="1" ht="12.75" customHeight="1" x14ac:dyDescent="0.25">
      <c r="A10" s="286"/>
      <c r="B10" s="293"/>
      <c r="C10" s="288"/>
      <c r="D10" s="290"/>
      <c r="E10" s="290">
        <f t="shared" ref="E10:E21" si="0">E9+D10</f>
        <v>34940</v>
      </c>
      <c r="F10" s="294"/>
      <c r="G10" s="291">
        <f t="shared" ref="G10:G21" si="1">G9+F10</f>
        <v>0</v>
      </c>
      <c r="H10" s="291">
        <f t="shared" ref="H10:H21" si="2">H9-F10+D10</f>
        <v>34940</v>
      </c>
      <c r="I10" s="292"/>
    </row>
    <row r="11" spans="1:9" s="275" customFormat="1" ht="12.75" customHeight="1" x14ac:dyDescent="0.25">
      <c r="A11" s="286"/>
      <c r="B11" s="287"/>
      <c r="C11" s="288"/>
      <c r="D11" s="290"/>
      <c r="E11" s="290">
        <f t="shared" si="0"/>
        <v>34940</v>
      </c>
      <c r="F11" s="295"/>
      <c r="G11" s="291">
        <f t="shared" si="1"/>
        <v>0</v>
      </c>
      <c r="H11" s="291">
        <f t="shared" si="2"/>
        <v>34940</v>
      </c>
      <c r="I11" s="292"/>
    </row>
    <row r="12" spans="1:9" s="275" customFormat="1" ht="12.75" customHeight="1" x14ac:dyDescent="0.25">
      <c r="A12" s="286"/>
      <c r="B12" s="287"/>
      <c r="C12" s="288"/>
      <c r="D12" s="290"/>
      <c r="E12" s="290">
        <f t="shared" si="0"/>
        <v>34940</v>
      </c>
      <c r="F12" s="295"/>
      <c r="G12" s="291">
        <f t="shared" si="1"/>
        <v>0</v>
      </c>
      <c r="H12" s="291">
        <f t="shared" si="2"/>
        <v>34940</v>
      </c>
      <c r="I12" s="292"/>
    </row>
    <row r="13" spans="1:9" s="275" customFormat="1" ht="12.75" customHeight="1" x14ac:dyDescent="0.25">
      <c r="A13" s="286"/>
      <c r="B13" s="287"/>
      <c r="C13" s="288"/>
      <c r="D13" s="290"/>
      <c r="E13" s="290">
        <f t="shared" si="0"/>
        <v>34940</v>
      </c>
      <c r="F13" s="295"/>
      <c r="G13" s="291">
        <f t="shared" si="1"/>
        <v>0</v>
      </c>
      <c r="H13" s="291">
        <f t="shared" si="2"/>
        <v>34940</v>
      </c>
      <c r="I13" s="292"/>
    </row>
    <row r="14" spans="1:9" s="275" customFormat="1" ht="12.75" customHeight="1" x14ac:dyDescent="0.25">
      <c r="A14" s="286"/>
      <c r="B14" s="287"/>
      <c r="C14" s="288"/>
      <c r="D14" s="290"/>
      <c r="E14" s="290">
        <f t="shared" si="0"/>
        <v>34940</v>
      </c>
      <c r="F14" s="291"/>
      <c r="G14" s="291">
        <f t="shared" si="1"/>
        <v>0</v>
      </c>
      <c r="H14" s="291">
        <f t="shared" si="2"/>
        <v>34940</v>
      </c>
      <c r="I14" s="292"/>
    </row>
    <row r="15" spans="1:9" s="275" customFormat="1" ht="12.75" customHeight="1" x14ac:dyDescent="0.25">
      <c r="A15" s="286"/>
      <c r="B15" s="287"/>
      <c r="C15" s="288"/>
      <c r="D15" s="290"/>
      <c r="E15" s="290">
        <f t="shared" si="0"/>
        <v>34940</v>
      </c>
      <c r="F15" s="295"/>
      <c r="G15" s="291">
        <f t="shared" si="1"/>
        <v>0</v>
      </c>
      <c r="H15" s="291">
        <f t="shared" si="2"/>
        <v>34940</v>
      </c>
      <c r="I15" s="292"/>
    </row>
    <row r="16" spans="1:9" s="275" customFormat="1" ht="12.75" customHeight="1" x14ac:dyDescent="0.25">
      <c r="A16" s="286"/>
      <c r="B16" s="287"/>
      <c r="C16" s="288"/>
      <c r="D16" s="290"/>
      <c r="E16" s="290">
        <f t="shared" si="0"/>
        <v>34940</v>
      </c>
      <c r="F16" s="295"/>
      <c r="G16" s="291">
        <f t="shared" si="1"/>
        <v>0</v>
      </c>
      <c r="H16" s="291">
        <f t="shared" si="2"/>
        <v>34940</v>
      </c>
      <c r="I16" s="292"/>
    </row>
    <row r="17" spans="1:9" s="275" customFormat="1" ht="12.75" customHeight="1" x14ac:dyDescent="0.25">
      <c r="A17" s="286"/>
      <c r="B17" s="287"/>
      <c r="C17" s="288"/>
      <c r="D17" s="290"/>
      <c r="E17" s="290">
        <f t="shared" si="0"/>
        <v>34940</v>
      </c>
      <c r="F17" s="295"/>
      <c r="G17" s="291">
        <f t="shared" si="1"/>
        <v>0</v>
      </c>
      <c r="H17" s="291">
        <f t="shared" si="2"/>
        <v>34940</v>
      </c>
      <c r="I17" s="292"/>
    </row>
    <row r="18" spans="1:9" s="275" customFormat="1" ht="12.75" customHeight="1" x14ac:dyDescent="0.25">
      <c r="A18" s="286"/>
      <c r="B18" s="287"/>
      <c r="C18" s="288"/>
      <c r="D18" s="290"/>
      <c r="E18" s="290">
        <f t="shared" si="0"/>
        <v>34940</v>
      </c>
      <c r="F18" s="295"/>
      <c r="G18" s="291">
        <f t="shared" si="1"/>
        <v>0</v>
      </c>
      <c r="H18" s="291">
        <f t="shared" si="2"/>
        <v>34940</v>
      </c>
      <c r="I18" s="292"/>
    </row>
    <row r="19" spans="1:9" s="275" customFormat="1" ht="12.75" customHeight="1" x14ac:dyDescent="0.25">
      <c r="A19" s="286"/>
      <c r="B19" s="287"/>
      <c r="C19" s="288"/>
      <c r="D19" s="290"/>
      <c r="E19" s="290">
        <f t="shared" si="0"/>
        <v>34940</v>
      </c>
      <c r="F19" s="291"/>
      <c r="G19" s="291">
        <f t="shared" si="1"/>
        <v>0</v>
      </c>
      <c r="H19" s="291">
        <f t="shared" si="2"/>
        <v>34940</v>
      </c>
      <c r="I19" s="292"/>
    </row>
    <row r="20" spans="1:9" s="275" customFormat="1" ht="12.75" customHeight="1" x14ac:dyDescent="0.25">
      <c r="A20" s="286"/>
      <c r="B20" s="287"/>
      <c r="C20" s="288"/>
      <c r="D20" s="290"/>
      <c r="E20" s="290">
        <f t="shared" si="0"/>
        <v>34940</v>
      </c>
      <c r="F20" s="291"/>
      <c r="G20" s="291">
        <f t="shared" si="1"/>
        <v>0</v>
      </c>
      <c r="H20" s="291">
        <f t="shared" si="2"/>
        <v>34940</v>
      </c>
      <c r="I20" s="292"/>
    </row>
    <row r="21" spans="1:9" s="275" customFormat="1" ht="12.75" customHeight="1" x14ac:dyDescent="0.25">
      <c r="A21" s="286"/>
      <c r="B21" s="287"/>
      <c r="C21" s="296"/>
      <c r="D21" s="290"/>
      <c r="E21" s="290">
        <f t="shared" si="0"/>
        <v>34940</v>
      </c>
      <c r="F21" s="291"/>
      <c r="G21" s="291">
        <f t="shared" si="1"/>
        <v>0</v>
      </c>
      <c r="H21" s="291">
        <f t="shared" si="2"/>
        <v>34940</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34940</v>
      </c>
      <c r="E23" s="302"/>
      <c r="F23" s="302">
        <f>SUM(F9:F22)</f>
        <v>0</v>
      </c>
      <c r="G23" s="302"/>
      <c r="H23" s="302">
        <f>D23-F23</f>
        <v>34940</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297" t="s">
        <v>704</v>
      </c>
      <c r="D26" s="291">
        <v>8360</v>
      </c>
      <c r="E26" s="291"/>
      <c r="F26" s="291"/>
      <c r="G26" s="291"/>
      <c r="H26" s="291">
        <f>D26-F26</f>
        <v>8360</v>
      </c>
      <c r="I26" s="292"/>
    </row>
    <row r="27" spans="1:9" s="275" customFormat="1" ht="12.75" customHeight="1" x14ac:dyDescent="0.25">
      <c r="A27" s="286"/>
      <c r="B27" s="288"/>
      <c r="C27" s="297" t="s">
        <v>408</v>
      </c>
      <c r="D27" s="291">
        <v>12705</v>
      </c>
      <c r="E27" s="291"/>
      <c r="F27" s="291"/>
      <c r="G27" s="291"/>
      <c r="H27" s="291">
        <f t="shared" ref="H27:H30" si="3">D27-F27</f>
        <v>12705</v>
      </c>
      <c r="I27" s="292"/>
    </row>
    <row r="28" spans="1:9" s="275" customFormat="1" ht="12.75" customHeight="1" x14ac:dyDescent="0.25">
      <c r="A28" s="286"/>
      <c r="B28" s="288"/>
      <c r="C28" s="297" t="s">
        <v>409</v>
      </c>
      <c r="D28" s="291">
        <v>1520</v>
      </c>
      <c r="E28" s="291"/>
      <c r="F28" s="291"/>
      <c r="G28" s="291"/>
      <c r="H28" s="291">
        <f t="shared" si="3"/>
        <v>1520</v>
      </c>
      <c r="I28" s="292"/>
    </row>
    <row r="29" spans="1:9" s="275" customFormat="1" ht="12.75" customHeight="1" x14ac:dyDescent="0.25">
      <c r="A29" s="286"/>
      <c r="B29" s="288"/>
      <c r="C29" s="312" t="s">
        <v>125</v>
      </c>
      <c r="D29" s="313">
        <v>10855</v>
      </c>
      <c r="E29" s="313"/>
      <c r="F29" s="313"/>
      <c r="G29" s="313"/>
      <c r="H29" s="291">
        <f t="shared" si="3"/>
        <v>10855</v>
      </c>
      <c r="I29" s="292"/>
    </row>
    <row r="30" spans="1:9" s="275" customFormat="1" ht="12.75" customHeight="1" x14ac:dyDescent="0.25">
      <c r="A30" s="286"/>
      <c r="B30" s="288"/>
      <c r="C30" s="312" t="s">
        <v>113</v>
      </c>
      <c r="D30" s="313">
        <v>1500</v>
      </c>
      <c r="E30" s="313"/>
      <c r="F30" s="313"/>
      <c r="G30" s="313"/>
      <c r="H30" s="291">
        <f t="shared" si="3"/>
        <v>1500</v>
      </c>
      <c r="I30" s="292"/>
    </row>
    <row r="31" spans="1:9" s="275" customFormat="1" ht="12.75" customHeight="1" thickBot="1" x14ac:dyDescent="0.3">
      <c r="A31" s="286"/>
      <c r="B31" s="288"/>
      <c r="C31" s="314" t="s">
        <v>67</v>
      </c>
      <c r="D31" s="315">
        <f>SUM(D26:D30)</f>
        <v>34940</v>
      </c>
      <c r="E31" s="316"/>
      <c r="F31" s="315">
        <f>SUM(F26:F30)</f>
        <v>0</v>
      </c>
      <c r="G31" s="316"/>
      <c r="H31" s="315">
        <f>SUM(H26:H30)</f>
        <v>34940</v>
      </c>
      <c r="I31" s="292"/>
    </row>
    <row r="32" spans="1:9" ht="15" customHeight="1" thickTop="1" x14ac:dyDescent="0.25"/>
  </sheetData>
  <conditionalFormatting sqref="I8:I23">
    <cfRule type="cellIs" dxfId="30"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92009-08F2-4F03-A924-CFEAD5C52DAF}">
  <sheetPr>
    <pageSetUpPr fitToPage="1"/>
  </sheetPr>
  <dimension ref="A1:G18"/>
  <sheetViews>
    <sheetView zoomScaleNormal="100" workbookViewId="0">
      <selection activeCell="E23" sqref="E23:E2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177</v>
      </c>
      <c r="C1" s="3"/>
      <c r="D1" s="4"/>
      <c r="E1" s="4"/>
      <c r="F1" s="4"/>
      <c r="G1" s="4"/>
    </row>
    <row r="2" spans="1:7" ht="15.75" x14ac:dyDescent="0.25">
      <c r="A2" s="1"/>
      <c r="B2" s="6" t="s">
        <v>206</v>
      </c>
      <c r="C2" s="5"/>
      <c r="D2" s="4"/>
      <c r="E2" s="4"/>
      <c r="F2" s="4"/>
      <c r="G2" s="4"/>
    </row>
    <row r="3" spans="1:7" ht="15.75" x14ac:dyDescent="0.25">
      <c r="A3" s="1"/>
      <c r="B3" s="7" t="s">
        <v>207</v>
      </c>
      <c r="C3" s="5"/>
      <c r="D3" s="4"/>
      <c r="E3" s="8" t="s">
        <v>208</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202</v>
      </c>
      <c r="C6" s="14"/>
      <c r="D6" s="15" t="s">
        <v>2</v>
      </c>
      <c r="E6" s="16"/>
      <c r="F6" s="16"/>
      <c r="G6" s="16"/>
    </row>
    <row r="7" spans="1:7" ht="36" customHeight="1" thickBot="1" x14ac:dyDescent="0.3">
      <c r="A7" s="1"/>
      <c r="B7" s="18" t="s">
        <v>2</v>
      </c>
      <c r="C7" s="19" t="s">
        <v>3</v>
      </c>
      <c r="D7" s="20" t="s">
        <v>4</v>
      </c>
      <c r="E7" s="21" t="s">
        <v>5</v>
      </c>
      <c r="F7" s="22" t="s">
        <v>6</v>
      </c>
      <c r="G7" s="22" t="s">
        <v>7</v>
      </c>
    </row>
    <row r="8" spans="1:7" ht="28.35" customHeight="1" x14ac:dyDescent="0.25">
      <c r="A8" s="1"/>
      <c r="B8" s="1" t="s">
        <v>8</v>
      </c>
      <c r="C8" s="23">
        <f>FINANCIAL!G29</f>
        <v>955000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50" t="s">
        <v>258</v>
      </c>
      <c r="B10" s="304" t="s">
        <v>261</v>
      </c>
      <c r="C10" s="305"/>
      <c r="D10" s="308">
        <f>'#9502.00 McGough Construction'!D23</f>
        <v>13841.84</v>
      </c>
      <c r="E10" s="308">
        <f>'#9502.00 McGough Construction'!F23</f>
        <v>13841.84</v>
      </c>
      <c r="F10" s="308">
        <f>'#9502.00 McGough Construction'!H23</f>
        <v>0</v>
      </c>
      <c r="G10" s="307"/>
    </row>
    <row r="11" spans="1:7" s="275" customFormat="1" ht="12.75" customHeight="1" x14ac:dyDescent="0.25">
      <c r="A11" s="303"/>
      <c r="B11" s="304" t="s">
        <v>10</v>
      </c>
      <c r="C11" s="305"/>
      <c r="D11" s="308">
        <f>'#9502.00 PM TIME'!E26</f>
        <v>20000</v>
      </c>
      <c r="E11" s="308">
        <f>'#9502.00 PM TIME'!G26</f>
        <v>12960.18</v>
      </c>
      <c r="F11" s="308">
        <f>'#9502.00 PM TIME'!I26</f>
        <v>7039.82</v>
      </c>
      <c r="G11" s="307"/>
    </row>
    <row r="12" spans="1:7" s="275" customFormat="1" ht="12.75" customHeight="1" x14ac:dyDescent="0.25">
      <c r="A12" s="303"/>
      <c r="B12" s="304" t="s">
        <v>11</v>
      </c>
      <c r="C12" s="306"/>
      <c r="D12" s="309">
        <f>'#9502.00 Misc '!G22</f>
        <v>942.54</v>
      </c>
      <c r="E12" s="309">
        <f>'#9502.00 Misc '!G22</f>
        <v>942.54</v>
      </c>
      <c r="F12" s="308">
        <f>D12-E12</f>
        <v>0</v>
      </c>
      <c r="G12" s="307"/>
    </row>
    <row r="13" spans="1:7" s="275" customFormat="1" ht="12.75" customHeight="1" x14ac:dyDescent="0.25">
      <c r="A13" s="303"/>
      <c r="B13" s="304" t="s">
        <v>383</v>
      </c>
      <c r="C13" s="306"/>
      <c r="D13" s="309">
        <f>'#9502.00 Modus Engineering'!D23</f>
        <v>32000</v>
      </c>
      <c r="E13" s="309">
        <f>'#9502.00 Modus Engineering'!F23</f>
        <v>25600</v>
      </c>
      <c r="F13" s="308">
        <f>'#9502.00 Modus Engineering'!H23</f>
        <v>6400</v>
      </c>
      <c r="G13" s="307"/>
    </row>
    <row r="14" spans="1:7" s="275" customFormat="1" ht="12.75" customHeight="1" x14ac:dyDescent="0.25">
      <c r="A14" s="303"/>
      <c r="B14" s="304" t="s">
        <v>654</v>
      </c>
      <c r="C14" s="306"/>
      <c r="D14" s="309">
        <f>'#9502.00 McGough Constructi (2)'!D23</f>
        <v>96273.29</v>
      </c>
      <c r="E14" s="309">
        <f>'#9502.00 McGough Constructi (2)'!F23</f>
        <v>0</v>
      </c>
      <c r="F14" s="308">
        <f>'#9502.00 McGough Constructi (2)'!H23</f>
        <v>96273.29</v>
      </c>
      <c r="G14" s="307"/>
    </row>
    <row r="15" spans="1:7" s="275" customFormat="1" ht="12.75" customHeight="1" x14ac:dyDescent="0.25">
      <c r="A15" s="303"/>
      <c r="B15" s="304" t="s">
        <v>669</v>
      </c>
      <c r="C15" s="306"/>
      <c r="D15" s="309">
        <f>'#9502.00 Modern Companies'!D23</f>
        <v>700000</v>
      </c>
      <c r="E15" s="309">
        <f>'#9502.00 Modern Companies'!F23</f>
        <v>0</v>
      </c>
      <c r="F15" s="308">
        <f>'#9502.00 Modern Companies'!H23</f>
        <v>700000</v>
      </c>
      <c r="G15" s="307"/>
    </row>
    <row r="16" spans="1:7" s="275" customFormat="1" ht="12.75" customHeight="1" x14ac:dyDescent="0.25">
      <c r="A16" s="310"/>
      <c r="B16" s="304"/>
      <c r="C16" s="306"/>
      <c r="D16" s="309"/>
      <c r="E16" s="309"/>
      <c r="F16" s="308"/>
      <c r="G16" s="311"/>
    </row>
    <row r="17" spans="1:7" ht="24" customHeight="1" thickBot="1" x14ac:dyDescent="0.3">
      <c r="A17" s="30"/>
      <c r="B17" s="31" t="s">
        <v>12</v>
      </c>
      <c r="C17" s="32">
        <f>SUM(C8:C16)</f>
        <v>955000</v>
      </c>
      <c r="D17" s="32">
        <f>SUM(D8:D16)</f>
        <v>863057.66999999993</v>
      </c>
      <c r="E17" s="32">
        <f>SUM(E8:E16)</f>
        <v>53344.56</v>
      </c>
      <c r="F17" s="32">
        <f>SUM(D17-E17)</f>
        <v>809713.10999999987</v>
      </c>
      <c r="G17" s="32">
        <f>C8-D17</f>
        <v>91942.330000000075</v>
      </c>
    </row>
    <row r="18"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994ED-E132-4047-A9D9-F00BC6659D99}">
  <sheetPr>
    <tabColor rgb="FF0070C0"/>
    <pageSetUpPr fitToPage="1"/>
  </sheetPr>
  <dimension ref="A1:I129"/>
  <sheetViews>
    <sheetView topLeftCell="A6" zoomScaleNormal="100" workbookViewId="0">
      <selection activeCell="L16" sqref="L16"/>
    </sheetView>
  </sheetViews>
  <sheetFormatPr defaultColWidth="11.42578125" defaultRowHeight="15" customHeight="1" x14ac:dyDescent="0.25"/>
  <cols>
    <col min="1" max="1" width="24.5703125" style="351" customWidth="1"/>
    <col min="2" max="2" width="9.42578125" style="351" customWidth="1"/>
    <col min="3" max="3" width="26.5703125" style="351" customWidth="1"/>
    <col min="4" max="4" width="14.42578125" style="351" customWidth="1"/>
    <col min="5" max="5" width="13.5703125" style="351" customWidth="1"/>
    <col min="6" max="6" width="12.42578125" style="351" customWidth="1"/>
    <col min="7" max="7" width="10.5703125" style="351" customWidth="1"/>
    <col min="8" max="8" width="12.5703125" style="351" customWidth="1"/>
    <col min="9" max="9" width="6.140625" style="351" bestFit="1" customWidth="1"/>
    <col min="10" max="256" width="11.42578125" style="351"/>
    <col min="257" max="264" width="11.42578125" style="351" customWidth="1"/>
    <col min="265" max="512" width="11.42578125" style="351"/>
    <col min="513" max="520" width="11.42578125" style="351" customWidth="1"/>
    <col min="521" max="768" width="11.42578125" style="351"/>
    <col min="769" max="776" width="11.42578125" style="351" customWidth="1"/>
    <col min="777" max="1024" width="11.42578125" style="351"/>
    <col min="1025" max="1032" width="11.42578125" style="351" customWidth="1"/>
    <col min="1033" max="1280" width="11.42578125" style="351"/>
    <col min="1281" max="1288" width="11.42578125" style="351" customWidth="1"/>
    <col min="1289" max="1536" width="11.42578125" style="351"/>
    <col min="1537" max="1544" width="11.42578125" style="351" customWidth="1"/>
    <col min="1545" max="1792" width="11.42578125" style="351"/>
    <col min="1793" max="1800" width="11.42578125" style="351" customWidth="1"/>
    <col min="1801" max="2048" width="11.42578125" style="351"/>
    <col min="2049" max="2056" width="11.42578125" style="351" customWidth="1"/>
    <col min="2057" max="2304" width="11.42578125" style="351"/>
    <col min="2305" max="2312" width="11.42578125" style="351" customWidth="1"/>
    <col min="2313" max="2560" width="11.42578125" style="351"/>
    <col min="2561" max="2568" width="11.42578125" style="351" customWidth="1"/>
    <col min="2569" max="2816" width="11.42578125" style="351"/>
    <col min="2817" max="2824" width="11.42578125" style="351" customWidth="1"/>
    <col min="2825" max="3072" width="11.42578125" style="351"/>
    <col min="3073" max="3080" width="11.42578125" style="351" customWidth="1"/>
    <col min="3081" max="3328" width="11.42578125" style="351"/>
    <col min="3329" max="3336" width="11.42578125" style="351" customWidth="1"/>
    <col min="3337" max="3584" width="11.42578125" style="351"/>
    <col min="3585" max="3592" width="11.42578125" style="351" customWidth="1"/>
    <col min="3593" max="3840" width="11.42578125" style="351"/>
    <col min="3841" max="3848" width="11.42578125" style="351" customWidth="1"/>
    <col min="3849" max="4096" width="11.42578125" style="351"/>
    <col min="4097" max="4104" width="11.42578125" style="351" customWidth="1"/>
    <col min="4105" max="4352" width="11.42578125" style="351"/>
    <col min="4353" max="4360" width="11.42578125" style="351" customWidth="1"/>
    <col min="4361" max="4608" width="11.42578125" style="351"/>
    <col min="4609" max="4616" width="11.42578125" style="351" customWidth="1"/>
    <col min="4617" max="4864" width="11.42578125" style="351"/>
    <col min="4865" max="4872" width="11.42578125" style="351" customWidth="1"/>
    <col min="4873" max="5120" width="11.42578125" style="351"/>
    <col min="5121" max="5128" width="11.42578125" style="351" customWidth="1"/>
    <col min="5129" max="5376" width="11.42578125" style="351"/>
    <col min="5377" max="5384" width="11.42578125" style="351" customWidth="1"/>
    <col min="5385" max="5632" width="11.42578125" style="351"/>
    <col min="5633" max="5640" width="11.42578125" style="351" customWidth="1"/>
    <col min="5641" max="5888" width="11.42578125" style="351"/>
    <col min="5889" max="5896" width="11.42578125" style="351" customWidth="1"/>
    <col min="5897" max="6144" width="11.42578125" style="351"/>
    <col min="6145" max="6152" width="11.42578125" style="351" customWidth="1"/>
    <col min="6153" max="6400" width="11.42578125" style="351"/>
    <col min="6401" max="6408" width="11.42578125" style="351" customWidth="1"/>
    <col min="6409" max="6656" width="11.42578125" style="351"/>
    <col min="6657" max="6664" width="11.42578125" style="351" customWidth="1"/>
    <col min="6665" max="6912" width="11.42578125" style="351"/>
    <col min="6913" max="6920" width="11.42578125" style="351" customWidth="1"/>
    <col min="6921" max="7168" width="11.42578125" style="351"/>
    <col min="7169" max="7176" width="11.42578125" style="351" customWidth="1"/>
    <col min="7177" max="7424" width="11.42578125" style="351"/>
    <col min="7425" max="7432" width="11.42578125" style="351" customWidth="1"/>
    <col min="7433" max="7680" width="11.42578125" style="351"/>
    <col min="7681" max="7688" width="11.42578125" style="351" customWidth="1"/>
    <col min="7689" max="7936" width="11.42578125" style="351"/>
    <col min="7937" max="7944" width="11.42578125" style="351" customWidth="1"/>
    <col min="7945" max="8192" width="11.42578125" style="351"/>
    <col min="8193" max="8200" width="11.42578125" style="351" customWidth="1"/>
    <col min="8201" max="8448" width="11.42578125" style="351"/>
    <col min="8449" max="8456" width="11.42578125" style="351" customWidth="1"/>
    <col min="8457" max="8704" width="11.42578125" style="351"/>
    <col min="8705" max="8712" width="11.42578125" style="351" customWidth="1"/>
    <col min="8713" max="8960" width="11.42578125" style="351"/>
    <col min="8961" max="8968" width="11.42578125" style="351" customWidth="1"/>
    <col min="8969" max="9216" width="11.42578125" style="351"/>
    <col min="9217" max="9224" width="11.42578125" style="351" customWidth="1"/>
    <col min="9225" max="9472" width="11.42578125" style="351"/>
    <col min="9473" max="9480" width="11.42578125" style="351" customWidth="1"/>
    <col min="9481" max="9728" width="11.42578125" style="351"/>
    <col min="9729" max="9736" width="11.42578125" style="351" customWidth="1"/>
    <col min="9737" max="9984" width="11.42578125" style="351"/>
    <col min="9985" max="9992" width="11.42578125" style="351" customWidth="1"/>
    <col min="9993" max="10240" width="11.42578125" style="351"/>
    <col min="10241" max="10248" width="11.42578125" style="351" customWidth="1"/>
    <col min="10249" max="10496" width="11.42578125" style="351"/>
    <col min="10497" max="10504" width="11.42578125" style="351" customWidth="1"/>
    <col min="10505" max="10752" width="11.42578125" style="351"/>
    <col min="10753" max="10760" width="11.42578125" style="351" customWidth="1"/>
    <col min="10761" max="11008" width="11.42578125" style="351"/>
    <col min="11009" max="11016" width="11.42578125" style="351" customWidth="1"/>
    <col min="11017" max="11264" width="11.42578125" style="351"/>
    <col min="11265" max="11272" width="11.42578125" style="351" customWidth="1"/>
    <col min="11273" max="11520" width="11.42578125" style="351"/>
    <col min="11521" max="11528" width="11.42578125" style="351" customWidth="1"/>
    <col min="11529" max="11776" width="11.42578125" style="351"/>
    <col min="11777" max="11784" width="11.42578125" style="351" customWidth="1"/>
    <col min="11785" max="12032" width="11.42578125" style="351"/>
    <col min="12033" max="12040" width="11.42578125" style="351" customWidth="1"/>
    <col min="12041" max="12288" width="11.42578125" style="351"/>
    <col min="12289" max="12296" width="11.42578125" style="351" customWidth="1"/>
    <col min="12297" max="12544" width="11.42578125" style="351"/>
    <col min="12545" max="12552" width="11.42578125" style="351" customWidth="1"/>
    <col min="12553" max="12800" width="11.42578125" style="351"/>
    <col min="12801" max="12808" width="11.42578125" style="351" customWidth="1"/>
    <col min="12809" max="13056" width="11.42578125" style="351"/>
    <col min="13057" max="13064" width="11.42578125" style="351" customWidth="1"/>
    <col min="13065" max="13312" width="11.42578125" style="351"/>
    <col min="13313" max="13320" width="11.42578125" style="351" customWidth="1"/>
    <col min="13321" max="13568" width="11.42578125" style="351"/>
    <col min="13569" max="13576" width="11.42578125" style="351" customWidth="1"/>
    <col min="13577" max="13824" width="11.42578125" style="351"/>
    <col min="13825" max="13832" width="11.42578125" style="351" customWidth="1"/>
    <col min="13833" max="14080" width="11.42578125" style="351"/>
    <col min="14081" max="14088" width="11.42578125" style="351" customWidth="1"/>
    <col min="14089" max="14336" width="11.42578125" style="351"/>
    <col min="14337" max="14344" width="11.42578125" style="351" customWidth="1"/>
    <col min="14345" max="14592" width="11.42578125" style="351"/>
    <col min="14593" max="14600" width="11.42578125" style="351" customWidth="1"/>
    <col min="14601" max="14848" width="11.42578125" style="351"/>
    <col min="14849" max="14856" width="11.42578125" style="351" customWidth="1"/>
    <col min="14857" max="15104" width="11.42578125" style="351"/>
    <col min="15105" max="15112" width="11.42578125" style="351" customWidth="1"/>
    <col min="15113" max="15360" width="11.42578125" style="351"/>
    <col min="15361" max="15368" width="11.42578125" style="351" customWidth="1"/>
    <col min="15369" max="15616" width="11.42578125" style="351"/>
    <col min="15617" max="15624" width="11.42578125" style="351" customWidth="1"/>
    <col min="15625" max="15872" width="11.42578125" style="351"/>
    <col min="15873" max="15880" width="11.42578125" style="351" customWidth="1"/>
    <col min="15881" max="16128" width="11.42578125" style="351"/>
    <col min="16129" max="16136" width="11.42578125" style="351" customWidth="1"/>
    <col min="16137" max="16384" width="11.42578125" style="351"/>
  </cols>
  <sheetData>
    <row r="1" spans="1:9" ht="24.75" customHeight="1" x14ac:dyDescent="0.25">
      <c r="A1" s="35" t="str">
        <f>'RECAP #9502.00'!B1</f>
        <v>DOC MPCF Hot and Cold Water Mains Replacement</v>
      </c>
      <c r="B1" s="35"/>
      <c r="C1" s="185"/>
      <c r="D1" s="185"/>
      <c r="E1" s="185"/>
      <c r="F1" s="223"/>
      <c r="G1" s="223"/>
      <c r="H1" s="224"/>
      <c r="I1" s="224"/>
    </row>
    <row r="2" spans="1:9" ht="15.75" x14ac:dyDescent="0.25">
      <c r="A2" s="186" t="str">
        <f>'RECAP #9502.00'!B2</f>
        <v>Project # 9502.00</v>
      </c>
      <c r="B2" s="182"/>
      <c r="C2" s="185"/>
      <c r="D2" s="185"/>
      <c r="E2" s="185"/>
      <c r="F2" s="223"/>
      <c r="G2" s="223"/>
      <c r="H2" s="224"/>
      <c r="I2" s="224"/>
    </row>
    <row r="3" spans="1:9" ht="15.75" x14ac:dyDescent="0.25">
      <c r="A3" s="187" t="str">
        <f>'RECAP #9502.00'!B3</f>
        <v>Program code 950200</v>
      </c>
      <c r="B3" s="182"/>
      <c r="C3" s="185"/>
      <c r="D3" s="188" t="str">
        <f>'RECAP #9502.00'!E3</f>
        <v>Major Program 4F04</v>
      </c>
      <c r="E3" s="185"/>
      <c r="F3" s="223"/>
      <c r="G3" s="223"/>
      <c r="H3" s="224"/>
      <c r="I3" s="224"/>
    </row>
    <row r="4" spans="1:9" ht="15.75" x14ac:dyDescent="0.25">
      <c r="A4" s="35" t="s">
        <v>261</v>
      </c>
      <c r="B4" s="36"/>
      <c r="C4" s="224"/>
      <c r="D4" s="225" t="s">
        <v>262</v>
      </c>
      <c r="E4" s="189"/>
      <c r="F4" s="223"/>
      <c r="G4" s="223"/>
      <c r="H4" s="224"/>
      <c r="I4" s="224"/>
    </row>
    <row r="5" spans="1:9" ht="15.75" x14ac:dyDescent="0.25">
      <c r="A5" s="226" t="s">
        <v>106</v>
      </c>
      <c r="B5" s="224"/>
      <c r="C5" s="227"/>
      <c r="D5" s="43" t="s">
        <v>263</v>
      </c>
      <c r="E5" s="49"/>
      <c r="F5" s="228"/>
      <c r="G5" s="223"/>
      <c r="H5" s="224"/>
      <c r="I5" s="224"/>
    </row>
    <row r="6" spans="1:9" ht="15.75" x14ac:dyDescent="0.25">
      <c r="A6" s="192" t="str">
        <f>'RECAP #9502.00'!B6</f>
        <v>Project Manager - Brandon A.</v>
      </c>
      <c r="B6" s="36"/>
      <c r="C6" s="229"/>
      <c r="D6" s="230" t="s">
        <v>109</v>
      </c>
      <c r="E6" s="49"/>
      <c r="F6" s="50"/>
      <c r="G6" s="223"/>
      <c r="H6" s="224"/>
      <c r="I6" s="224"/>
    </row>
    <row r="7" spans="1:9" ht="15.75" x14ac:dyDescent="0.25">
      <c r="A7" s="224"/>
      <c r="B7" s="231"/>
      <c r="C7" s="231"/>
      <c r="D7" s="224"/>
      <c r="E7" s="52"/>
      <c r="F7" s="53"/>
      <c r="G7" s="223"/>
      <c r="H7" s="224"/>
      <c r="I7" s="224" t="s">
        <v>2</v>
      </c>
    </row>
    <row r="8" spans="1:9" ht="32.25" thickBot="1" x14ac:dyDescent="0.3">
      <c r="A8" s="232" t="s">
        <v>16</v>
      </c>
      <c r="B8" s="233" t="s">
        <v>17</v>
      </c>
      <c r="C8" s="234" t="s">
        <v>18</v>
      </c>
      <c r="D8" s="235" t="s">
        <v>19</v>
      </c>
      <c r="E8" s="235" t="s">
        <v>20</v>
      </c>
      <c r="F8" s="235" t="s">
        <v>21</v>
      </c>
      <c r="G8" s="235" t="s">
        <v>22</v>
      </c>
      <c r="H8" s="235" t="s">
        <v>23</v>
      </c>
      <c r="I8" s="224"/>
    </row>
    <row r="9" spans="1:9" s="359" customFormat="1" ht="12.75" customHeight="1" x14ac:dyDescent="0.25">
      <c r="A9" s="352" t="s">
        <v>260</v>
      </c>
      <c r="B9" s="353">
        <v>45936</v>
      </c>
      <c r="C9" s="354" t="s">
        <v>111</v>
      </c>
      <c r="D9" s="355">
        <v>15742.15</v>
      </c>
      <c r="E9" s="356">
        <f>D9</f>
        <v>15742.15</v>
      </c>
      <c r="F9" s="357"/>
      <c r="G9" s="357"/>
      <c r="H9" s="357">
        <f>E9</f>
        <v>15742.15</v>
      </c>
      <c r="I9" s="358"/>
    </row>
    <row r="10" spans="1:9" s="359" customFormat="1" ht="12.75" customHeight="1" x14ac:dyDescent="0.25">
      <c r="A10" s="352" t="s">
        <v>320</v>
      </c>
      <c r="B10" s="360">
        <v>45967</v>
      </c>
      <c r="C10" s="354" t="s">
        <v>321</v>
      </c>
      <c r="D10" s="356"/>
      <c r="E10" s="356">
        <f t="shared" ref="E10:E21" si="0">E9+D10</f>
        <v>15742.15</v>
      </c>
      <c r="F10" s="361">
        <v>1561.41</v>
      </c>
      <c r="G10" s="357">
        <f t="shared" ref="G10:G21" si="1">G9+F10</f>
        <v>1561.41</v>
      </c>
      <c r="H10" s="357">
        <f t="shared" ref="H10:H21" si="2">H9-F10+D10</f>
        <v>14180.74</v>
      </c>
      <c r="I10" s="358"/>
    </row>
    <row r="11" spans="1:9" s="359" customFormat="1" ht="12.75" customHeight="1" x14ac:dyDescent="0.25">
      <c r="A11" s="352" t="s">
        <v>364</v>
      </c>
      <c r="B11" s="353">
        <v>46001</v>
      </c>
      <c r="C11" s="354" t="s">
        <v>365</v>
      </c>
      <c r="D11" s="356"/>
      <c r="E11" s="356">
        <f t="shared" si="0"/>
        <v>15742.15</v>
      </c>
      <c r="F11" s="361">
        <v>2989.96</v>
      </c>
      <c r="G11" s="357">
        <f t="shared" si="1"/>
        <v>4551.37</v>
      </c>
      <c r="H11" s="357">
        <f t="shared" si="2"/>
        <v>11190.779999999999</v>
      </c>
      <c r="I11" s="358"/>
    </row>
    <row r="12" spans="1:9" s="359" customFormat="1" ht="12.75" customHeight="1" x14ac:dyDescent="0.25">
      <c r="A12" s="352" t="s">
        <v>426</v>
      </c>
      <c r="B12" s="353">
        <v>46034</v>
      </c>
      <c r="C12" s="354" t="s">
        <v>427</v>
      </c>
      <c r="D12" s="356"/>
      <c r="E12" s="356">
        <f t="shared" si="0"/>
        <v>15742.15</v>
      </c>
      <c r="F12" s="361">
        <v>2440.91</v>
      </c>
      <c r="G12" s="357">
        <f t="shared" si="1"/>
        <v>6992.28</v>
      </c>
      <c r="H12" s="357">
        <f t="shared" si="2"/>
        <v>8749.869999999999</v>
      </c>
      <c r="I12" s="358"/>
    </row>
    <row r="13" spans="1:9" s="359" customFormat="1" ht="12.75" customHeight="1" x14ac:dyDescent="0.25">
      <c r="A13" s="352" t="s">
        <v>578</v>
      </c>
      <c r="B13" s="353">
        <v>46069</v>
      </c>
      <c r="C13" s="354" t="s">
        <v>579</v>
      </c>
      <c r="D13" s="356"/>
      <c r="E13" s="356">
        <f t="shared" si="0"/>
        <v>15742.15</v>
      </c>
      <c r="F13" s="361">
        <v>3461.18</v>
      </c>
      <c r="G13" s="357">
        <f t="shared" si="1"/>
        <v>10453.459999999999</v>
      </c>
      <c r="H13" s="357">
        <f t="shared" si="2"/>
        <v>5288.6899999999987</v>
      </c>
      <c r="I13" s="358"/>
    </row>
    <row r="14" spans="1:9" s="359" customFormat="1" ht="12.75" customHeight="1" x14ac:dyDescent="0.25">
      <c r="A14" s="352" t="s">
        <v>713</v>
      </c>
      <c r="B14" s="353">
        <v>46104</v>
      </c>
      <c r="C14" s="354" t="s">
        <v>714</v>
      </c>
      <c r="D14" s="362">
        <v>-1900.31</v>
      </c>
      <c r="E14" s="356">
        <f t="shared" si="0"/>
        <v>13841.84</v>
      </c>
      <c r="F14" s="361">
        <v>3388.38</v>
      </c>
      <c r="G14" s="357">
        <f t="shared" si="1"/>
        <v>13841.84</v>
      </c>
      <c r="H14" s="357">
        <f t="shared" si="2"/>
        <v>0</v>
      </c>
      <c r="I14" s="358"/>
    </row>
    <row r="15" spans="1:9" s="359" customFormat="1" ht="12.75" customHeight="1" x14ac:dyDescent="0.25">
      <c r="A15" s="352"/>
      <c r="B15" s="353"/>
      <c r="C15" s="354"/>
      <c r="D15" s="356"/>
      <c r="E15" s="356">
        <f t="shared" si="0"/>
        <v>13841.84</v>
      </c>
      <c r="F15" s="361"/>
      <c r="G15" s="357">
        <f t="shared" si="1"/>
        <v>13841.84</v>
      </c>
      <c r="H15" s="357">
        <f t="shared" si="2"/>
        <v>0</v>
      </c>
      <c r="I15" s="358"/>
    </row>
    <row r="16" spans="1:9" s="359" customFormat="1" ht="12.75" customHeight="1" x14ac:dyDescent="0.25">
      <c r="A16" s="352"/>
      <c r="B16" s="353"/>
      <c r="C16" s="354"/>
      <c r="D16" s="356"/>
      <c r="E16" s="356">
        <f t="shared" si="0"/>
        <v>13841.84</v>
      </c>
      <c r="F16" s="361"/>
      <c r="G16" s="357">
        <f t="shared" si="1"/>
        <v>13841.84</v>
      </c>
      <c r="H16" s="357">
        <f t="shared" si="2"/>
        <v>0</v>
      </c>
      <c r="I16" s="358"/>
    </row>
    <row r="17" spans="1:9" s="359" customFormat="1" ht="12.75" customHeight="1" x14ac:dyDescent="0.25">
      <c r="A17" s="352"/>
      <c r="B17" s="353"/>
      <c r="C17" s="354"/>
      <c r="D17" s="356"/>
      <c r="E17" s="356">
        <f t="shared" si="0"/>
        <v>13841.84</v>
      </c>
      <c r="F17" s="361"/>
      <c r="G17" s="357">
        <f t="shared" si="1"/>
        <v>13841.84</v>
      </c>
      <c r="H17" s="357">
        <f t="shared" si="2"/>
        <v>0</v>
      </c>
      <c r="I17" s="358"/>
    </row>
    <row r="18" spans="1:9" s="359" customFormat="1" ht="12.75" customHeight="1" x14ac:dyDescent="0.25">
      <c r="A18" s="352"/>
      <c r="B18" s="353"/>
      <c r="C18" s="354"/>
      <c r="D18" s="356"/>
      <c r="E18" s="356">
        <f t="shared" si="0"/>
        <v>13841.84</v>
      </c>
      <c r="F18" s="361"/>
      <c r="G18" s="357">
        <f t="shared" si="1"/>
        <v>13841.84</v>
      </c>
      <c r="H18" s="357">
        <f t="shared" si="2"/>
        <v>0</v>
      </c>
      <c r="I18" s="358"/>
    </row>
    <row r="19" spans="1:9" s="359" customFormat="1" ht="12.75" customHeight="1" x14ac:dyDescent="0.25">
      <c r="A19" s="352"/>
      <c r="B19" s="353"/>
      <c r="C19" s="354"/>
      <c r="D19" s="356"/>
      <c r="E19" s="356">
        <f t="shared" si="0"/>
        <v>13841.84</v>
      </c>
      <c r="F19" s="357"/>
      <c r="G19" s="357">
        <f t="shared" si="1"/>
        <v>13841.84</v>
      </c>
      <c r="H19" s="357">
        <f t="shared" si="2"/>
        <v>0</v>
      </c>
      <c r="I19" s="358"/>
    </row>
    <row r="20" spans="1:9" s="359" customFormat="1" ht="12.75" customHeight="1" x14ac:dyDescent="0.25">
      <c r="A20" s="352"/>
      <c r="B20" s="353"/>
      <c r="C20" s="354"/>
      <c r="D20" s="356"/>
      <c r="E20" s="356">
        <f t="shared" si="0"/>
        <v>13841.84</v>
      </c>
      <c r="F20" s="357"/>
      <c r="G20" s="357">
        <f t="shared" si="1"/>
        <v>13841.84</v>
      </c>
      <c r="H20" s="357">
        <f t="shared" si="2"/>
        <v>0</v>
      </c>
      <c r="I20" s="358"/>
    </row>
    <row r="21" spans="1:9" s="359" customFormat="1" ht="12.75" customHeight="1" x14ac:dyDescent="0.25">
      <c r="A21" s="352"/>
      <c r="B21" s="353"/>
      <c r="C21" s="363"/>
      <c r="D21" s="356"/>
      <c r="E21" s="356">
        <f t="shared" si="0"/>
        <v>13841.84</v>
      </c>
      <c r="F21" s="357"/>
      <c r="G21" s="357">
        <f t="shared" si="1"/>
        <v>13841.84</v>
      </c>
      <c r="H21" s="357">
        <f t="shared" si="2"/>
        <v>0</v>
      </c>
      <c r="I21" s="358"/>
    </row>
    <row r="22" spans="1:9" s="359" customFormat="1" ht="12.75" customHeight="1" x14ac:dyDescent="0.25">
      <c r="A22" s="352"/>
      <c r="B22" s="354"/>
      <c r="C22" s="364"/>
      <c r="D22" s="357"/>
      <c r="E22" s="357"/>
      <c r="F22" s="357"/>
      <c r="G22" s="357"/>
      <c r="H22" s="357"/>
      <c r="I22" s="358"/>
    </row>
    <row r="23" spans="1:9" s="359" customFormat="1" ht="12.75" customHeight="1" thickBot="1" x14ac:dyDescent="0.3">
      <c r="A23" s="352"/>
      <c r="B23" s="365"/>
      <c r="C23" s="366" t="s">
        <v>24</v>
      </c>
      <c r="D23" s="367">
        <f>SUM(D9:D22)</f>
        <v>13841.84</v>
      </c>
      <c r="E23" s="367"/>
      <c r="F23" s="367">
        <f>SUM(F9:F22)</f>
        <v>13841.84</v>
      </c>
      <c r="G23" s="367"/>
      <c r="H23" s="367">
        <f>D23-F23</f>
        <v>0</v>
      </c>
      <c r="I23" s="368" t="s">
        <v>454</v>
      </c>
    </row>
    <row r="24" spans="1:9" s="359" customFormat="1" ht="12.75" customHeight="1" thickTop="1" x14ac:dyDescent="0.25">
      <c r="A24" s="352"/>
      <c r="B24" s="354"/>
      <c r="C24" s="364"/>
      <c r="D24" s="357"/>
      <c r="E24" s="357"/>
      <c r="F24" s="357"/>
      <c r="G24" s="357"/>
      <c r="H24" s="357"/>
      <c r="I24" s="358"/>
    </row>
    <row r="25" spans="1:9" s="359" customFormat="1" ht="12.75" customHeight="1" x14ac:dyDescent="0.25">
      <c r="A25" s="352"/>
      <c r="B25" s="354"/>
      <c r="C25" s="364"/>
      <c r="D25" s="357"/>
      <c r="E25" s="357"/>
      <c r="F25" s="357"/>
      <c r="G25" s="357"/>
      <c r="H25" s="357"/>
      <c r="I25" s="358"/>
    </row>
    <row r="26" spans="1:9" s="359" customFormat="1" ht="12.75" customHeight="1" x14ac:dyDescent="0.25">
      <c r="A26" s="352"/>
      <c r="B26" s="354"/>
      <c r="C26" s="364" t="s">
        <v>112</v>
      </c>
      <c r="D26" s="369">
        <f>15042.15-1760.31</f>
        <v>13281.84</v>
      </c>
      <c r="E26" s="369"/>
      <c r="F26" s="369">
        <f>1421.41+2849.96+2160.91+3461.18+3388.38</f>
        <v>13281.84</v>
      </c>
      <c r="G26" s="369"/>
      <c r="H26" s="369">
        <f>D26-F26</f>
        <v>0</v>
      </c>
      <c r="I26" s="358"/>
    </row>
    <row r="27" spans="1:9" s="359" customFormat="1" ht="12.75" customHeight="1" x14ac:dyDescent="0.25">
      <c r="A27" s="352"/>
      <c r="B27" s="354"/>
      <c r="C27" s="364" t="s">
        <v>113</v>
      </c>
      <c r="D27" s="369">
        <f>700-140</f>
        <v>560</v>
      </c>
      <c r="E27" s="369"/>
      <c r="F27" s="369">
        <f>140+140+280</f>
        <v>560</v>
      </c>
      <c r="G27" s="369"/>
      <c r="H27" s="369">
        <f>D27-F27</f>
        <v>0</v>
      </c>
      <c r="I27" s="358"/>
    </row>
    <row r="28" spans="1:9" s="359" customFormat="1" ht="12.75" customHeight="1" thickBot="1" x14ac:dyDescent="0.3">
      <c r="A28" s="352"/>
      <c r="B28" s="354"/>
      <c r="C28" s="370" t="s">
        <v>67</v>
      </c>
      <c r="D28" s="367">
        <f>SUM(D26:D27)</f>
        <v>13841.84</v>
      </c>
      <c r="E28" s="371"/>
      <c r="F28" s="367">
        <f>SUM(F26:F27)</f>
        <v>13841.84</v>
      </c>
      <c r="G28" s="371"/>
      <c r="H28" s="367">
        <f>SUM(H26:H27)</f>
        <v>0</v>
      </c>
      <c r="I28" s="358"/>
    </row>
    <row r="29" spans="1:9" s="359" customFormat="1" ht="12.75" customHeight="1" thickTop="1" x14ac:dyDescent="0.25"/>
    <row r="30" spans="1:9" s="359" customFormat="1" ht="12.75" customHeight="1" x14ac:dyDescent="0.25"/>
    <row r="31" spans="1:9" s="359" customFormat="1" ht="12.75" customHeight="1" x14ac:dyDescent="0.25"/>
    <row r="32" spans="1:9" s="359" customFormat="1" ht="12.75" customHeight="1" x14ac:dyDescent="0.25"/>
    <row r="33" s="359" customFormat="1" ht="12.75" customHeight="1" x14ac:dyDescent="0.25"/>
    <row r="34" s="359" customFormat="1" ht="12.75" customHeight="1" x14ac:dyDescent="0.25"/>
    <row r="35" s="359" customFormat="1" ht="12.75" customHeight="1" x14ac:dyDescent="0.25"/>
    <row r="36" s="359" customFormat="1" ht="12.75" customHeight="1" x14ac:dyDescent="0.25"/>
    <row r="37" s="359" customFormat="1" ht="12.75" customHeight="1" x14ac:dyDescent="0.25"/>
    <row r="38" s="359" customFormat="1" ht="12.75" customHeight="1" x14ac:dyDescent="0.25"/>
    <row r="39" s="359" customFormat="1" ht="12.75" customHeight="1" x14ac:dyDescent="0.25"/>
    <row r="40" s="359" customFormat="1" ht="12.75" customHeight="1" x14ac:dyDescent="0.25"/>
    <row r="41" s="359" customFormat="1" ht="12.75" customHeight="1" x14ac:dyDescent="0.25"/>
    <row r="42" s="359" customFormat="1" ht="12.75" customHeight="1" x14ac:dyDescent="0.25"/>
    <row r="43" s="359" customFormat="1" ht="12.75" customHeight="1" x14ac:dyDescent="0.25"/>
    <row r="44" s="359" customFormat="1" ht="12.75" customHeight="1" x14ac:dyDescent="0.25"/>
    <row r="45" s="359" customFormat="1" ht="12.75" customHeight="1" x14ac:dyDescent="0.25"/>
    <row r="46" s="359" customFormat="1" ht="12.75" customHeight="1" x14ac:dyDescent="0.25"/>
    <row r="47" s="359" customFormat="1" ht="12.75" customHeight="1" x14ac:dyDescent="0.25"/>
    <row r="48" s="359" customFormat="1" ht="12.75" customHeight="1" x14ac:dyDescent="0.25"/>
    <row r="49" s="359" customFormat="1" ht="12.75" customHeight="1" x14ac:dyDescent="0.25"/>
    <row r="50" s="359" customFormat="1" ht="12.75" customHeight="1" x14ac:dyDescent="0.25"/>
    <row r="51" s="359" customFormat="1" ht="12.75" customHeight="1" x14ac:dyDescent="0.25"/>
    <row r="52" s="359" customFormat="1" ht="12.75" customHeight="1" x14ac:dyDescent="0.25"/>
    <row r="53" s="359" customFormat="1" ht="12.75" customHeight="1" x14ac:dyDescent="0.25"/>
    <row r="54" s="359" customFormat="1" ht="12.75" customHeight="1" x14ac:dyDescent="0.25"/>
    <row r="55" s="359" customFormat="1" ht="12.75" customHeight="1" x14ac:dyDescent="0.25"/>
    <row r="56" s="359" customFormat="1" ht="12.75" customHeight="1" x14ac:dyDescent="0.25"/>
    <row r="57" s="359" customFormat="1" ht="12.75" customHeight="1" x14ac:dyDescent="0.25"/>
    <row r="58" s="359" customFormat="1" ht="12.75" customHeight="1" x14ac:dyDescent="0.25"/>
    <row r="59" s="359" customFormat="1" ht="12.75" customHeight="1" x14ac:dyDescent="0.25"/>
    <row r="60" s="359" customFormat="1" ht="12.75" customHeight="1" x14ac:dyDescent="0.25"/>
    <row r="61" s="359" customFormat="1" ht="12.75" customHeight="1" x14ac:dyDescent="0.25"/>
    <row r="62" s="359" customFormat="1" ht="12.75" customHeight="1" x14ac:dyDescent="0.25"/>
    <row r="63" s="359" customFormat="1" ht="12.75" customHeight="1" x14ac:dyDescent="0.25"/>
    <row r="64" s="359" customFormat="1" ht="12.75" customHeight="1" x14ac:dyDescent="0.25"/>
    <row r="65" s="359" customFormat="1" ht="12.75" customHeight="1" x14ac:dyDescent="0.25"/>
    <row r="66" s="359" customFormat="1" ht="12.75" customHeight="1" x14ac:dyDescent="0.25"/>
    <row r="67" s="359" customFormat="1" ht="12.75" customHeight="1" x14ac:dyDescent="0.25"/>
    <row r="68" s="359" customFormat="1" ht="12.75" customHeight="1" x14ac:dyDescent="0.25"/>
    <row r="69" s="359" customFormat="1" ht="12.75" customHeight="1" x14ac:dyDescent="0.25"/>
    <row r="70" s="359" customFormat="1" ht="12.75" customHeight="1" x14ac:dyDescent="0.25"/>
    <row r="71" s="359" customFormat="1" ht="12.75" customHeight="1" x14ac:dyDescent="0.25"/>
    <row r="72" s="359" customFormat="1" ht="12.75" customHeight="1" x14ac:dyDescent="0.25"/>
    <row r="73" s="359" customFormat="1" ht="12.75" customHeight="1" x14ac:dyDescent="0.25"/>
    <row r="74" s="359" customFormat="1" ht="12.75" customHeight="1" x14ac:dyDescent="0.25"/>
    <row r="75" s="359" customFormat="1" ht="12.75" customHeight="1" x14ac:dyDescent="0.25"/>
    <row r="76" s="359" customFormat="1" ht="12.75" customHeight="1" x14ac:dyDescent="0.25"/>
    <row r="77" s="359" customFormat="1" ht="12.75" customHeight="1" x14ac:dyDescent="0.25"/>
    <row r="78" s="359" customFormat="1" ht="12.75" customHeight="1" x14ac:dyDescent="0.25"/>
    <row r="79" s="359" customFormat="1" ht="12.75" customHeight="1" x14ac:dyDescent="0.25"/>
    <row r="80" s="359" customFormat="1" ht="12.75" customHeight="1" x14ac:dyDescent="0.25"/>
    <row r="81" s="359" customFormat="1" ht="12.75" customHeight="1" x14ac:dyDescent="0.25"/>
    <row r="82" s="359" customFormat="1" ht="12.75" customHeight="1" x14ac:dyDescent="0.25"/>
    <row r="83" s="359" customFormat="1" ht="12.75" customHeight="1" x14ac:dyDescent="0.25"/>
    <row r="84" s="359" customFormat="1" ht="12.75" customHeight="1" x14ac:dyDescent="0.25"/>
    <row r="85" s="359" customFormat="1" ht="12.75" customHeight="1" x14ac:dyDescent="0.25"/>
    <row r="86" s="359" customFormat="1" ht="12.75" customHeight="1" x14ac:dyDescent="0.25"/>
    <row r="87" s="359" customFormat="1" ht="12.75" customHeight="1" x14ac:dyDescent="0.25"/>
    <row r="88" s="359" customFormat="1" ht="12.75" customHeight="1" x14ac:dyDescent="0.25"/>
    <row r="89" s="359" customFormat="1" ht="12.75" customHeight="1" x14ac:dyDescent="0.25"/>
    <row r="90" s="359" customFormat="1" ht="12.75" customHeight="1" x14ac:dyDescent="0.25"/>
    <row r="91" s="359" customFormat="1" ht="12.75" customHeight="1" x14ac:dyDescent="0.25"/>
    <row r="92" s="359" customFormat="1" ht="12.75" customHeight="1" x14ac:dyDescent="0.25"/>
    <row r="93" s="359" customFormat="1" ht="12.75" customHeight="1" x14ac:dyDescent="0.25"/>
    <row r="94" s="359" customFormat="1" ht="12.75" customHeight="1" x14ac:dyDescent="0.25"/>
    <row r="95" s="380" customFormat="1" ht="12.75" customHeight="1" x14ac:dyDescent="0.25"/>
    <row r="96" s="380" customFormat="1" ht="12.75" customHeight="1" x14ac:dyDescent="0.25"/>
    <row r="97" s="380" customFormat="1" ht="12.75" customHeight="1" x14ac:dyDescent="0.25"/>
    <row r="98" s="380" customFormat="1" ht="12.75" customHeight="1" x14ac:dyDescent="0.25"/>
    <row r="99" s="380" customFormat="1" ht="12.75" customHeight="1" x14ac:dyDescent="0.25"/>
    <row r="100" s="380" customFormat="1" ht="12.75" customHeight="1" x14ac:dyDescent="0.25"/>
    <row r="101" s="380" customFormat="1" ht="12.75" customHeight="1" x14ac:dyDescent="0.25"/>
    <row r="102" s="380" customFormat="1" ht="12.75" customHeight="1" x14ac:dyDescent="0.25"/>
    <row r="103" s="380" customFormat="1" ht="12.75" customHeight="1" x14ac:dyDescent="0.25"/>
    <row r="104" s="380" customFormat="1" ht="12.75" customHeight="1" x14ac:dyDescent="0.25"/>
    <row r="105" s="380" customFormat="1" ht="12.75" customHeight="1" x14ac:dyDescent="0.25"/>
    <row r="106" s="380" customFormat="1" ht="12.75" customHeight="1" x14ac:dyDescent="0.25"/>
    <row r="107" s="380" customFormat="1" ht="12.75" customHeight="1" x14ac:dyDescent="0.25"/>
    <row r="108" s="380" customFormat="1" ht="12.75" customHeight="1" x14ac:dyDescent="0.25"/>
    <row r="109" s="380" customFormat="1" ht="12.75" customHeight="1" x14ac:dyDescent="0.25"/>
    <row r="110" s="380" customFormat="1" ht="12.75" customHeight="1" x14ac:dyDescent="0.25"/>
    <row r="111" s="380" customFormat="1" ht="12.75" customHeight="1" x14ac:dyDescent="0.25"/>
    <row r="112" s="380" customFormat="1" ht="12.75" customHeight="1" x14ac:dyDescent="0.25"/>
    <row r="113" s="380" customFormat="1" ht="12.75" customHeight="1" x14ac:dyDescent="0.25"/>
    <row r="114" s="380" customFormat="1" ht="12.75" customHeight="1" x14ac:dyDescent="0.25"/>
    <row r="115" s="380" customFormat="1" ht="12.75" customHeight="1" x14ac:dyDescent="0.25"/>
    <row r="116" s="380" customFormat="1" ht="12.75" customHeight="1" x14ac:dyDescent="0.25"/>
    <row r="117" s="380" customFormat="1" ht="12.75" customHeight="1" x14ac:dyDescent="0.25"/>
    <row r="118" s="380" customFormat="1" ht="12.75" customHeight="1" x14ac:dyDescent="0.25"/>
    <row r="119" s="380" customFormat="1" ht="12.75" customHeight="1" x14ac:dyDescent="0.25"/>
    <row r="120" s="380" customFormat="1" ht="12.75" customHeight="1" x14ac:dyDescent="0.25"/>
    <row r="121" s="380" customFormat="1" ht="12.75" customHeight="1" x14ac:dyDescent="0.25"/>
    <row r="122" s="380" customFormat="1" ht="12.75" customHeight="1" x14ac:dyDescent="0.25"/>
    <row r="123" s="380" customFormat="1" ht="12.75" customHeight="1" x14ac:dyDescent="0.25"/>
    <row r="124" s="380" customFormat="1" ht="12.75" customHeight="1" x14ac:dyDescent="0.25"/>
    <row r="125" s="380" customFormat="1" ht="12.75" customHeight="1" x14ac:dyDescent="0.25"/>
    <row r="126" s="380" customFormat="1" ht="12.75" customHeight="1" x14ac:dyDescent="0.25"/>
    <row r="127" s="380" customFormat="1" ht="12.75" customHeight="1" x14ac:dyDescent="0.25"/>
    <row r="128" s="380" customFormat="1" ht="12.75" customHeight="1" x14ac:dyDescent="0.25"/>
    <row r="129" s="380"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1E09-7EF1-41F0-9BD4-4C474EE0E2E9}">
  <sheetPr>
    <pageSetUpPr fitToPage="1"/>
  </sheetPr>
  <dimension ref="A1:J27"/>
  <sheetViews>
    <sheetView zoomScaleNormal="100" workbookViewId="0">
      <selection activeCell="M23" sqref="M23"/>
    </sheetView>
  </sheetViews>
  <sheetFormatPr defaultColWidth="11.42578125" defaultRowHeight="15" customHeight="1" x14ac:dyDescent="0.25"/>
  <cols>
    <col min="1" max="1" width="24.5703125" customWidth="1"/>
    <col min="2" max="3" width="9.42578125" customWidth="1"/>
    <col min="4" max="4" width="36.5703125" customWidth="1"/>
    <col min="5" max="5" width="12.5703125" customWidth="1"/>
    <col min="6" max="6" width="13.5703125" customWidth="1"/>
    <col min="7" max="7" width="12.42578125" customWidth="1"/>
    <col min="8" max="8" width="10.5703125" customWidth="1"/>
    <col min="9" max="9" width="16.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#9502.00'!B1</f>
        <v>DOC MPCF Hot and Cold Water Mains Replacement</v>
      </c>
      <c r="B1" s="3"/>
      <c r="C1" s="3"/>
      <c r="D1" s="4"/>
      <c r="E1" s="4"/>
      <c r="F1" s="4"/>
      <c r="G1" s="33"/>
      <c r="H1" s="33"/>
      <c r="I1" s="34"/>
      <c r="J1" s="34"/>
    </row>
    <row r="2" spans="1:10" ht="15.75" x14ac:dyDescent="0.25">
      <c r="A2" s="6" t="str">
        <f>'RECAP #9502.00'!B2</f>
        <v>Project # 9502.00</v>
      </c>
      <c r="B2" s="5"/>
      <c r="C2" s="5"/>
      <c r="D2" s="4"/>
      <c r="E2" s="4"/>
      <c r="F2" s="4"/>
      <c r="G2" s="33"/>
      <c r="H2" s="33"/>
      <c r="I2" s="34"/>
      <c r="J2" s="34"/>
    </row>
    <row r="3" spans="1:10" ht="15.75" x14ac:dyDescent="0.25">
      <c r="A3" s="7" t="str">
        <f>'RECAP #9502.00'!B3</f>
        <v>Program code 950200</v>
      </c>
      <c r="B3" s="5"/>
      <c r="C3" s="5"/>
      <c r="D3" s="4"/>
      <c r="E3" s="8" t="str">
        <f>'RECAP #9502.00'!E3</f>
        <v>Major Program 4F04</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246</v>
      </c>
      <c r="F6" s="49"/>
      <c r="G6" s="50"/>
      <c r="H6" s="46"/>
      <c r="I6" s="41"/>
      <c r="J6" s="34"/>
    </row>
    <row r="7" spans="1:10" ht="15.75" x14ac:dyDescent="0.25">
      <c r="A7" s="13" t="str">
        <f>'RECAP #9502.00'!B6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20000</v>
      </c>
      <c r="F9" s="290">
        <f>E9</f>
        <v>20000</v>
      </c>
      <c r="G9" s="291"/>
      <c r="H9" s="291"/>
      <c r="I9" s="291">
        <f>F9</f>
        <v>20000</v>
      </c>
      <c r="J9" s="292"/>
    </row>
    <row r="10" spans="1:10" s="275" customFormat="1" ht="12.75" customHeight="1" x14ac:dyDescent="0.25">
      <c r="A10" s="220" t="s">
        <v>268</v>
      </c>
      <c r="B10" s="221">
        <v>45937</v>
      </c>
      <c r="C10" s="329" t="s">
        <v>269</v>
      </c>
      <c r="D10" s="179" t="s">
        <v>270</v>
      </c>
      <c r="E10" s="290"/>
      <c r="F10" s="290">
        <f t="shared" ref="F10:F24" si="0">F9+E10</f>
        <v>20000</v>
      </c>
      <c r="G10" s="294">
        <v>66.83</v>
      </c>
      <c r="H10" s="291">
        <f t="shared" ref="H10:H24" si="1">H9+G10</f>
        <v>66.83</v>
      </c>
      <c r="I10" s="291">
        <f t="shared" ref="I10:I24" si="2">I9-G10+E10</f>
        <v>19933.169999999998</v>
      </c>
      <c r="J10" s="292"/>
    </row>
    <row r="11" spans="1:10" s="275" customFormat="1" ht="12.75" customHeight="1" x14ac:dyDescent="0.25">
      <c r="A11" s="220" t="s">
        <v>268</v>
      </c>
      <c r="B11" s="221">
        <v>45937</v>
      </c>
      <c r="C11" s="329">
        <v>9500</v>
      </c>
      <c r="D11" s="222" t="s">
        <v>271</v>
      </c>
      <c r="E11" s="290"/>
      <c r="F11" s="290">
        <f t="shared" si="0"/>
        <v>20000</v>
      </c>
      <c r="G11" s="294">
        <v>345.2</v>
      </c>
      <c r="H11" s="291">
        <f t="shared" si="1"/>
        <v>412.03</v>
      </c>
      <c r="I11" s="291">
        <f t="shared" si="2"/>
        <v>19587.969999999998</v>
      </c>
      <c r="J11" s="292"/>
    </row>
    <row r="12" spans="1:10" s="275" customFormat="1" ht="12.75" customHeight="1" x14ac:dyDescent="0.25">
      <c r="A12" s="220" t="s">
        <v>322</v>
      </c>
      <c r="B12" s="221">
        <v>45968</v>
      </c>
      <c r="C12" s="329" t="s">
        <v>269</v>
      </c>
      <c r="D12" s="179" t="s">
        <v>323</v>
      </c>
      <c r="E12" s="290"/>
      <c r="F12" s="290">
        <f t="shared" si="0"/>
        <v>20000</v>
      </c>
      <c r="G12" s="294">
        <v>49.36</v>
      </c>
      <c r="H12" s="291">
        <f t="shared" si="1"/>
        <v>461.39</v>
      </c>
      <c r="I12" s="291">
        <f t="shared" si="2"/>
        <v>19538.609999999997</v>
      </c>
      <c r="J12" s="292"/>
    </row>
    <row r="13" spans="1:10" s="275" customFormat="1" ht="12.75" customHeight="1" x14ac:dyDescent="0.25">
      <c r="A13" s="220" t="s">
        <v>322</v>
      </c>
      <c r="B13" s="221">
        <v>45968</v>
      </c>
      <c r="C13" s="329">
        <v>9500</v>
      </c>
      <c r="D13" s="222" t="s">
        <v>324</v>
      </c>
      <c r="E13" s="290"/>
      <c r="F13" s="290">
        <f t="shared" si="0"/>
        <v>20000</v>
      </c>
      <c r="G13" s="294">
        <v>1932.7</v>
      </c>
      <c r="H13" s="291">
        <f t="shared" si="1"/>
        <v>2394.09</v>
      </c>
      <c r="I13" s="291">
        <f t="shared" si="2"/>
        <v>17605.909999999996</v>
      </c>
      <c r="J13" s="292"/>
    </row>
    <row r="14" spans="1:10" s="275" customFormat="1" ht="12.75" customHeight="1" x14ac:dyDescent="0.2">
      <c r="A14" s="213" t="s">
        <v>373</v>
      </c>
      <c r="B14" s="214">
        <v>45996</v>
      </c>
      <c r="C14" s="332" t="s">
        <v>269</v>
      </c>
      <c r="D14" s="175" t="s">
        <v>374</v>
      </c>
      <c r="E14" s="290"/>
      <c r="F14" s="290">
        <f t="shared" si="0"/>
        <v>20000</v>
      </c>
      <c r="G14" s="294">
        <v>464.91</v>
      </c>
      <c r="H14" s="291">
        <f t="shared" si="1"/>
        <v>2859</v>
      </c>
      <c r="I14" s="291">
        <f t="shared" si="2"/>
        <v>17140.999999999996</v>
      </c>
      <c r="J14" s="292"/>
    </row>
    <row r="15" spans="1:10" s="275" customFormat="1" ht="12.75" customHeight="1" x14ac:dyDescent="0.2">
      <c r="A15" s="213" t="s">
        <v>373</v>
      </c>
      <c r="B15" s="214">
        <v>45996</v>
      </c>
      <c r="C15" s="333">
        <v>9500</v>
      </c>
      <c r="D15" s="78" t="s">
        <v>375</v>
      </c>
      <c r="E15" s="290"/>
      <c r="F15" s="290">
        <f t="shared" si="0"/>
        <v>20000</v>
      </c>
      <c r="G15" s="294">
        <v>2160.1</v>
      </c>
      <c r="H15" s="291">
        <f t="shared" si="1"/>
        <v>5019.1000000000004</v>
      </c>
      <c r="I15" s="291">
        <f t="shared" si="2"/>
        <v>14980.899999999996</v>
      </c>
      <c r="J15" s="292"/>
    </row>
    <row r="16" spans="1:10" s="275" customFormat="1" ht="12.75" customHeight="1" x14ac:dyDescent="0.2">
      <c r="A16" s="213" t="s">
        <v>433</v>
      </c>
      <c r="B16" s="214">
        <v>46030</v>
      </c>
      <c r="C16" s="332" t="s">
        <v>269</v>
      </c>
      <c r="D16" s="175" t="s">
        <v>434</v>
      </c>
      <c r="E16" s="290"/>
      <c r="F16" s="290">
        <f t="shared" si="0"/>
        <v>20000</v>
      </c>
      <c r="G16" s="294">
        <v>208.86</v>
      </c>
      <c r="H16" s="291">
        <f t="shared" si="1"/>
        <v>5227.96</v>
      </c>
      <c r="I16" s="291">
        <f t="shared" si="2"/>
        <v>14772.039999999995</v>
      </c>
      <c r="J16" s="292"/>
    </row>
    <row r="17" spans="1:10" s="275" customFormat="1" ht="12.75" customHeight="1" x14ac:dyDescent="0.2">
      <c r="A17" s="213" t="s">
        <v>433</v>
      </c>
      <c r="B17" s="214">
        <v>46030</v>
      </c>
      <c r="C17" s="333">
        <v>9500</v>
      </c>
      <c r="D17" s="78" t="s">
        <v>435</v>
      </c>
      <c r="E17" s="290"/>
      <c r="F17" s="290">
        <f t="shared" si="0"/>
        <v>20000</v>
      </c>
      <c r="G17" s="294">
        <v>2371.8000000000002</v>
      </c>
      <c r="H17" s="291">
        <f t="shared" si="1"/>
        <v>7599.76</v>
      </c>
      <c r="I17" s="291">
        <f t="shared" si="2"/>
        <v>12400.239999999994</v>
      </c>
      <c r="J17" s="292"/>
    </row>
    <row r="18" spans="1:10" s="275" customFormat="1" ht="12.75" customHeight="1" x14ac:dyDescent="0.2">
      <c r="A18" s="213" t="s">
        <v>559</v>
      </c>
      <c r="B18" s="214">
        <v>46062</v>
      </c>
      <c r="C18" s="332" t="s">
        <v>269</v>
      </c>
      <c r="D18" s="175" t="s">
        <v>560</v>
      </c>
      <c r="E18" s="290"/>
      <c r="F18" s="290">
        <f t="shared" si="0"/>
        <v>20000</v>
      </c>
      <c r="G18" s="294">
        <v>181.29</v>
      </c>
      <c r="H18" s="291">
        <f t="shared" si="1"/>
        <v>7781.05</v>
      </c>
      <c r="I18" s="291">
        <f t="shared" si="2"/>
        <v>12218.949999999993</v>
      </c>
      <c r="J18" s="292"/>
    </row>
    <row r="19" spans="1:10" s="275" customFormat="1" ht="12.75" customHeight="1" x14ac:dyDescent="0.2">
      <c r="A19" s="213" t="s">
        <v>559</v>
      </c>
      <c r="B19" s="214">
        <v>46062</v>
      </c>
      <c r="C19" s="333">
        <v>9500</v>
      </c>
      <c r="D19" s="78" t="s">
        <v>561</v>
      </c>
      <c r="E19" s="290"/>
      <c r="F19" s="290">
        <f t="shared" si="0"/>
        <v>20000</v>
      </c>
      <c r="G19" s="294">
        <v>2255.4</v>
      </c>
      <c r="H19" s="291">
        <f t="shared" si="1"/>
        <v>10036.450000000001</v>
      </c>
      <c r="I19" s="291">
        <f t="shared" si="2"/>
        <v>9963.5499999999938</v>
      </c>
      <c r="J19" s="292"/>
    </row>
    <row r="20" spans="1:10" s="275" customFormat="1" ht="12.75" customHeight="1" x14ac:dyDescent="0.2">
      <c r="A20" s="213" t="s">
        <v>663</v>
      </c>
      <c r="B20" s="214">
        <v>46090</v>
      </c>
      <c r="C20" s="332" t="s">
        <v>269</v>
      </c>
      <c r="D20" s="175" t="s">
        <v>664</v>
      </c>
      <c r="E20" s="290"/>
      <c r="F20" s="290">
        <f t="shared" si="0"/>
        <v>20000</v>
      </c>
      <c r="G20" s="294">
        <v>233.73</v>
      </c>
      <c r="H20" s="291">
        <f t="shared" si="1"/>
        <v>10270.18</v>
      </c>
      <c r="I20" s="291">
        <f t="shared" si="2"/>
        <v>9729.8199999999943</v>
      </c>
      <c r="J20" s="292"/>
    </row>
    <row r="21" spans="1:10" s="275" customFormat="1" ht="12.75" customHeight="1" x14ac:dyDescent="0.2">
      <c r="A21" s="213" t="s">
        <v>663</v>
      </c>
      <c r="B21" s="214">
        <v>46090</v>
      </c>
      <c r="C21" s="333">
        <v>9500</v>
      </c>
      <c r="D21" s="78" t="s">
        <v>665</v>
      </c>
      <c r="E21" s="290"/>
      <c r="F21" s="290">
        <f t="shared" si="0"/>
        <v>20000</v>
      </c>
      <c r="G21" s="294">
        <v>2690</v>
      </c>
      <c r="H21" s="291">
        <f t="shared" si="1"/>
        <v>12960.18</v>
      </c>
      <c r="I21" s="291">
        <f t="shared" si="2"/>
        <v>7039.8199999999943</v>
      </c>
      <c r="J21" s="292"/>
    </row>
    <row r="22" spans="1:10" s="275" customFormat="1" ht="12.75" customHeight="1" x14ac:dyDescent="0.2">
      <c r="A22" s="213"/>
      <c r="B22" s="214"/>
      <c r="C22" s="333"/>
      <c r="D22" s="78"/>
      <c r="E22" s="290"/>
      <c r="F22" s="290">
        <f t="shared" si="0"/>
        <v>20000</v>
      </c>
      <c r="G22" s="295"/>
      <c r="H22" s="291">
        <f t="shared" si="1"/>
        <v>12960.18</v>
      </c>
      <c r="I22" s="291">
        <f t="shared" si="2"/>
        <v>7039.8199999999943</v>
      </c>
      <c r="J22" s="292"/>
    </row>
    <row r="23" spans="1:10" s="275" customFormat="1" ht="12.75" customHeight="1" x14ac:dyDescent="0.2">
      <c r="A23" s="213"/>
      <c r="B23" s="214"/>
      <c r="C23" s="333"/>
      <c r="D23" s="78"/>
      <c r="E23" s="290"/>
      <c r="F23" s="290">
        <f t="shared" si="0"/>
        <v>20000</v>
      </c>
      <c r="G23" s="295"/>
      <c r="H23" s="291">
        <f t="shared" si="1"/>
        <v>12960.18</v>
      </c>
      <c r="I23" s="291">
        <f t="shared" si="2"/>
        <v>7039.8199999999943</v>
      </c>
      <c r="J23" s="292"/>
    </row>
    <row r="24" spans="1:10" s="275" customFormat="1" ht="12.75" customHeight="1" x14ac:dyDescent="0.2">
      <c r="A24" s="213"/>
      <c r="B24" s="214"/>
      <c r="C24" s="333"/>
      <c r="D24" s="78"/>
      <c r="E24" s="290"/>
      <c r="F24" s="290">
        <f t="shared" si="0"/>
        <v>20000</v>
      </c>
      <c r="G24" s="295"/>
      <c r="H24" s="291">
        <f t="shared" si="1"/>
        <v>12960.18</v>
      </c>
      <c r="I24" s="291">
        <f t="shared" si="2"/>
        <v>7039.8199999999943</v>
      </c>
      <c r="J24" s="292"/>
    </row>
    <row r="25" spans="1:10" s="275" customFormat="1" ht="12.75" customHeight="1" x14ac:dyDescent="0.25">
      <c r="A25" s="286"/>
      <c r="B25" s="288"/>
      <c r="C25" s="329"/>
      <c r="D25" s="297"/>
      <c r="E25" s="291"/>
      <c r="F25" s="291"/>
      <c r="G25" s="291"/>
      <c r="H25" s="291"/>
      <c r="I25" s="291"/>
      <c r="J25" s="292"/>
    </row>
    <row r="26" spans="1:10" s="275" customFormat="1" ht="12.75" customHeight="1" thickBot="1" x14ac:dyDescent="0.3">
      <c r="A26" s="286"/>
      <c r="B26" s="300"/>
      <c r="C26" s="329"/>
      <c r="D26" s="301" t="s">
        <v>24</v>
      </c>
      <c r="E26" s="302">
        <f>SUM(E9:E25)</f>
        <v>20000</v>
      </c>
      <c r="F26" s="302"/>
      <c r="G26" s="302">
        <f>SUM(G9:G25)</f>
        <v>12960.18</v>
      </c>
      <c r="H26" s="302"/>
      <c r="I26" s="302">
        <f>E26-G26</f>
        <v>7039.82</v>
      </c>
      <c r="J26" s="292"/>
    </row>
    <row r="27" spans="1:10" ht="1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58C65-2B3B-4198-8101-D4146FC600FA}">
  <sheetPr>
    <pageSetUpPr fitToPage="1"/>
  </sheetPr>
  <dimension ref="A1:H30"/>
  <sheetViews>
    <sheetView zoomScaleNormal="100" workbookViewId="0">
      <selection activeCell="N29" sqref="N2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6.85546875" customWidth="1"/>
    <col min="6" max="6" width="16.4257812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#9502.00'!B1</f>
        <v>DOC MPCF Hot and Cold Water Mains Replacement</v>
      </c>
      <c r="B1" s="3"/>
      <c r="C1" s="3"/>
      <c r="D1" s="3"/>
      <c r="E1" s="4"/>
      <c r="F1" s="4"/>
      <c r="G1" s="4"/>
      <c r="H1" s="33"/>
    </row>
    <row r="2" spans="1:8" ht="15.75" x14ac:dyDescent="0.25">
      <c r="A2" s="6" t="str">
        <f>'RECAP #9502.00'!B2</f>
        <v>Project # 9502.00</v>
      </c>
      <c r="B2" s="5"/>
      <c r="C2" s="5"/>
      <c r="D2" s="5"/>
      <c r="E2" s="4"/>
      <c r="F2" s="4"/>
      <c r="G2" s="4"/>
      <c r="H2" s="33"/>
    </row>
    <row r="3" spans="1:8" ht="15.75" x14ac:dyDescent="0.25">
      <c r="A3" s="7" t="str">
        <f>'RECAP #9502.00'!B3</f>
        <v>Program code 950200</v>
      </c>
      <c r="B3" s="5"/>
      <c r="C3" s="5"/>
      <c r="D3" s="5"/>
      <c r="E3" s="8" t="str">
        <f>'RECAP #9502.00'!E3</f>
        <v>Major Program 4F04</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302</v>
      </c>
      <c r="F6" s="41"/>
      <c r="G6" s="44"/>
      <c r="H6" s="45"/>
    </row>
    <row r="7" spans="1:8" ht="15.75" x14ac:dyDescent="0.25">
      <c r="A7" s="13" t="str">
        <f>'RECAP #9502.00'!B6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t="s">
        <v>369</v>
      </c>
      <c r="B9" s="287">
        <v>46002</v>
      </c>
      <c r="C9" s="323" t="s">
        <v>370</v>
      </c>
      <c r="D9" s="323" t="s">
        <v>371</v>
      </c>
      <c r="E9" s="320" t="s">
        <v>368</v>
      </c>
      <c r="F9" s="321" t="s">
        <v>372</v>
      </c>
      <c r="G9" s="294">
        <v>112.5</v>
      </c>
      <c r="H9" s="322">
        <f>G9</f>
        <v>112.5</v>
      </c>
    </row>
    <row r="10" spans="1:8" s="275" customFormat="1" ht="12.75" customHeight="1" x14ac:dyDescent="0.2">
      <c r="A10" s="320" t="s">
        <v>646</v>
      </c>
      <c r="B10" s="287">
        <v>46085</v>
      </c>
      <c r="C10" s="323" t="s">
        <v>370</v>
      </c>
      <c r="D10" s="323" t="s">
        <v>371</v>
      </c>
      <c r="E10" s="335" t="s">
        <v>377</v>
      </c>
      <c r="F10" s="349" t="s">
        <v>645</v>
      </c>
      <c r="G10" s="294">
        <v>200</v>
      </c>
      <c r="H10" s="322">
        <f>H9+G10</f>
        <v>312.5</v>
      </c>
    </row>
    <row r="11" spans="1:8" s="275" customFormat="1" ht="12.75" customHeight="1" x14ac:dyDescent="0.25">
      <c r="A11" s="320" t="s">
        <v>736</v>
      </c>
      <c r="B11" s="287">
        <v>46107</v>
      </c>
      <c r="C11" s="323" t="s">
        <v>370</v>
      </c>
      <c r="D11" s="323" t="s">
        <v>371</v>
      </c>
      <c r="E11" s="320" t="s">
        <v>436</v>
      </c>
      <c r="F11" s="349" t="s">
        <v>735</v>
      </c>
      <c r="G11" s="294">
        <v>630.04</v>
      </c>
      <c r="H11" s="322">
        <f t="shared" ref="H11:H20" si="0">H10+G11</f>
        <v>942.54</v>
      </c>
    </row>
    <row r="12" spans="1:8" s="275" customFormat="1" ht="12.75" customHeight="1" x14ac:dyDescent="0.25">
      <c r="A12" s="323" t="s">
        <v>2</v>
      </c>
      <c r="B12" s="287" t="s">
        <v>2</v>
      </c>
      <c r="C12" s="287"/>
      <c r="D12" s="287"/>
      <c r="E12" s="318" t="s">
        <v>2</v>
      </c>
      <c r="F12" s="309"/>
      <c r="G12" s="322"/>
      <c r="H12" s="322">
        <f t="shared" si="0"/>
        <v>942.54</v>
      </c>
    </row>
    <row r="13" spans="1:8" s="275" customFormat="1" ht="12.75" customHeight="1" x14ac:dyDescent="0.25">
      <c r="A13" s="323" t="s">
        <v>2</v>
      </c>
      <c r="B13" s="287" t="s">
        <v>2</v>
      </c>
      <c r="C13" s="287"/>
      <c r="D13" s="287"/>
      <c r="E13" s="318" t="s">
        <v>2</v>
      </c>
      <c r="F13" s="309"/>
      <c r="G13" s="322"/>
      <c r="H13" s="322">
        <f t="shared" si="0"/>
        <v>942.54</v>
      </c>
    </row>
    <row r="14" spans="1:8" s="275" customFormat="1" ht="12.75" customHeight="1" x14ac:dyDescent="0.25">
      <c r="A14" s="323"/>
      <c r="B14" s="287"/>
      <c r="C14" s="287"/>
      <c r="D14" s="287"/>
      <c r="E14" s="318"/>
      <c r="F14" s="309"/>
      <c r="G14" s="322"/>
      <c r="H14" s="322">
        <f t="shared" si="0"/>
        <v>942.54</v>
      </c>
    </row>
    <row r="15" spans="1:8" s="275" customFormat="1" ht="12.75" customHeight="1" x14ac:dyDescent="0.25">
      <c r="A15" s="323"/>
      <c r="B15" s="287"/>
      <c r="C15" s="287"/>
      <c r="D15" s="287"/>
      <c r="E15" s="324"/>
      <c r="F15" s="309"/>
      <c r="G15" s="322"/>
      <c r="H15" s="322">
        <f t="shared" si="0"/>
        <v>942.54</v>
      </c>
    </row>
    <row r="16" spans="1:8" s="275" customFormat="1" ht="12.75" customHeight="1" x14ac:dyDescent="0.25">
      <c r="A16" s="323"/>
      <c r="B16" s="287"/>
      <c r="C16" s="287"/>
      <c r="D16" s="287"/>
      <c r="E16" s="318"/>
      <c r="F16" s="309"/>
      <c r="G16" s="322"/>
      <c r="H16" s="322">
        <f t="shared" si="0"/>
        <v>942.54</v>
      </c>
    </row>
    <row r="17" spans="1:8" s="275" customFormat="1" ht="12.75" customHeight="1" x14ac:dyDescent="0.25">
      <c r="A17" s="319"/>
      <c r="B17" s="287"/>
      <c r="C17" s="287"/>
      <c r="D17" s="287"/>
      <c r="E17" s="318"/>
      <c r="F17" s="309"/>
      <c r="G17" s="322"/>
      <c r="H17" s="322">
        <f t="shared" si="0"/>
        <v>942.54</v>
      </c>
    </row>
    <row r="18" spans="1:8" s="275" customFormat="1" ht="12.75" customHeight="1" x14ac:dyDescent="0.25">
      <c r="A18" s="319"/>
      <c r="B18" s="287"/>
      <c r="C18" s="287"/>
      <c r="D18" s="287"/>
      <c r="E18" s="318"/>
      <c r="F18" s="309"/>
      <c r="G18" s="322"/>
      <c r="H18" s="322">
        <f t="shared" si="0"/>
        <v>942.54</v>
      </c>
    </row>
    <row r="19" spans="1:8" s="275" customFormat="1" ht="12.75" customHeight="1" x14ac:dyDescent="0.25">
      <c r="A19" s="319"/>
      <c r="B19" s="287"/>
      <c r="C19" s="287"/>
      <c r="D19" s="287"/>
      <c r="E19" s="318"/>
      <c r="F19" s="309"/>
      <c r="G19" s="322"/>
      <c r="H19" s="322">
        <f t="shared" si="0"/>
        <v>942.54</v>
      </c>
    </row>
    <row r="20" spans="1:8" s="275" customFormat="1" ht="12.75" customHeight="1" x14ac:dyDescent="0.25">
      <c r="A20" s="319"/>
      <c r="B20" s="287"/>
      <c r="C20" s="287"/>
      <c r="D20" s="287"/>
      <c r="E20" s="318"/>
      <c r="F20" s="309"/>
      <c r="G20" s="322"/>
      <c r="H20" s="322">
        <f t="shared" si="0"/>
        <v>942.54</v>
      </c>
    </row>
    <row r="21" spans="1:8" ht="12.75" customHeight="1" x14ac:dyDescent="0.25">
      <c r="A21" s="73"/>
      <c r="B21" s="68"/>
      <c r="C21" s="68"/>
      <c r="D21" s="68"/>
      <c r="E21" s="44"/>
      <c r="F21" s="74"/>
      <c r="G21" s="44"/>
      <c r="H21" s="74"/>
    </row>
    <row r="22" spans="1:8" ht="12.75" customHeight="1" thickBot="1" x14ac:dyDescent="0.3">
      <c r="A22" s="89"/>
      <c r="B22" s="90"/>
      <c r="C22" s="90"/>
      <c r="D22" s="90"/>
      <c r="E22" s="91" t="s">
        <v>24</v>
      </c>
      <c r="F22" s="92"/>
      <c r="G22" s="71">
        <f>SUM(G9:G21)</f>
        <v>942.54</v>
      </c>
      <c r="H22" s="92"/>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sheetData>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6256-080E-44AA-8960-842C80115C19}">
  <sheetPr>
    <pageSetUpPr fitToPage="1"/>
  </sheetPr>
  <dimension ref="A1:I58"/>
  <sheetViews>
    <sheetView zoomScaleNormal="100" workbookViewId="0">
      <selection activeCell="L18" sqref="L18"/>
    </sheetView>
  </sheetViews>
  <sheetFormatPr defaultColWidth="11.42578125" defaultRowHeight="15" customHeight="1" x14ac:dyDescent="0.25"/>
  <cols>
    <col min="1" max="1" width="24.5703125" customWidth="1"/>
    <col min="2" max="2" width="9.42578125" customWidth="1"/>
    <col min="3" max="3" width="17.57031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#9502.00'!B1</f>
        <v>DOC MPCF Hot and Cold Water Mains Replacement</v>
      </c>
      <c r="B1" s="3"/>
      <c r="C1" s="4"/>
      <c r="D1" s="4"/>
      <c r="E1" s="4"/>
      <c r="F1" s="33"/>
      <c r="G1" s="33"/>
      <c r="H1" s="34"/>
      <c r="I1" s="34"/>
    </row>
    <row r="2" spans="1:9" ht="15.75" x14ac:dyDescent="0.25">
      <c r="A2" s="6" t="str">
        <f>'RECAP #9502.00'!B2</f>
        <v>Project # 9502.00</v>
      </c>
      <c r="B2" s="5"/>
      <c r="C2" s="4"/>
      <c r="D2" s="4"/>
      <c r="E2" s="4"/>
      <c r="F2" s="33"/>
      <c r="G2" s="33"/>
      <c r="H2" s="34"/>
      <c r="I2" s="34"/>
    </row>
    <row r="3" spans="1:9" ht="15.75" x14ac:dyDescent="0.25">
      <c r="A3" s="7" t="str">
        <f>'RECAP #9502.00'!B3</f>
        <v>Program code 950200</v>
      </c>
      <c r="B3" s="5"/>
      <c r="C3" s="4"/>
      <c r="D3" s="8" t="str">
        <f>'RECAP #9502.00'!E3</f>
        <v>Major Program 4F04</v>
      </c>
      <c r="E3" s="4"/>
      <c r="F3" s="33"/>
      <c r="G3" s="33"/>
      <c r="H3" s="34"/>
      <c r="I3" s="34"/>
    </row>
    <row r="4" spans="1:9" ht="15.75" x14ac:dyDescent="0.25">
      <c r="A4" s="35" t="s">
        <v>383</v>
      </c>
      <c r="B4" s="36"/>
      <c r="C4" s="37"/>
      <c r="D4" s="38" t="s">
        <v>384</v>
      </c>
      <c r="E4" s="39"/>
      <c r="F4" s="33"/>
      <c r="G4" s="33"/>
      <c r="H4" s="34"/>
      <c r="I4" s="34"/>
    </row>
    <row r="5" spans="1:9" ht="15.75" x14ac:dyDescent="0.25">
      <c r="A5" s="40" t="s">
        <v>117</v>
      </c>
      <c r="B5" s="41"/>
      <c r="C5" s="42"/>
      <c r="D5" s="43" t="s">
        <v>385</v>
      </c>
      <c r="E5" s="44"/>
      <c r="F5" s="45"/>
      <c r="G5" s="46"/>
      <c r="H5" s="41"/>
      <c r="I5" s="34"/>
    </row>
    <row r="6" spans="1:9" ht="15.75" x14ac:dyDescent="0.25">
      <c r="A6" s="13" t="str">
        <f>'RECAP #9502.00'!B6</f>
        <v>Project Manager - Brandon 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338" customFormat="1" ht="12.75" customHeight="1" x14ac:dyDescent="0.25">
      <c r="A9" s="286" t="s">
        <v>386</v>
      </c>
      <c r="B9" s="59">
        <v>46014</v>
      </c>
      <c r="C9" s="60" t="s">
        <v>111</v>
      </c>
      <c r="D9" s="171">
        <v>32000</v>
      </c>
      <c r="E9" s="62">
        <f>D9</f>
        <v>32000</v>
      </c>
      <c r="F9" s="336"/>
      <c r="G9" s="336"/>
      <c r="H9" s="336">
        <f>E9</f>
        <v>32000</v>
      </c>
      <c r="I9" s="337"/>
    </row>
    <row r="10" spans="1:9" s="338" customFormat="1" ht="12.75" customHeight="1" x14ac:dyDescent="0.25">
      <c r="A10" s="286" t="s">
        <v>479</v>
      </c>
      <c r="B10" s="65">
        <v>46051</v>
      </c>
      <c r="C10" s="60" t="s">
        <v>480</v>
      </c>
      <c r="D10" s="62"/>
      <c r="E10" s="62">
        <f t="shared" ref="E10:E21" si="0">E9+D10</f>
        <v>32000</v>
      </c>
      <c r="F10" s="294">
        <v>13440</v>
      </c>
      <c r="G10" s="336">
        <f t="shared" ref="G10:G21" si="1">G9+F10</f>
        <v>13440</v>
      </c>
      <c r="H10" s="336">
        <f t="shared" ref="H10:H21" si="2">H9-F10+D10</f>
        <v>18560</v>
      </c>
      <c r="I10" s="337"/>
    </row>
    <row r="11" spans="1:9" s="338" customFormat="1" ht="12.75" customHeight="1" x14ac:dyDescent="0.25">
      <c r="A11" s="286" t="s">
        <v>709</v>
      </c>
      <c r="B11" s="59">
        <v>46104</v>
      </c>
      <c r="C11" s="60" t="s">
        <v>710</v>
      </c>
      <c r="D11" s="62"/>
      <c r="E11" s="62">
        <f t="shared" si="0"/>
        <v>32000</v>
      </c>
      <c r="F11" s="294">
        <v>10560</v>
      </c>
      <c r="G11" s="336">
        <f t="shared" si="1"/>
        <v>24000</v>
      </c>
      <c r="H11" s="336">
        <f t="shared" si="2"/>
        <v>8000</v>
      </c>
      <c r="I11" s="337"/>
    </row>
    <row r="12" spans="1:9" s="338" customFormat="1" ht="12.75" customHeight="1" x14ac:dyDescent="0.25">
      <c r="A12" s="286" t="s">
        <v>711</v>
      </c>
      <c r="B12" s="59">
        <v>46104</v>
      </c>
      <c r="C12" s="60" t="s">
        <v>712</v>
      </c>
      <c r="D12" s="62"/>
      <c r="E12" s="62">
        <f t="shared" si="0"/>
        <v>32000</v>
      </c>
      <c r="F12" s="294">
        <v>1600</v>
      </c>
      <c r="G12" s="336">
        <f t="shared" si="1"/>
        <v>25600</v>
      </c>
      <c r="H12" s="336">
        <f t="shared" si="2"/>
        <v>6400</v>
      </c>
      <c r="I12" s="337"/>
    </row>
    <row r="13" spans="1:9" s="338" customFormat="1" ht="12.75" customHeight="1" x14ac:dyDescent="0.25">
      <c r="A13" s="286"/>
      <c r="B13" s="59"/>
      <c r="C13" s="60"/>
      <c r="D13" s="62"/>
      <c r="E13" s="62">
        <f t="shared" si="0"/>
        <v>32000</v>
      </c>
      <c r="F13" s="339"/>
      <c r="G13" s="336">
        <f t="shared" si="1"/>
        <v>25600</v>
      </c>
      <c r="H13" s="336">
        <f t="shared" si="2"/>
        <v>6400</v>
      </c>
      <c r="I13" s="337"/>
    </row>
    <row r="14" spans="1:9" s="338" customFormat="1" ht="12.75" customHeight="1" x14ac:dyDescent="0.25">
      <c r="A14" s="286"/>
      <c r="B14" s="59"/>
      <c r="C14" s="60"/>
      <c r="D14" s="62"/>
      <c r="E14" s="62">
        <f t="shared" si="0"/>
        <v>32000</v>
      </c>
      <c r="F14" s="336"/>
      <c r="G14" s="336">
        <f t="shared" si="1"/>
        <v>25600</v>
      </c>
      <c r="H14" s="336">
        <f t="shared" si="2"/>
        <v>6400</v>
      </c>
      <c r="I14" s="337"/>
    </row>
    <row r="15" spans="1:9" s="338" customFormat="1" ht="12.75" customHeight="1" x14ac:dyDescent="0.25">
      <c r="A15" s="286"/>
      <c r="B15" s="59"/>
      <c r="C15" s="60"/>
      <c r="D15" s="62"/>
      <c r="E15" s="62">
        <f t="shared" si="0"/>
        <v>32000</v>
      </c>
      <c r="F15" s="339"/>
      <c r="G15" s="336">
        <f t="shared" si="1"/>
        <v>25600</v>
      </c>
      <c r="H15" s="336">
        <f t="shared" si="2"/>
        <v>6400</v>
      </c>
      <c r="I15" s="337"/>
    </row>
    <row r="16" spans="1:9" s="338" customFormat="1" ht="12.75" customHeight="1" x14ac:dyDescent="0.25">
      <c r="A16" s="286"/>
      <c r="B16" s="59"/>
      <c r="C16" s="60"/>
      <c r="D16" s="62"/>
      <c r="E16" s="62">
        <f t="shared" si="0"/>
        <v>32000</v>
      </c>
      <c r="F16" s="339"/>
      <c r="G16" s="336">
        <f t="shared" si="1"/>
        <v>25600</v>
      </c>
      <c r="H16" s="336">
        <f t="shared" si="2"/>
        <v>6400</v>
      </c>
      <c r="I16" s="337"/>
    </row>
    <row r="17" spans="1:9" s="338" customFormat="1" ht="12.75" customHeight="1" x14ac:dyDescent="0.25">
      <c r="A17" s="286"/>
      <c r="B17" s="59"/>
      <c r="C17" s="60"/>
      <c r="D17" s="62"/>
      <c r="E17" s="62">
        <f t="shared" si="0"/>
        <v>32000</v>
      </c>
      <c r="F17" s="339"/>
      <c r="G17" s="336">
        <f t="shared" si="1"/>
        <v>25600</v>
      </c>
      <c r="H17" s="336">
        <f t="shared" si="2"/>
        <v>6400</v>
      </c>
      <c r="I17" s="337"/>
    </row>
    <row r="18" spans="1:9" s="338" customFormat="1" ht="12.75" customHeight="1" x14ac:dyDescent="0.25">
      <c r="A18" s="286"/>
      <c r="B18" s="59"/>
      <c r="C18" s="60"/>
      <c r="D18" s="62"/>
      <c r="E18" s="62">
        <f t="shared" si="0"/>
        <v>32000</v>
      </c>
      <c r="F18" s="339"/>
      <c r="G18" s="336">
        <f t="shared" si="1"/>
        <v>25600</v>
      </c>
      <c r="H18" s="336">
        <f t="shared" si="2"/>
        <v>6400</v>
      </c>
      <c r="I18" s="337"/>
    </row>
    <row r="19" spans="1:9" s="338" customFormat="1" ht="12.75" customHeight="1" x14ac:dyDescent="0.25">
      <c r="A19" s="286"/>
      <c r="B19" s="59"/>
      <c r="C19" s="60"/>
      <c r="D19" s="62"/>
      <c r="E19" s="62">
        <f t="shared" si="0"/>
        <v>32000</v>
      </c>
      <c r="F19" s="336"/>
      <c r="G19" s="336">
        <f t="shared" si="1"/>
        <v>25600</v>
      </c>
      <c r="H19" s="336">
        <f t="shared" si="2"/>
        <v>6400</v>
      </c>
      <c r="I19" s="337"/>
    </row>
    <row r="20" spans="1:9" s="338" customFormat="1" ht="12.75" customHeight="1" x14ac:dyDescent="0.25">
      <c r="A20" s="286"/>
      <c r="B20" s="59"/>
      <c r="C20" s="60"/>
      <c r="D20" s="62"/>
      <c r="E20" s="62">
        <f t="shared" si="0"/>
        <v>32000</v>
      </c>
      <c r="F20" s="336"/>
      <c r="G20" s="336">
        <f t="shared" si="1"/>
        <v>25600</v>
      </c>
      <c r="H20" s="336">
        <f t="shared" si="2"/>
        <v>6400</v>
      </c>
      <c r="I20" s="337"/>
    </row>
    <row r="21" spans="1:9" s="338" customFormat="1" ht="12.75" customHeight="1" x14ac:dyDescent="0.25">
      <c r="A21" s="286"/>
      <c r="B21" s="59"/>
      <c r="C21" s="67"/>
      <c r="D21" s="62"/>
      <c r="E21" s="62">
        <f t="shared" si="0"/>
        <v>32000</v>
      </c>
      <c r="F21" s="336"/>
      <c r="G21" s="336">
        <f t="shared" si="1"/>
        <v>25600</v>
      </c>
      <c r="H21" s="336">
        <f t="shared" si="2"/>
        <v>6400</v>
      </c>
      <c r="I21" s="337"/>
    </row>
    <row r="22" spans="1:9" s="338" customFormat="1" ht="12.75" customHeight="1" x14ac:dyDescent="0.25">
      <c r="A22" s="286"/>
      <c r="B22" s="60"/>
      <c r="C22" s="77"/>
      <c r="D22" s="336"/>
      <c r="E22" s="336"/>
      <c r="F22" s="336"/>
      <c r="G22" s="336"/>
      <c r="H22" s="336"/>
      <c r="I22" s="337"/>
    </row>
    <row r="23" spans="1:9" s="338" customFormat="1" ht="12.75" customHeight="1" thickBot="1" x14ac:dyDescent="0.3">
      <c r="A23" s="286"/>
      <c r="B23" s="300"/>
      <c r="C23" s="301" t="s">
        <v>24</v>
      </c>
      <c r="D23" s="302">
        <f>SUM(D9:D22)</f>
        <v>32000</v>
      </c>
      <c r="E23" s="302"/>
      <c r="F23" s="302">
        <f>SUM(F9:F22)</f>
        <v>25600</v>
      </c>
      <c r="G23" s="302"/>
      <c r="H23" s="302">
        <f>D23-F23</f>
        <v>6400</v>
      </c>
      <c r="I23" s="337"/>
    </row>
    <row r="24" spans="1:9" s="338" customFormat="1" ht="12.75" customHeight="1" thickTop="1" x14ac:dyDescent="0.25">
      <c r="A24" s="286"/>
      <c r="B24" s="288"/>
      <c r="C24" s="297"/>
      <c r="D24" s="291"/>
      <c r="E24" s="291"/>
      <c r="F24" s="291"/>
      <c r="G24" s="291"/>
      <c r="H24" s="291"/>
      <c r="I24" s="337"/>
    </row>
    <row r="25" spans="1:9" s="338" customFormat="1" ht="12.75" customHeight="1" x14ac:dyDescent="0.25">
      <c r="A25" s="58"/>
      <c r="B25" s="60"/>
      <c r="C25" s="77"/>
      <c r="D25" s="336"/>
      <c r="E25" s="336"/>
      <c r="F25" s="336"/>
      <c r="G25" s="336"/>
      <c r="H25" s="336"/>
      <c r="I25" s="337"/>
    </row>
    <row r="26" spans="1:9" s="338" customFormat="1" ht="12.75" customHeight="1" x14ac:dyDescent="0.25">
      <c r="A26" s="58"/>
      <c r="B26" s="60"/>
      <c r="C26" s="340" t="s">
        <v>123</v>
      </c>
      <c r="D26" s="341">
        <v>24000</v>
      </c>
      <c r="E26" s="341"/>
      <c r="F26" s="341">
        <f>13440+10560</f>
        <v>24000</v>
      </c>
      <c r="G26" s="341"/>
      <c r="H26" s="341">
        <f>D26-F26</f>
        <v>0</v>
      </c>
      <c r="I26" s="337"/>
    </row>
    <row r="27" spans="1:9" s="338" customFormat="1" ht="12.75" customHeight="1" x14ac:dyDescent="0.25">
      <c r="A27" s="58"/>
      <c r="B27" s="60"/>
      <c r="C27" s="340" t="s">
        <v>308</v>
      </c>
      <c r="D27" s="341">
        <v>1600</v>
      </c>
      <c r="E27" s="341"/>
      <c r="F27" s="341">
        <f>1600</f>
        <v>1600</v>
      </c>
      <c r="G27" s="341"/>
      <c r="H27" s="341">
        <f t="shared" ref="H27:H28" si="3">D27-F27</f>
        <v>0</v>
      </c>
      <c r="I27" s="337"/>
    </row>
    <row r="28" spans="1:9" s="338" customFormat="1" ht="12.75" customHeight="1" x14ac:dyDescent="0.25">
      <c r="A28" s="58"/>
      <c r="B28" s="60"/>
      <c r="C28" s="340" t="s">
        <v>125</v>
      </c>
      <c r="D28" s="341">
        <v>6400</v>
      </c>
      <c r="E28" s="341"/>
      <c r="F28" s="341"/>
      <c r="G28" s="341"/>
      <c r="H28" s="341">
        <f t="shared" si="3"/>
        <v>6400</v>
      </c>
      <c r="I28" s="337"/>
    </row>
    <row r="29" spans="1:9" s="338" customFormat="1" ht="12.75" customHeight="1" thickBot="1" x14ac:dyDescent="0.3">
      <c r="A29" s="58"/>
      <c r="B29" s="60"/>
      <c r="C29" s="314" t="s">
        <v>67</v>
      </c>
      <c r="D29" s="315">
        <f>SUM(D26:D28)</f>
        <v>32000</v>
      </c>
      <c r="E29" s="316"/>
      <c r="F29" s="315">
        <f>SUM(F26:F28)</f>
        <v>25600</v>
      </c>
      <c r="G29" s="316"/>
      <c r="H29" s="315">
        <f>SUM(H26:H28)</f>
        <v>6400</v>
      </c>
      <c r="I29" s="337"/>
    </row>
    <row r="30" spans="1:9" s="338" customFormat="1" ht="12.75" customHeight="1" thickTop="1" x14ac:dyDescent="0.25">
      <c r="C30" s="275"/>
      <c r="D30" s="275"/>
      <c r="E30" s="275"/>
      <c r="F30" s="275"/>
      <c r="G30" s="275"/>
      <c r="H30" s="275"/>
    </row>
    <row r="31" spans="1:9" s="338" customFormat="1" ht="12.75" customHeight="1" x14ac:dyDescent="0.25"/>
    <row r="32" spans="1:9" s="338" customFormat="1" ht="12.75" customHeight="1" x14ac:dyDescent="0.25"/>
    <row r="33" s="338" customFormat="1" ht="12.75" customHeight="1" x14ac:dyDescent="0.25"/>
    <row r="34" s="338" customFormat="1" ht="12.75" customHeight="1" x14ac:dyDescent="0.25"/>
    <row r="35" s="338" customFormat="1" ht="12.75" customHeight="1" x14ac:dyDescent="0.25"/>
    <row r="36" s="338" customFormat="1" ht="12.75" customHeight="1" x14ac:dyDescent="0.25"/>
    <row r="37" s="338" customFormat="1" ht="12.75" customHeight="1" x14ac:dyDescent="0.25"/>
    <row r="38" s="338" customFormat="1" ht="12.75" customHeight="1" x14ac:dyDescent="0.25"/>
    <row r="39" s="338" customFormat="1" ht="12.75" customHeight="1" x14ac:dyDescent="0.25"/>
    <row r="40" s="338" customFormat="1" ht="12.75" customHeight="1" x14ac:dyDescent="0.25"/>
    <row r="41" s="338" customFormat="1" ht="12.75" customHeight="1" x14ac:dyDescent="0.25"/>
    <row r="42" s="338" customFormat="1" ht="12.75" customHeight="1" x14ac:dyDescent="0.25"/>
    <row r="43" s="338" customFormat="1" ht="12.75" customHeight="1" x14ac:dyDescent="0.25"/>
    <row r="44" s="338" customFormat="1" ht="12.75" customHeight="1" x14ac:dyDescent="0.25"/>
    <row r="45" s="338" customFormat="1" ht="12.75" customHeight="1" x14ac:dyDescent="0.25"/>
    <row r="46" s="338" customFormat="1" ht="12.75" customHeight="1" x14ac:dyDescent="0.25"/>
    <row r="47" s="338" customFormat="1" ht="12.75" customHeight="1" x14ac:dyDescent="0.25"/>
    <row r="48" s="338" customFormat="1" ht="12.75" customHeight="1" x14ac:dyDescent="0.25"/>
    <row r="49" s="338" customFormat="1" ht="12.75" customHeight="1" x14ac:dyDescent="0.25"/>
    <row r="50" s="338" customFormat="1" ht="12.75" customHeight="1" x14ac:dyDescent="0.25"/>
    <row r="51" s="338" customFormat="1" ht="12.75" customHeight="1" x14ac:dyDescent="0.25"/>
    <row r="52" s="338" customFormat="1" ht="12.75" customHeight="1" x14ac:dyDescent="0.25"/>
    <row r="53" s="338" customFormat="1" ht="12.75" customHeight="1" x14ac:dyDescent="0.25"/>
    <row r="54" s="338" customFormat="1" ht="12.75" customHeight="1" x14ac:dyDescent="0.25"/>
    <row r="55" s="338" customFormat="1" ht="12.75" customHeight="1" x14ac:dyDescent="0.25"/>
    <row r="56" s="338" customFormat="1" ht="12.75" customHeight="1" x14ac:dyDescent="0.25"/>
    <row r="57" s="338" customFormat="1" ht="12.75" customHeight="1" x14ac:dyDescent="0.25"/>
    <row r="58" s="338" customFormat="1" ht="12.75" customHeight="1" x14ac:dyDescent="0.25"/>
  </sheetData>
  <conditionalFormatting sqref="I8:I23">
    <cfRule type="cellIs" dxfId="29"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3B8D4-7E30-4001-8A52-E66E8F8FE357}">
  <sheetPr>
    <pageSetUpPr fitToPage="1"/>
  </sheetPr>
  <dimension ref="A1:I130"/>
  <sheetViews>
    <sheetView zoomScaleNormal="100" workbookViewId="0">
      <selection activeCell="K5" sqref="K5"/>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#9502.00'!B1</f>
        <v>DOC MPCF Hot and Cold Water Mains Replacement</v>
      </c>
      <c r="B1" s="3"/>
      <c r="C1" s="4"/>
      <c r="D1" s="4"/>
      <c r="E1" s="4"/>
      <c r="F1" s="33"/>
      <c r="G1" s="33"/>
      <c r="H1" s="34"/>
      <c r="I1" s="34"/>
    </row>
    <row r="2" spans="1:9" ht="15.75" x14ac:dyDescent="0.25">
      <c r="A2" s="6" t="str">
        <f>'RECAP #9502.00'!B2</f>
        <v>Project # 9502.00</v>
      </c>
      <c r="B2" s="5"/>
      <c r="C2" s="4"/>
      <c r="D2" s="4"/>
      <c r="E2" s="4"/>
      <c r="F2" s="33"/>
      <c r="G2" s="33"/>
      <c r="H2" s="34"/>
      <c r="I2" s="34"/>
    </row>
    <row r="3" spans="1:9" ht="15.75" x14ac:dyDescent="0.25">
      <c r="A3" s="7" t="str">
        <f>'RECAP #9502.00'!B3</f>
        <v>Program code 950200</v>
      </c>
      <c r="B3" s="5"/>
      <c r="C3" s="4"/>
      <c r="D3" s="8" t="str">
        <f>'RECAP #9502.00'!E3</f>
        <v>Major Program 4F04</v>
      </c>
      <c r="E3" s="4"/>
      <c r="F3" s="33"/>
      <c r="G3" s="33"/>
      <c r="H3" s="34"/>
      <c r="I3" s="34"/>
    </row>
    <row r="4" spans="1:9" ht="15.75" x14ac:dyDescent="0.25">
      <c r="A4" s="35" t="s">
        <v>654</v>
      </c>
      <c r="B4" s="36"/>
      <c r="C4" s="37"/>
      <c r="D4" s="38" t="s">
        <v>262</v>
      </c>
      <c r="E4" s="39"/>
      <c r="F4" s="33"/>
      <c r="G4" s="33"/>
      <c r="H4" s="34"/>
      <c r="I4" s="34"/>
    </row>
    <row r="5" spans="1:9" ht="15.75" x14ac:dyDescent="0.25">
      <c r="A5" s="40" t="s">
        <v>106</v>
      </c>
      <c r="B5" s="41"/>
      <c r="C5" s="42"/>
      <c r="D5" s="43" t="s">
        <v>263</v>
      </c>
      <c r="E5" s="44"/>
      <c r="F5" s="45"/>
      <c r="G5" s="46"/>
      <c r="H5" s="41"/>
      <c r="I5" s="34"/>
    </row>
    <row r="6" spans="1:9" ht="15.75" x14ac:dyDescent="0.25">
      <c r="A6" s="13" t="str">
        <f>'RECAP #9502.00'!B6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655</v>
      </c>
      <c r="B9" s="287">
        <v>46091</v>
      </c>
      <c r="C9" s="288" t="s">
        <v>111</v>
      </c>
      <c r="D9" s="289">
        <v>96273.29</v>
      </c>
      <c r="E9" s="290">
        <f>D9</f>
        <v>96273.29</v>
      </c>
      <c r="F9" s="291"/>
      <c r="G9" s="291"/>
      <c r="H9" s="291">
        <f>E9</f>
        <v>96273.29</v>
      </c>
      <c r="I9" s="292"/>
    </row>
    <row r="10" spans="1:9" s="275" customFormat="1" ht="12.75" customHeight="1" x14ac:dyDescent="0.25">
      <c r="A10" s="286"/>
      <c r="B10" s="293"/>
      <c r="C10" s="288"/>
      <c r="D10" s="290"/>
      <c r="E10" s="290">
        <f t="shared" ref="E10:E21" si="0">E9+D10</f>
        <v>96273.29</v>
      </c>
      <c r="F10" s="294"/>
      <c r="G10" s="291">
        <f t="shared" ref="G10:G21" si="1">G9+F10</f>
        <v>0</v>
      </c>
      <c r="H10" s="291">
        <f t="shared" ref="H10:H21" si="2">H9-F10+D10</f>
        <v>96273.29</v>
      </c>
      <c r="I10" s="292"/>
    </row>
    <row r="11" spans="1:9" s="275" customFormat="1" ht="12.75" customHeight="1" x14ac:dyDescent="0.25">
      <c r="A11" s="286"/>
      <c r="B11" s="287"/>
      <c r="C11" s="288"/>
      <c r="D11" s="290"/>
      <c r="E11" s="290">
        <f t="shared" si="0"/>
        <v>96273.29</v>
      </c>
      <c r="F11" s="294"/>
      <c r="G11" s="291">
        <f t="shared" si="1"/>
        <v>0</v>
      </c>
      <c r="H11" s="291">
        <f t="shared" si="2"/>
        <v>96273.29</v>
      </c>
      <c r="I11" s="292"/>
    </row>
    <row r="12" spans="1:9" s="275" customFormat="1" ht="12.75" customHeight="1" x14ac:dyDescent="0.25">
      <c r="A12" s="286"/>
      <c r="B12" s="287"/>
      <c r="C12" s="288"/>
      <c r="D12" s="290"/>
      <c r="E12" s="290">
        <f t="shared" si="0"/>
        <v>96273.29</v>
      </c>
      <c r="F12" s="294"/>
      <c r="G12" s="291">
        <f t="shared" si="1"/>
        <v>0</v>
      </c>
      <c r="H12" s="291">
        <f t="shared" si="2"/>
        <v>96273.29</v>
      </c>
      <c r="I12" s="292"/>
    </row>
    <row r="13" spans="1:9" s="275" customFormat="1" ht="12.75" customHeight="1" x14ac:dyDescent="0.25">
      <c r="A13" s="286"/>
      <c r="B13" s="287"/>
      <c r="C13" s="288"/>
      <c r="D13" s="290"/>
      <c r="E13" s="290">
        <f t="shared" si="0"/>
        <v>96273.29</v>
      </c>
      <c r="F13" s="294"/>
      <c r="G13" s="291">
        <f t="shared" si="1"/>
        <v>0</v>
      </c>
      <c r="H13" s="291">
        <f t="shared" si="2"/>
        <v>96273.29</v>
      </c>
      <c r="I13" s="292"/>
    </row>
    <row r="14" spans="1:9" s="275" customFormat="1" ht="12.75" customHeight="1" x14ac:dyDescent="0.25">
      <c r="A14" s="286"/>
      <c r="B14" s="287"/>
      <c r="C14" s="288"/>
      <c r="D14" s="290"/>
      <c r="E14" s="290">
        <f t="shared" si="0"/>
        <v>96273.29</v>
      </c>
      <c r="F14" s="291"/>
      <c r="G14" s="291">
        <f t="shared" si="1"/>
        <v>0</v>
      </c>
      <c r="H14" s="291">
        <f t="shared" si="2"/>
        <v>96273.29</v>
      </c>
      <c r="I14" s="292"/>
    </row>
    <row r="15" spans="1:9" s="275" customFormat="1" ht="12.75" customHeight="1" x14ac:dyDescent="0.25">
      <c r="A15" s="286"/>
      <c r="B15" s="287"/>
      <c r="C15" s="288"/>
      <c r="D15" s="290"/>
      <c r="E15" s="290">
        <f t="shared" si="0"/>
        <v>96273.29</v>
      </c>
      <c r="F15" s="295"/>
      <c r="G15" s="291">
        <f t="shared" si="1"/>
        <v>0</v>
      </c>
      <c r="H15" s="291">
        <f t="shared" si="2"/>
        <v>96273.29</v>
      </c>
      <c r="I15" s="292"/>
    </row>
    <row r="16" spans="1:9" s="275" customFormat="1" ht="12.75" customHeight="1" x14ac:dyDescent="0.25">
      <c r="A16" s="286"/>
      <c r="B16" s="287"/>
      <c r="C16" s="288"/>
      <c r="D16" s="290"/>
      <c r="E16" s="290">
        <f t="shared" si="0"/>
        <v>96273.29</v>
      </c>
      <c r="F16" s="295"/>
      <c r="G16" s="291">
        <f t="shared" si="1"/>
        <v>0</v>
      </c>
      <c r="H16" s="291">
        <f t="shared" si="2"/>
        <v>96273.29</v>
      </c>
      <c r="I16" s="292"/>
    </row>
    <row r="17" spans="1:9" s="275" customFormat="1" ht="12.75" customHeight="1" x14ac:dyDescent="0.25">
      <c r="A17" s="286"/>
      <c r="B17" s="287"/>
      <c r="C17" s="288"/>
      <c r="D17" s="290"/>
      <c r="E17" s="290">
        <f t="shared" si="0"/>
        <v>96273.29</v>
      </c>
      <c r="F17" s="295"/>
      <c r="G17" s="291">
        <f t="shared" si="1"/>
        <v>0</v>
      </c>
      <c r="H17" s="291">
        <f t="shared" si="2"/>
        <v>96273.29</v>
      </c>
      <c r="I17" s="292"/>
    </row>
    <row r="18" spans="1:9" s="275" customFormat="1" ht="12.75" customHeight="1" x14ac:dyDescent="0.25">
      <c r="A18" s="286"/>
      <c r="B18" s="287"/>
      <c r="C18" s="288"/>
      <c r="D18" s="290"/>
      <c r="E18" s="290">
        <f t="shared" si="0"/>
        <v>96273.29</v>
      </c>
      <c r="F18" s="295"/>
      <c r="G18" s="291">
        <f t="shared" si="1"/>
        <v>0</v>
      </c>
      <c r="H18" s="291">
        <f t="shared" si="2"/>
        <v>96273.29</v>
      </c>
      <c r="I18" s="292"/>
    </row>
    <row r="19" spans="1:9" s="275" customFormat="1" ht="12.75" customHeight="1" x14ac:dyDescent="0.25">
      <c r="A19" s="286"/>
      <c r="B19" s="287"/>
      <c r="C19" s="288"/>
      <c r="D19" s="290"/>
      <c r="E19" s="290">
        <f t="shared" si="0"/>
        <v>96273.29</v>
      </c>
      <c r="F19" s="291"/>
      <c r="G19" s="291">
        <f t="shared" si="1"/>
        <v>0</v>
      </c>
      <c r="H19" s="291">
        <f t="shared" si="2"/>
        <v>96273.29</v>
      </c>
      <c r="I19" s="292"/>
    </row>
    <row r="20" spans="1:9" s="275" customFormat="1" ht="12.75" customHeight="1" x14ac:dyDescent="0.25">
      <c r="A20" s="286"/>
      <c r="B20" s="287"/>
      <c r="C20" s="288"/>
      <c r="D20" s="290"/>
      <c r="E20" s="290">
        <f t="shared" si="0"/>
        <v>96273.29</v>
      </c>
      <c r="F20" s="291"/>
      <c r="G20" s="291">
        <f t="shared" si="1"/>
        <v>0</v>
      </c>
      <c r="H20" s="291">
        <f t="shared" si="2"/>
        <v>96273.29</v>
      </c>
      <c r="I20" s="292"/>
    </row>
    <row r="21" spans="1:9" s="275" customFormat="1" ht="12.75" customHeight="1" x14ac:dyDescent="0.25">
      <c r="A21" s="286"/>
      <c r="B21" s="287"/>
      <c r="C21" s="296"/>
      <c r="D21" s="290"/>
      <c r="E21" s="290">
        <f t="shared" si="0"/>
        <v>96273.29</v>
      </c>
      <c r="F21" s="291"/>
      <c r="G21" s="291">
        <f t="shared" si="1"/>
        <v>0</v>
      </c>
      <c r="H21" s="291">
        <f t="shared" si="2"/>
        <v>96273.29</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96273.29</v>
      </c>
      <c r="E23" s="302"/>
      <c r="F23" s="302">
        <f>SUM(F9:F22)</f>
        <v>0</v>
      </c>
      <c r="G23" s="302"/>
      <c r="H23" s="302">
        <f>D23-F23</f>
        <v>96273.29</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56653.29</v>
      </c>
      <c r="E26" s="313"/>
      <c r="F26" s="313"/>
      <c r="G26" s="313"/>
      <c r="H26" s="313">
        <f>D26-F26</f>
        <v>56653.29</v>
      </c>
      <c r="I26" s="292"/>
    </row>
    <row r="27" spans="1:9" s="275" customFormat="1" ht="12.75" customHeight="1" x14ac:dyDescent="0.25">
      <c r="A27" s="286"/>
      <c r="B27" s="288"/>
      <c r="C27" s="312" t="s">
        <v>113</v>
      </c>
      <c r="D27" s="313">
        <v>4620</v>
      </c>
      <c r="E27" s="313"/>
      <c r="F27" s="313"/>
      <c r="G27" s="313"/>
      <c r="H27" s="313">
        <f t="shared" ref="H27:H28" si="3">D27-F27</f>
        <v>4620</v>
      </c>
      <c r="I27" s="292"/>
    </row>
    <row r="28" spans="1:9" s="275" customFormat="1" ht="12.75" customHeight="1" x14ac:dyDescent="0.25">
      <c r="A28" s="286"/>
      <c r="B28" s="288"/>
      <c r="C28" s="312" t="s">
        <v>656</v>
      </c>
      <c r="D28" s="313">
        <v>35000</v>
      </c>
      <c r="E28" s="313"/>
      <c r="F28" s="313"/>
      <c r="G28" s="313"/>
      <c r="H28" s="313">
        <f t="shared" si="3"/>
        <v>35000</v>
      </c>
      <c r="I28" s="292"/>
    </row>
    <row r="29" spans="1:9" s="275" customFormat="1" ht="12.75" customHeight="1" thickBot="1" x14ac:dyDescent="0.3">
      <c r="A29" s="286"/>
      <c r="B29" s="288"/>
      <c r="C29" s="314" t="s">
        <v>67</v>
      </c>
      <c r="D29" s="315">
        <f>SUM(D26:D28)</f>
        <v>96273.290000000008</v>
      </c>
      <c r="E29" s="316"/>
      <c r="F29" s="315">
        <f>SUM(F26:F28)</f>
        <v>0</v>
      </c>
      <c r="G29" s="316"/>
      <c r="H29" s="315">
        <f>SUM(H26:H28)</f>
        <v>96273.290000000008</v>
      </c>
      <c r="I29" s="292"/>
    </row>
    <row r="30" spans="1:9" s="275" customFormat="1" ht="12.75" customHeight="1" thickTop="1" x14ac:dyDescent="0.25"/>
    <row r="31" spans="1:9" s="275" customFormat="1" ht="12.75" customHeight="1" x14ac:dyDescent="0.25"/>
    <row r="32" spans="1:9" s="275" customFormat="1" ht="12.75" customHeight="1" x14ac:dyDescent="0.25"/>
    <row r="33" s="275" customFormat="1" ht="12.75" customHeight="1" x14ac:dyDescent="0.25"/>
    <row r="34" s="275" customFormat="1" ht="12.75" customHeight="1" x14ac:dyDescent="0.25"/>
    <row r="35" s="275" customFormat="1" ht="12.75" customHeight="1" x14ac:dyDescent="0.25"/>
    <row r="36" s="275" customFormat="1" ht="12.75" customHeight="1" x14ac:dyDescent="0.25"/>
    <row r="37" s="275" customFormat="1" ht="12.75" customHeight="1" x14ac:dyDescent="0.25"/>
    <row r="38" s="275" customFormat="1" ht="12.75" customHeight="1" x14ac:dyDescent="0.25"/>
    <row r="39" s="275" customFormat="1" ht="12.75" customHeight="1" x14ac:dyDescent="0.25"/>
    <row r="40" s="275" customFormat="1" ht="12.75" customHeight="1" x14ac:dyDescent="0.25"/>
    <row r="41" s="275" customFormat="1" ht="12.75" customHeight="1" x14ac:dyDescent="0.25"/>
    <row r="42" s="275" customFormat="1" ht="12.75" customHeight="1" x14ac:dyDescent="0.25"/>
    <row r="43" s="275" customFormat="1" ht="12.75" customHeight="1" x14ac:dyDescent="0.25"/>
    <row r="44" s="275" customFormat="1" ht="12.75" customHeight="1" x14ac:dyDescent="0.25"/>
    <row r="45" s="275" customFormat="1" ht="12.75" customHeight="1" x14ac:dyDescent="0.25"/>
    <row r="46" s="275" customFormat="1" ht="12.75" customHeight="1" x14ac:dyDescent="0.25"/>
    <row r="47" s="275" customFormat="1" ht="12.75" customHeight="1" x14ac:dyDescent="0.25"/>
    <row r="48" s="275" customFormat="1" ht="12.75" customHeight="1" x14ac:dyDescent="0.25"/>
    <row r="49" s="275" customFormat="1" ht="12.75" customHeight="1" x14ac:dyDescent="0.25"/>
    <row r="50" s="275" customFormat="1" ht="12.75" customHeight="1" x14ac:dyDescent="0.25"/>
    <row r="51" s="275" customFormat="1" ht="12.75" customHeight="1" x14ac:dyDescent="0.25"/>
    <row r="52" s="275" customFormat="1" ht="12.75" customHeight="1" x14ac:dyDescent="0.25"/>
    <row r="53" s="275" customFormat="1" ht="12.75" customHeight="1" x14ac:dyDescent="0.25"/>
    <row r="54" s="275" customFormat="1" ht="12.75" customHeight="1" x14ac:dyDescent="0.25"/>
    <row r="55" s="275" customFormat="1" ht="12.75" customHeight="1" x14ac:dyDescent="0.25"/>
    <row r="56" s="275" customFormat="1" ht="12.75" customHeight="1" x14ac:dyDescent="0.25"/>
    <row r="57" s="275" customFormat="1" ht="12.75" customHeight="1" x14ac:dyDescent="0.25"/>
    <row r="58" s="275" customFormat="1" ht="12.75" customHeight="1" x14ac:dyDescent="0.25"/>
    <row r="59" s="275" customFormat="1" ht="12.75" customHeight="1" x14ac:dyDescent="0.25"/>
    <row r="60" s="275" customFormat="1" ht="12.75" customHeight="1" x14ac:dyDescent="0.25"/>
    <row r="61" s="275" customFormat="1" ht="12.75" customHeight="1" x14ac:dyDescent="0.25"/>
    <row r="62" s="275" customFormat="1" ht="12.75" customHeight="1" x14ac:dyDescent="0.25"/>
    <row r="63" s="275" customFormat="1" ht="12.75" customHeight="1" x14ac:dyDescent="0.25"/>
    <row r="64" s="275" customFormat="1" ht="12.75" customHeight="1" x14ac:dyDescent="0.25"/>
    <row r="65" s="275" customFormat="1" ht="12.75" customHeight="1" x14ac:dyDescent="0.25"/>
    <row r="66" s="275" customFormat="1" ht="12.75" customHeight="1" x14ac:dyDescent="0.25"/>
    <row r="67" s="275" customFormat="1" ht="12.75" customHeight="1" x14ac:dyDescent="0.25"/>
    <row r="68" s="275" customFormat="1" ht="12.75" customHeight="1" x14ac:dyDescent="0.25"/>
    <row r="69" s="275" customFormat="1" ht="12.75" customHeight="1" x14ac:dyDescent="0.25"/>
    <row r="70" s="275" customFormat="1" ht="12.75" customHeight="1" x14ac:dyDescent="0.25"/>
    <row r="71" s="275" customFormat="1" ht="12.75" customHeight="1" x14ac:dyDescent="0.25"/>
    <row r="72" s="275" customFormat="1" ht="12.75" customHeight="1" x14ac:dyDescent="0.25"/>
    <row r="73" s="275" customFormat="1" ht="12.75" customHeight="1" x14ac:dyDescent="0.25"/>
    <row r="74" s="275" customFormat="1" ht="12.75" customHeight="1" x14ac:dyDescent="0.25"/>
    <row r="75" s="275" customFormat="1" ht="12.75" customHeight="1" x14ac:dyDescent="0.25"/>
    <row r="76" s="275" customFormat="1" ht="12.75" customHeight="1" x14ac:dyDescent="0.25"/>
    <row r="77" s="275" customFormat="1" ht="12.75" customHeight="1" x14ac:dyDescent="0.25"/>
    <row r="78" s="275" customFormat="1" ht="12.75" customHeight="1" x14ac:dyDescent="0.25"/>
    <row r="79" s="275" customFormat="1" ht="12.75" customHeight="1" x14ac:dyDescent="0.25"/>
    <row r="80" s="275" customFormat="1" ht="12.75" customHeight="1" x14ac:dyDescent="0.25"/>
    <row r="81" s="275" customFormat="1" ht="12.75" customHeight="1" x14ac:dyDescent="0.25"/>
    <row r="82" s="275" customFormat="1" ht="12.75" customHeight="1" x14ac:dyDescent="0.25"/>
    <row r="83" s="275" customFormat="1" ht="12.75" customHeight="1" x14ac:dyDescent="0.25"/>
    <row r="84" s="275" customFormat="1" ht="12.75" customHeight="1" x14ac:dyDescent="0.25"/>
    <row r="85" s="275" customFormat="1" ht="12.75" customHeight="1" x14ac:dyDescent="0.25"/>
    <row r="86" s="275" customFormat="1" ht="12.75" customHeight="1" x14ac:dyDescent="0.25"/>
    <row r="87" s="275" customFormat="1" ht="12.75" customHeight="1" x14ac:dyDescent="0.25"/>
    <row r="88" s="275" customFormat="1" ht="12.75" customHeight="1" x14ac:dyDescent="0.25"/>
    <row r="89" s="275" customFormat="1" ht="12.75" customHeight="1" x14ac:dyDescent="0.25"/>
    <row r="90" s="275" customFormat="1" ht="12.75" customHeight="1" x14ac:dyDescent="0.25"/>
    <row r="91" s="275" customFormat="1" ht="12.75" customHeight="1" x14ac:dyDescent="0.25"/>
    <row r="92" s="275" customFormat="1" ht="12.75" customHeight="1" x14ac:dyDescent="0.25"/>
    <row r="93" s="275" customFormat="1" ht="12.75" customHeight="1" x14ac:dyDescent="0.25"/>
    <row r="94" s="275" customFormat="1" ht="12.75" customHeight="1" x14ac:dyDescent="0.25"/>
    <row r="95" s="275" customFormat="1" ht="12.75" customHeight="1" x14ac:dyDescent="0.25"/>
    <row r="96" s="338" customFormat="1" ht="12.75" customHeight="1" x14ac:dyDescent="0.25"/>
    <row r="97" s="338" customFormat="1" ht="12.75" customHeight="1" x14ac:dyDescent="0.25"/>
    <row r="98" s="338" customFormat="1" ht="12.75" customHeight="1" x14ac:dyDescent="0.25"/>
    <row r="99" s="338" customFormat="1" ht="12.75" customHeight="1" x14ac:dyDescent="0.25"/>
    <row r="100" s="338" customFormat="1" ht="12.75" customHeight="1" x14ac:dyDescent="0.25"/>
    <row r="101" s="338" customFormat="1" ht="12.75" customHeight="1" x14ac:dyDescent="0.25"/>
    <row r="102" s="338" customFormat="1" ht="12.75" customHeight="1" x14ac:dyDescent="0.25"/>
    <row r="103" s="338" customFormat="1" ht="12.75" customHeight="1" x14ac:dyDescent="0.25"/>
    <row r="104" s="338" customFormat="1" ht="12.75" customHeight="1" x14ac:dyDescent="0.25"/>
    <row r="105" s="338" customFormat="1" ht="12.75" customHeight="1" x14ac:dyDescent="0.25"/>
    <row r="106" s="338" customFormat="1" ht="12.75" customHeight="1" x14ac:dyDescent="0.25"/>
    <row r="107" s="338" customFormat="1" ht="12.75" customHeight="1" x14ac:dyDescent="0.25"/>
    <row r="108" s="338" customFormat="1" ht="12.75" customHeight="1" x14ac:dyDescent="0.25"/>
    <row r="109" s="338" customFormat="1" ht="12.75" customHeight="1" x14ac:dyDescent="0.25"/>
    <row r="110" s="338" customFormat="1" ht="12.75" customHeight="1" x14ac:dyDescent="0.25"/>
    <row r="111" s="338" customFormat="1" ht="12.75" customHeight="1" x14ac:dyDescent="0.25"/>
    <row r="112" s="338" customFormat="1" ht="12.75" customHeight="1" x14ac:dyDescent="0.25"/>
    <row r="113" s="338" customFormat="1" ht="12.75" customHeight="1" x14ac:dyDescent="0.25"/>
    <row r="114" s="338" customFormat="1" ht="12.75" customHeight="1" x14ac:dyDescent="0.25"/>
    <row r="115" s="338" customFormat="1" ht="12.75" customHeight="1" x14ac:dyDescent="0.25"/>
    <row r="116" s="338" customFormat="1" ht="12.75" customHeight="1" x14ac:dyDescent="0.25"/>
    <row r="117" s="338" customFormat="1" ht="12.75" customHeight="1" x14ac:dyDescent="0.25"/>
    <row r="118" s="338" customFormat="1" ht="12.75" customHeight="1" x14ac:dyDescent="0.25"/>
    <row r="119" s="338" customFormat="1" ht="12.75" customHeight="1" x14ac:dyDescent="0.25"/>
    <row r="120" s="338" customFormat="1" ht="12.75" customHeight="1" x14ac:dyDescent="0.25"/>
    <row r="121" s="338" customFormat="1" ht="12.75" customHeight="1" x14ac:dyDescent="0.25"/>
    <row r="122" s="338" customFormat="1" ht="12.75" customHeight="1" x14ac:dyDescent="0.25"/>
    <row r="123" s="338" customFormat="1" ht="12.75" customHeight="1" x14ac:dyDescent="0.25"/>
    <row r="124" s="338" customFormat="1" ht="12.75" customHeight="1" x14ac:dyDescent="0.25"/>
    <row r="125" s="338" customFormat="1" ht="12.75" customHeight="1" x14ac:dyDescent="0.25"/>
    <row r="126" s="338" customFormat="1" ht="12.75" customHeight="1" x14ac:dyDescent="0.25"/>
    <row r="127" s="338" customFormat="1" ht="12.75" customHeight="1" x14ac:dyDescent="0.25"/>
    <row r="128" s="338" customFormat="1" ht="12.75" customHeight="1" x14ac:dyDescent="0.25"/>
    <row r="129" s="338" customFormat="1" ht="12.75" customHeight="1" x14ac:dyDescent="0.25"/>
    <row r="130" s="338" customFormat="1" ht="12.75" customHeight="1" x14ac:dyDescent="0.25"/>
  </sheetData>
  <conditionalFormatting sqref="I8:I23">
    <cfRule type="cellIs" dxfId="28"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79E1F-C76D-4C17-87CC-00DD2E3BC95C}">
  <sheetPr>
    <tabColor indexed="30"/>
    <pageSetUpPr fitToPage="1"/>
  </sheetPr>
  <dimension ref="A1:H23"/>
  <sheetViews>
    <sheetView zoomScaleNormal="100" workbookViewId="0">
      <selection activeCell="E6" sqref="E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#9440.01'!B1</f>
        <v>DAS CC Historical Building Elevators Replacement PH1</v>
      </c>
      <c r="B1" s="3"/>
      <c r="C1" s="3"/>
      <c r="D1" s="3"/>
      <c r="E1" s="4"/>
      <c r="F1" s="4"/>
      <c r="G1" s="4"/>
      <c r="H1" s="33"/>
    </row>
    <row r="2" spans="1:8" ht="15.75" x14ac:dyDescent="0.25">
      <c r="A2" s="6" t="str">
        <f>'RECAP #9440.01'!B2</f>
        <v>Project # 9440.01</v>
      </c>
      <c r="B2" s="5"/>
      <c r="C2" s="5"/>
      <c r="D2" s="5"/>
      <c r="E2" s="4"/>
      <c r="F2" s="4"/>
      <c r="G2" s="4"/>
      <c r="H2" s="33"/>
    </row>
    <row r="3" spans="1:8" ht="15.75" x14ac:dyDescent="0.25">
      <c r="A3" s="7" t="str">
        <f>'RECAP #9440.01'!B3</f>
        <v>Program code 944001</v>
      </c>
      <c r="B3" s="5"/>
      <c r="C3" s="5"/>
      <c r="D3" s="5"/>
      <c r="E3" s="8" t="str">
        <f>'RECAP #9440.01'!E3</f>
        <v xml:space="preserve">Major Program:  4D03 </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631</v>
      </c>
      <c r="F6" s="41"/>
      <c r="G6" s="44"/>
      <c r="H6" s="45"/>
    </row>
    <row r="7" spans="1:8" ht="15.75" x14ac:dyDescent="0.25">
      <c r="A7" s="13" t="str">
        <f>'RECAP #9440.01'!B6</f>
        <v>Project Manager - Brad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AEDC-D15B-44A8-9B6B-5395CF818BFE}">
  <sheetPr>
    <pageSetUpPr fitToPage="1"/>
  </sheetPr>
  <dimension ref="A1:I130"/>
  <sheetViews>
    <sheetView zoomScaleNormal="100" workbookViewId="0">
      <selection activeCell="A13" sqref="A13"/>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#9502.00'!B1</f>
        <v>DOC MPCF Hot and Cold Water Mains Replacement</v>
      </c>
      <c r="B1" s="3"/>
      <c r="C1" s="4"/>
      <c r="D1" s="4"/>
      <c r="E1" s="4"/>
      <c r="F1" s="33"/>
      <c r="G1" s="33"/>
      <c r="H1" s="34"/>
      <c r="I1" s="34"/>
    </row>
    <row r="2" spans="1:9" ht="15.75" x14ac:dyDescent="0.25">
      <c r="A2" s="6" t="str">
        <f>'RECAP #9502.00'!B2</f>
        <v>Project # 9502.00</v>
      </c>
      <c r="B2" s="5"/>
      <c r="C2" s="4"/>
      <c r="D2" s="4"/>
      <c r="E2" s="4"/>
      <c r="F2" s="33"/>
      <c r="G2" s="33"/>
      <c r="H2" s="34"/>
      <c r="I2" s="34"/>
    </row>
    <row r="3" spans="1:9" ht="15.75" x14ac:dyDescent="0.25">
      <c r="A3" s="7" t="str">
        <f>'RECAP #9502.00'!B3</f>
        <v>Program code 950200</v>
      </c>
      <c r="B3" s="5"/>
      <c r="C3" s="4"/>
      <c r="D3" s="8" t="str">
        <f>'RECAP #9502.00'!E3</f>
        <v>Major Program 4F04</v>
      </c>
      <c r="E3" s="4"/>
      <c r="F3" s="33"/>
      <c r="G3" s="33"/>
      <c r="H3" s="34"/>
      <c r="I3" s="34"/>
    </row>
    <row r="4" spans="1:9" ht="15.75" x14ac:dyDescent="0.25">
      <c r="A4" s="35" t="s">
        <v>669</v>
      </c>
      <c r="B4" s="36"/>
      <c r="C4" s="37"/>
      <c r="D4" s="38" t="s">
        <v>614</v>
      </c>
      <c r="E4" s="39"/>
      <c r="F4" s="33"/>
      <c r="G4" s="33"/>
      <c r="H4" s="34"/>
      <c r="I4" s="34"/>
    </row>
    <row r="5" spans="1:9" ht="15.75" x14ac:dyDescent="0.25">
      <c r="A5" s="40" t="s">
        <v>106</v>
      </c>
      <c r="B5" s="41"/>
      <c r="C5" s="42"/>
      <c r="D5" s="43" t="s">
        <v>670</v>
      </c>
      <c r="E5" s="44"/>
      <c r="F5" s="45"/>
      <c r="G5" s="46"/>
      <c r="H5" s="41"/>
      <c r="I5" s="34"/>
    </row>
    <row r="6" spans="1:9" ht="15.75" x14ac:dyDescent="0.25">
      <c r="A6" s="13" t="str">
        <f>'RECAP #9502.00'!B6</f>
        <v>Project Manager - Brandon A.</v>
      </c>
      <c r="B6" s="11"/>
      <c r="C6" s="47"/>
      <c r="D6" s="48" t="s">
        <v>395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671</v>
      </c>
      <c r="B9" s="287">
        <v>46097</v>
      </c>
      <c r="C9" s="288" t="s">
        <v>111</v>
      </c>
      <c r="D9" s="289">
        <v>700000</v>
      </c>
      <c r="E9" s="290">
        <f>D9</f>
        <v>700000</v>
      </c>
      <c r="F9" s="291"/>
      <c r="G9" s="291"/>
      <c r="H9" s="291">
        <f>E9</f>
        <v>700000</v>
      </c>
      <c r="I9" s="292"/>
    </row>
    <row r="10" spans="1:9" s="275" customFormat="1" ht="12.75" customHeight="1" x14ac:dyDescent="0.25">
      <c r="A10" s="286"/>
      <c r="B10" s="293"/>
      <c r="C10" s="288"/>
      <c r="D10" s="290"/>
      <c r="E10" s="290">
        <f t="shared" ref="E10:E21" si="0">E9+D10</f>
        <v>700000</v>
      </c>
      <c r="F10" s="294"/>
      <c r="G10" s="291">
        <f t="shared" ref="G10:G21" si="1">G9+F10</f>
        <v>0</v>
      </c>
      <c r="H10" s="291">
        <f t="shared" ref="H10:H21" si="2">H9-F10+D10</f>
        <v>700000</v>
      </c>
      <c r="I10" s="292"/>
    </row>
    <row r="11" spans="1:9" s="275" customFormat="1" ht="12.75" customHeight="1" x14ac:dyDescent="0.25">
      <c r="A11" s="286"/>
      <c r="B11" s="287"/>
      <c r="C11" s="288"/>
      <c r="D11" s="290"/>
      <c r="E11" s="290">
        <f t="shared" si="0"/>
        <v>700000</v>
      </c>
      <c r="F11" s="294"/>
      <c r="G11" s="291">
        <f t="shared" si="1"/>
        <v>0</v>
      </c>
      <c r="H11" s="291">
        <f t="shared" si="2"/>
        <v>700000</v>
      </c>
      <c r="I11" s="292"/>
    </row>
    <row r="12" spans="1:9" s="275" customFormat="1" ht="12.75" customHeight="1" x14ac:dyDescent="0.25">
      <c r="A12" s="286"/>
      <c r="B12" s="287"/>
      <c r="C12" s="288"/>
      <c r="D12" s="290"/>
      <c r="E12" s="290">
        <f t="shared" si="0"/>
        <v>700000</v>
      </c>
      <c r="F12" s="294"/>
      <c r="G12" s="291">
        <f t="shared" si="1"/>
        <v>0</v>
      </c>
      <c r="H12" s="291">
        <f t="shared" si="2"/>
        <v>700000</v>
      </c>
      <c r="I12" s="292"/>
    </row>
    <row r="13" spans="1:9" s="275" customFormat="1" ht="12.75" customHeight="1" x14ac:dyDescent="0.25">
      <c r="A13" s="286"/>
      <c r="B13" s="287"/>
      <c r="C13" s="288"/>
      <c r="D13" s="290"/>
      <c r="E13" s="290">
        <f t="shared" si="0"/>
        <v>700000</v>
      </c>
      <c r="F13" s="294"/>
      <c r="G13" s="291">
        <f t="shared" si="1"/>
        <v>0</v>
      </c>
      <c r="H13" s="291">
        <f t="shared" si="2"/>
        <v>700000</v>
      </c>
      <c r="I13" s="292"/>
    </row>
    <row r="14" spans="1:9" s="275" customFormat="1" ht="12.75" customHeight="1" x14ac:dyDescent="0.25">
      <c r="A14" s="286"/>
      <c r="B14" s="287"/>
      <c r="C14" s="288"/>
      <c r="D14" s="290"/>
      <c r="E14" s="290">
        <f t="shared" si="0"/>
        <v>700000</v>
      </c>
      <c r="F14" s="291"/>
      <c r="G14" s="291">
        <f t="shared" si="1"/>
        <v>0</v>
      </c>
      <c r="H14" s="291">
        <f t="shared" si="2"/>
        <v>700000</v>
      </c>
      <c r="I14" s="292"/>
    </row>
    <row r="15" spans="1:9" s="275" customFormat="1" ht="12.75" customHeight="1" x14ac:dyDescent="0.25">
      <c r="A15" s="286"/>
      <c r="B15" s="287"/>
      <c r="C15" s="288"/>
      <c r="D15" s="290"/>
      <c r="E15" s="290">
        <f t="shared" si="0"/>
        <v>700000</v>
      </c>
      <c r="F15" s="295"/>
      <c r="G15" s="291">
        <f t="shared" si="1"/>
        <v>0</v>
      </c>
      <c r="H15" s="291">
        <f t="shared" si="2"/>
        <v>700000</v>
      </c>
      <c r="I15" s="292"/>
    </row>
    <row r="16" spans="1:9" s="275" customFormat="1" ht="12.75" customHeight="1" x14ac:dyDescent="0.25">
      <c r="A16" s="286"/>
      <c r="B16" s="287"/>
      <c r="C16" s="288"/>
      <c r="D16" s="290"/>
      <c r="E16" s="290">
        <f t="shared" si="0"/>
        <v>700000</v>
      </c>
      <c r="F16" s="295"/>
      <c r="G16" s="291">
        <f t="shared" si="1"/>
        <v>0</v>
      </c>
      <c r="H16" s="291">
        <f t="shared" si="2"/>
        <v>700000</v>
      </c>
      <c r="I16" s="292"/>
    </row>
    <row r="17" spans="1:9" s="275" customFormat="1" ht="12.75" customHeight="1" x14ac:dyDescent="0.25">
      <c r="A17" s="286"/>
      <c r="B17" s="287"/>
      <c r="C17" s="288"/>
      <c r="D17" s="290"/>
      <c r="E17" s="290">
        <f t="shared" si="0"/>
        <v>700000</v>
      </c>
      <c r="F17" s="295"/>
      <c r="G17" s="291">
        <f t="shared" si="1"/>
        <v>0</v>
      </c>
      <c r="H17" s="291">
        <f t="shared" si="2"/>
        <v>700000</v>
      </c>
      <c r="I17" s="292"/>
    </row>
    <row r="18" spans="1:9" s="275" customFormat="1" ht="12.75" customHeight="1" x14ac:dyDescent="0.25">
      <c r="A18" s="286"/>
      <c r="B18" s="287"/>
      <c r="C18" s="288"/>
      <c r="D18" s="290"/>
      <c r="E18" s="290">
        <f t="shared" si="0"/>
        <v>700000</v>
      </c>
      <c r="F18" s="295"/>
      <c r="G18" s="291">
        <f t="shared" si="1"/>
        <v>0</v>
      </c>
      <c r="H18" s="291">
        <f t="shared" si="2"/>
        <v>700000</v>
      </c>
      <c r="I18" s="292"/>
    </row>
    <row r="19" spans="1:9" s="275" customFormat="1" ht="12.75" customHeight="1" x14ac:dyDescent="0.25">
      <c r="A19" s="286"/>
      <c r="B19" s="287"/>
      <c r="C19" s="288"/>
      <c r="D19" s="290"/>
      <c r="E19" s="290">
        <f t="shared" si="0"/>
        <v>700000</v>
      </c>
      <c r="F19" s="291"/>
      <c r="G19" s="291">
        <f t="shared" si="1"/>
        <v>0</v>
      </c>
      <c r="H19" s="291">
        <f t="shared" si="2"/>
        <v>700000</v>
      </c>
      <c r="I19" s="292"/>
    </row>
    <row r="20" spans="1:9" s="275" customFormat="1" ht="12.75" customHeight="1" x14ac:dyDescent="0.25">
      <c r="A20" s="286"/>
      <c r="B20" s="287"/>
      <c r="C20" s="288"/>
      <c r="D20" s="290"/>
      <c r="E20" s="290">
        <f t="shared" si="0"/>
        <v>700000</v>
      </c>
      <c r="F20" s="291"/>
      <c r="G20" s="291">
        <f t="shared" si="1"/>
        <v>0</v>
      </c>
      <c r="H20" s="291">
        <f t="shared" si="2"/>
        <v>700000</v>
      </c>
      <c r="I20" s="292"/>
    </row>
    <row r="21" spans="1:9" s="275" customFormat="1" ht="12.75" customHeight="1" x14ac:dyDescent="0.25">
      <c r="A21" s="286"/>
      <c r="B21" s="287"/>
      <c r="C21" s="296"/>
      <c r="D21" s="290"/>
      <c r="E21" s="290">
        <f t="shared" si="0"/>
        <v>700000</v>
      </c>
      <c r="F21" s="291"/>
      <c r="G21" s="291">
        <f t="shared" si="1"/>
        <v>0</v>
      </c>
      <c r="H21" s="291">
        <f t="shared" si="2"/>
        <v>700000</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700000</v>
      </c>
      <c r="E23" s="302"/>
      <c r="F23" s="302">
        <f>SUM(F9:F22)</f>
        <v>0</v>
      </c>
      <c r="G23" s="302"/>
      <c r="H23" s="302">
        <f>D23-F23</f>
        <v>700000</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342"/>
      <c r="D25" s="343"/>
      <c r="E25" s="343"/>
      <c r="F25" s="343"/>
      <c r="G25" s="343"/>
      <c r="H25" s="343"/>
      <c r="I25" s="292"/>
    </row>
    <row r="26" spans="1:9" s="275" customFormat="1" ht="12.75" customHeight="1" x14ac:dyDescent="0.25">
      <c r="A26" s="286"/>
      <c r="B26" s="288"/>
      <c r="C26" s="344"/>
      <c r="D26" s="345"/>
      <c r="E26" s="345"/>
      <c r="F26" s="345"/>
      <c r="G26" s="345"/>
      <c r="H26" s="345"/>
      <c r="I26" s="292"/>
    </row>
    <row r="27" spans="1:9" s="275" customFormat="1" ht="12.75" customHeight="1" x14ac:dyDescent="0.25">
      <c r="A27" s="286"/>
      <c r="B27" s="288"/>
      <c r="C27" s="344"/>
      <c r="D27" s="345"/>
      <c r="E27" s="345"/>
      <c r="F27" s="345"/>
      <c r="G27" s="345"/>
      <c r="H27" s="345"/>
      <c r="I27" s="292"/>
    </row>
    <row r="28" spans="1:9" s="275" customFormat="1" ht="12.75" customHeight="1" x14ac:dyDescent="0.25">
      <c r="A28" s="286"/>
      <c r="B28" s="288"/>
      <c r="C28" s="344"/>
      <c r="D28" s="345"/>
      <c r="E28" s="345"/>
      <c r="F28" s="345"/>
      <c r="G28" s="345"/>
      <c r="H28" s="345"/>
      <c r="I28" s="292"/>
    </row>
    <row r="29" spans="1:9" s="275" customFormat="1" ht="12.75" customHeight="1" x14ac:dyDescent="0.25">
      <c r="A29" s="286"/>
      <c r="B29" s="288"/>
      <c r="C29" s="346"/>
      <c r="D29" s="347"/>
      <c r="E29" s="347"/>
      <c r="F29" s="347"/>
      <c r="G29" s="347"/>
      <c r="H29" s="347"/>
      <c r="I29" s="292"/>
    </row>
    <row r="30" spans="1:9" s="275" customFormat="1" ht="12.75" customHeight="1" x14ac:dyDescent="0.25">
      <c r="C30" s="348"/>
      <c r="D30" s="348"/>
      <c r="E30" s="348"/>
      <c r="F30" s="348"/>
      <c r="G30" s="348"/>
      <c r="H30" s="348"/>
    </row>
    <row r="31" spans="1:9" s="275" customFormat="1" ht="12.75" customHeight="1" x14ac:dyDescent="0.25">
      <c r="C31" s="348"/>
      <c r="D31" s="348"/>
      <c r="E31" s="348"/>
      <c r="F31" s="348"/>
      <c r="G31" s="348"/>
      <c r="H31" s="348"/>
    </row>
    <row r="32" spans="1:9" s="275" customFormat="1" ht="12.75" customHeight="1" x14ac:dyDescent="0.25"/>
    <row r="33" s="275" customFormat="1" ht="12.75" customHeight="1" x14ac:dyDescent="0.25"/>
    <row r="34" s="275" customFormat="1" ht="12.75" customHeight="1" x14ac:dyDescent="0.25"/>
    <row r="35" s="275" customFormat="1" ht="12.75" customHeight="1" x14ac:dyDescent="0.25"/>
    <row r="36" s="275" customFormat="1" ht="12.75" customHeight="1" x14ac:dyDescent="0.25"/>
    <row r="37" s="275" customFormat="1" ht="12.75" customHeight="1" x14ac:dyDescent="0.25"/>
    <row r="38" s="275" customFormat="1" ht="12.75" customHeight="1" x14ac:dyDescent="0.25"/>
    <row r="39" s="275" customFormat="1" ht="12.75" customHeight="1" x14ac:dyDescent="0.25"/>
    <row r="40" s="275" customFormat="1" ht="12.75" customHeight="1" x14ac:dyDescent="0.25"/>
    <row r="41" s="275" customFormat="1" ht="12.75" customHeight="1" x14ac:dyDescent="0.25"/>
    <row r="42" s="275" customFormat="1" ht="12.75" customHeight="1" x14ac:dyDescent="0.25"/>
    <row r="43" s="275" customFormat="1" ht="12.75" customHeight="1" x14ac:dyDescent="0.25"/>
    <row r="44" s="275" customFormat="1" ht="12.75" customHeight="1" x14ac:dyDescent="0.25"/>
    <row r="45" s="275" customFormat="1" ht="12.75" customHeight="1" x14ac:dyDescent="0.25"/>
    <row r="46" s="275" customFormat="1" ht="12.75" customHeight="1" x14ac:dyDescent="0.25"/>
    <row r="47" s="275" customFormat="1" ht="12.75" customHeight="1" x14ac:dyDescent="0.25"/>
    <row r="48" s="275" customFormat="1" ht="12.75" customHeight="1" x14ac:dyDescent="0.25"/>
    <row r="49" s="275" customFormat="1" ht="12.75" customHeight="1" x14ac:dyDescent="0.25"/>
    <row r="50" s="275" customFormat="1" ht="12.75" customHeight="1" x14ac:dyDescent="0.25"/>
    <row r="51" s="275" customFormat="1" ht="12.75" customHeight="1" x14ac:dyDescent="0.25"/>
    <row r="52" s="275" customFormat="1" ht="12.75" customHeight="1" x14ac:dyDescent="0.25"/>
    <row r="53" s="275" customFormat="1" ht="12.75" customHeight="1" x14ac:dyDescent="0.25"/>
    <row r="54" s="275" customFormat="1" ht="12.75" customHeight="1" x14ac:dyDescent="0.25"/>
    <row r="55" s="275" customFormat="1" ht="12.75" customHeight="1" x14ac:dyDescent="0.25"/>
    <row r="56" s="275" customFormat="1" ht="12.75" customHeight="1" x14ac:dyDescent="0.25"/>
    <row r="57" s="275" customFormat="1" ht="12.75" customHeight="1" x14ac:dyDescent="0.25"/>
    <row r="58" s="275" customFormat="1" ht="12.75" customHeight="1" x14ac:dyDescent="0.25"/>
    <row r="59" s="275" customFormat="1" ht="12.75" customHeight="1" x14ac:dyDescent="0.25"/>
    <row r="60" s="275" customFormat="1" ht="12.75" customHeight="1" x14ac:dyDescent="0.25"/>
    <row r="61" s="275" customFormat="1" ht="12.75" customHeight="1" x14ac:dyDescent="0.25"/>
    <row r="62" s="275" customFormat="1" ht="12.75" customHeight="1" x14ac:dyDescent="0.25"/>
    <row r="63" s="275" customFormat="1" ht="12.75" customHeight="1" x14ac:dyDescent="0.25"/>
    <row r="64" s="275" customFormat="1" ht="12.75" customHeight="1" x14ac:dyDescent="0.25"/>
    <row r="65" s="275" customFormat="1" ht="12.75" customHeight="1" x14ac:dyDescent="0.25"/>
    <row r="66" s="275" customFormat="1" ht="12.75" customHeight="1" x14ac:dyDescent="0.25"/>
    <row r="67" s="275" customFormat="1" ht="12.75" customHeight="1" x14ac:dyDescent="0.25"/>
    <row r="68" s="275" customFormat="1" ht="12.75" customHeight="1" x14ac:dyDescent="0.25"/>
    <row r="69" s="275" customFormat="1" ht="12.75" customHeight="1" x14ac:dyDescent="0.25"/>
    <row r="70" s="275" customFormat="1" ht="12.75" customHeight="1" x14ac:dyDescent="0.25"/>
    <row r="71" s="275" customFormat="1" ht="12.75" customHeight="1" x14ac:dyDescent="0.25"/>
    <row r="72" s="275" customFormat="1" ht="12.75" customHeight="1" x14ac:dyDescent="0.25"/>
    <row r="73" s="275" customFormat="1" ht="12.75" customHeight="1" x14ac:dyDescent="0.25"/>
    <row r="74" s="275" customFormat="1" ht="12.75" customHeight="1" x14ac:dyDescent="0.25"/>
    <row r="75" s="275" customFormat="1" ht="12.75" customHeight="1" x14ac:dyDescent="0.25"/>
    <row r="76" s="275" customFormat="1" ht="12.75" customHeight="1" x14ac:dyDescent="0.25"/>
    <row r="77" s="275" customFormat="1" ht="12.75" customHeight="1" x14ac:dyDescent="0.25"/>
    <row r="78" s="275" customFormat="1" ht="12.75" customHeight="1" x14ac:dyDescent="0.25"/>
    <row r="79" s="275" customFormat="1" ht="12.75" customHeight="1" x14ac:dyDescent="0.25"/>
    <row r="80" s="275" customFormat="1" ht="12.75" customHeight="1" x14ac:dyDescent="0.25"/>
    <row r="81" s="275" customFormat="1" ht="12.75" customHeight="1" x14ac:dyDescent="0.25"/>
    <row r="82" s="275" customFormat="1" ht="12.75" customHeight="1" x14ac:dyDescent="0.25"/>
    <row r="83" s="275" customFormat="1" ht="12.75" customHeight="1" x14ac:dyDescent="0.25"/>
    <row r="84" s="275" customFormat="1" ht="12.75" customHeight="1" x14ac:dyDescent="0.25"/>
    <row r="85" s="275" customFormat="1" ht="12.75" customHeight="1" x14ac:dyDescent="0.25"/>
    <row r="86" s="275" customFormat="1" ht="12.75" customHeight="1" x14ac:dyDescent="0.25"/>
    <row r="87" s="275" customFormat="1" ht="12.75" customHeight="1" x14ac:dyDescent="0.25"/>
    <row r="88" s="275" customFormat="1" ht="12.75" customHeight="1" x14ac:dyDescent="0.25"/>
    <row r="89" s="275" customFormat="1" ht="12.75" customHeight="1" x14ac:dyDescent="0.25"/>
    <row r="90" s="275" customFormat="1" ht="12.75" customHeight="1" x14ac:dyDescent="0.25"/>
    <row r="91" s="275" customFormat="1" ht="12.75" customHeight="1" x14ac:dyDescent="0.25"/>
    <row r="92" s="275" customFormat="1" ht="12.75" customHeight="1" x14ac:dyDescent="0.25"/>
    <row r="93" s="275" customFormat="1" ht="12.75" customHeight="1" x14ac:dyDescent="0.25"/>
    <row r="94" s="275" customFormat="1" ht="12.75" customHeight="1" x14ac:dyDescent="0.25"/>
    <row r="95" s="275" customFormat="1" ht="12.75" customHeight="1" x14ac:dyDescent="0.25"/>
    <row r="96" s="338" customFormat="1" ht="12.75" customHeight="1" x14ac:dyDescent="0.25"/>
    <row r="97" s="338" customFormat="1" ht="12.75" customHeight="1" x14ac:dyDescent="0.25"/>
    <row r="98" s="338" customFormat="1" ht="12.75" customHeight="1" x14ac:dyDescent="0.25"/>
    <row r="99" s="338" customFormat="1" ht="12.75" customHeight="1" x14ac:dyDescent="0.25"/>
    <row r="100" s="338" customFormat="1" ht="12.75" customHeight="1" x14ac:dyDescent="0.25"/>
    <row r="101" s="338" customFormat="1" ht="12.75" customHeight="1" x14ac:dyDescent="0.25"/>
    <row r="102" s="338" customFormat="1" ht="12.75" customHeight="1" x14ac:dyDescent="0.25"/>
    <row r="103" s="338" customFormat="1" ht="12.75" customHeight="1" x14ac:dyDescent="0.25"/>
    <row r="104" s="338" customFormat="1" ht="12.75" customHeight="1" x14ac:dyDescent="0.25"/>
    <row r="105" s="338" customFormat="1" ht="12.75" customHeight="1" x14ac:dyDescent="0.25"/>
    <row r="106" s="338" customFormat="1" ht="12.75" customHeight="1" x14ac:dyDescent="0.25"/>
    <row r="107" s="338" customFormat="1" ht="12.75" customHeight="1" x14ac:dyDescent="0.25"/>
    <row r="108" s="338" customFormat="1" ht="12.75" customHeight="1" x14ac:dyDescent="0.25"/>
    <row r="109" s="338" customFormat="1" ht="12.75" customHeight="1" x14ac:dyDescent="0.25"/>
    <row r="110" s="338" customFormat="1" ht="12.75" customHeight="1" x14ac:dyDescent="0.25"/>
    <row r="111" s="338" customFormat="1" ht="12.75" customHeight="1" x14ac:dyDescent="0.25"/>
    <row r="112" s="338" customFormat="1" ht="12.75" customHeight="1" x14ac:dyDescent="0.25"/>
    <row r="113" s="338" customFormat="1" ht="12.75" customHeight="1" x14ac:dyDescent="0.25"/>
    <row r="114" s="338" customFormat="1" ht="12.75" customHeight="1" x14ac:dyDescent="0.25"/>
    <row r="115" s="338" customFormat="1" ht="12.75" customHeight="1" x14ac:dyDescent="0.25"/>
    <row r="116" s="338" customFormat="1" ht="12.75" customHeight="1" x14ac:dyDescent="0.25"/>
    <row r="117" s="338" customFormat="1" ht="12.75" customHeight="1" x14ac:dyDescent="0.25"/>
    <row r="118" s="338" customFormat="1" ht="12.75" customHeight="1" x14ac:dyDescent="0.25"/>
    <row r="119" s="338" customFormat="1" ht="12.75" customHeight="1" x14ac:dyDescent="0.25"/>
    <row r="120" s="338" customFormat="1" ht="12.75" customHeight="1" x14ac:dyDescent="0.25"/>
    <row r="121" s="338" customFormat="1" ht="12.75" customHeight="1" x14ac:dyDescent="0.25"/>
    <row r="122" s="338" customFormat="1" ht="12.75" customHeight="1" x14ac:dyDescent="0.25"/>
    <row r="123" s="338" customFormat="1" ht="12.75" customHeight="1" x14ac:dyDescent="0.25"/>
    <row r="124" s="338" customFormat="1" ht="12.75" customHeight="1" x14ac:dyDescent="0.25"/>
    <row r="125" s="338" customFormat="1" ht="12.75" customHeight="1" x14ac:dyDescent="0.25"/>
    <row r="126" s="338" customFormat="1" ht="12.75" customHeight="1" x14ac:dyDescent="0.25"/>
    <row r="127" s="338" customFormat="1" ht="12.75" customHeight="1" x14ac:dyDescent="0.25"/>
    <row r="128" s="338" customFormat="1" ht="12.75" customHeight="1" x14ac:dyDescent="0.25"/>
    <row r="129" s="338" customFormat="1" ht="12.75" customHeight="1" x14ac:dyDescent="0.25"/>
    <row r="130" s="338" customFormat="1" ht="12.75" customHeight="1" x14ac:dyDescent="0.25"/>
  </sheetData>
  <conditionalFormatting sqref="I8:I23">
    <cfRule type="cellIs" dxfId="27"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1B23-FE86-42BD-82EC-5055EC33FB3D}">
  <sheetPr>
    <pageSetUpPr fitToPage="1"/>
  </sheetPr>
  <dimension ref="A1:G16"/>
  <sheetViews>
    <sheetView zoomScaleNormal="100" workbookViewId="0">
      <selection activeCell="M22" sqref="M2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159</v>
      </c>
      <c r="C1" s="3"/>
      <c r="D1" s="4"/>
      <c r="E1" s="4"/>
      <c r="F1" s="4"/>
      <c r="G1" s="4"/>
    </row>
    <row r="2" spans="1:7" ht="15.75" x14ac:dyDescent="0.25">
      <c r="A2" s="1"/>
      <c r="B2" s="6" t="s">
        <v>209</v>
      </c>
      <c r="C2" s="5"/>
      <c r="D2" s="4"/>
      <c r="E2" s="4"/>
      <c r="F2" s="4"/>
      <c r="G2" s="4"/>
    </row>
    <row r="3" spans="1:7" ht="15.75" x14ac:dyDescent="0.25">
      <c r="A3" s="1"/>
      <c r="B3" s="7" t="s">
        <v>210</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211</v>
      </c>
      <c r="C6" s="14"/>
      <c r="D6" s="15" t="s">
        <v>2</v>
      </c>
      <c r="E6" s="16"/>
      <c r="F6" s="16"/>
      <c r="G6" s="16"/>
    </row>
    <row r="7" spans="1:7" ht="33" customHeight="1" thickBot="1" x14ac:dyDescent="0.3">
      <c r="A7" s="1"/>
      <c r="B7" s="18" t="s">
        <v>2</v>
      </c>
      <c r="C7" s="19" t="s">
        <v>3</v>
      </c>
      <c r="D7" s="20" t="s">
        <v>4</v>
      </c>
      <c r="E7" s="21" t="s">
        <v>5</v>
      </c>
      <c r="F7" s="22" t="s">
        <v>6</v>
      </c>
      <c r="G7" s="22" t="s">
        <v>7</v>
      </c>
    </row>
    <row r="8" spans="1:7" ht="28.35" customHeight="1" x14ac:dyDescent="0.25">
      <c r="A8" s="1"/>
      <c r="B8" s="1" t="s">
        <v>8</v>
      </c>
      <c r="C8" s="23">
        <f>FINANCIAL!G30</f>
        <v>440000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03"/>
      <c r="B10" s="304" t="s">
        <v>286</v>
      </c>
      <c r="C10" s="305"/>
      <c r="D10" s="308">
        <f>'#9503.00 Story Construction'!D23</f>
        <v>25378.59</v>
      </c>
      <c r="E10" s="308">
        <f>'#9503.00 Story Construction'!F23</f>
        <v>1588.62</v>
      </c>
      <c r="F10" s="308">
        <f>'#9503.00 Story Construction'!H23</f>
        <v>23789.97</v>
      </c>
      <c r="G10" s="307"/>
    </row>
    <row r="11" spans="1:7" s="275" customFormat="1" ht="12.75" customHeight="1" x14ac:dyDescent="0.25">
      <c r="A11" s="303"/>
      <c r="B11" s="304" t="s">
        <v>10</v>
      </c>
      <c r="C11" s="305"/>
      <c r="D11" s="308">
        <f>'#9503.00 PM TIME '!E23</f>
        <v>8500</v>
      </c>
      <c r="E11" s="308">
        <f>'#9503.00 PM TIME '!G23</f>
        <v>2109.73</v>
      </c>
      <c r="F11" s="308">
        <f>'#9503.00 PM TIME '!I23</f>
        <v>6390.27</v>
      </c>
      <c r="G11" s="307"/>
    </row>
    <row r="12" spans="1:7" s="275" customFormat="1" ht="12.75" customHeight="1" x14ac:dyDescent="0.25">
      <c r="A12" s="303"/>
      <c r="B12" s="304" t="s">
        <v>11</v>
      </c>
      <c r="C12" s="306"/>
      <c r="D12" s="309">
        <f>'#9503.00 Misc'!G22</f>
        <v>0</v>
      </c>
      <c r="E12" s="309">
        <f>'#9503.00 Misc'!H22</f>
        <v>0</v>
      </c>
      <c r="F12" s="308">
        <f>D12-E12</f>
        <v>0</v>
      </c>
      <c r="G12" s="307"/>
    </row>
    <row r="13" spans="1:7" s="275" customFormat="1" ht="12.75" customHeight="1" x14ac:dyDescent="0.25">
      <c r="A13" s="350" t="s">
        <v>258</v>
      </c>
      <c r="B13" s="304" t="s">
        <v>292</v>
      </c>
      <c r="C13" s="306"/>
      <c r="D13" s="309">
        <f>'#9503.00 SystemWorks'!D23</f>
        <v>6890</v>
      </c>
      <c r="E13" s="309">
        <f>'#9503.00 SystemWorks'!F23</f>
        <v>6890</v>
      </c>
      <c r="F13" s="308">
        <f>'#9503.00 SystemWorks'!H23</f>
        <v>0</v>
      </c>
      <c r="G13" s="307"/>
    </row>
    <row r="14" spans="1:7" s="275" customFormat="1" ht="12.75" customHeight="1" x14ac:dyDescent="0.25">
      <c r="A14" s="310"/>
      <c r="B14" s="304"/>
      <c r="C14" s="306"/>
      <c r="D14" s="309"/>
      <c r="E14" s="309"/>
      <c r="F14" s="308"/>
      <c r="G14" s="311"/>
    </row>
    <row r="15" spans="1:7" ht="24" customHeight="1" thickBot="1" x14ac:dyDescent="0.3">
      <c r="A15" s="30"/>
      <c r="B15" s="31" t="s">
        <v>12</v>
      </c>
      <c r="C15" s="32">
        <f>SUM(C8:C14)</f>
        <v>440000</v>
      </c>
      <c r="D15" s="32">
        <f>SUM(D8:D14)</f>
        <v>40768.589999999997</v>
      </c>
      <c r="E15" s="32">
        <f>SUM(E8:E14)</f>
        <v>10588.35</v>
      </c>
      <c r="F15" s="32">
        <f>SUM(D15-E15)</f>
        <v>30180.239999999998</v>
      </c>
      <c r="G15" s="32">
        <f>C8-D15</f>
        <v>399231.41000000003</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C5CC-64E0-42D6-9305-C02D6AA83355}">
  <sheetPr>
    <pageSetUpPr fitToPage="1"/>
  </sheetPr>
  <dimension ref="A1:I29"/>
  <sheetViews>
    <sheetView zoomScaleNormal="100" workbookViewId="0">
      <selection activeCell="A30" sqref="A3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#9503.00'!B1</f>
        <v>HHS WRC CDC Freezer Repair</v>
      </c>
      <c r="B1" s="3"/>
      <c r="C1" s="4"/>
      <c r="D1" s="4"/>
      <c r="E1" s="4"/>
      <c r="F1" s="33"/>
      <c r="G1" s="33"/>
      <c r="H1" s="34"/>
      <c r="I1" s="34"/>
    </row>
    <row r="2" spans="1:9" ht="15.75" x14ac:dyDescent="0.25">
      <c r="A2" s="6" t="str">
        <f>'RECAP #9503.00'!B2</f>
        <v>Project # 9503.00</v>
      </c>
      <c r="B2" s="5"/>
      <c r="C2" s="4"/>
      <c r="D2" s="4"/>
      <c r="E2" s="4"/>
      <c r="F2" s="33"/>
      <c r="G2" s="33"/>
      <c r="H2" s="34"/>
      <c r="I2" s="34"/>
    </row>
    <row r="3" spans="1:9" ht="15.75" x14ac:dyDescent="0.25">
      <c r="A3" s="7" t="str">
        <f>'RECAP #9503.00'!B3</f>
        <v>Program code 950300</v>
      </c>
      <c r="B3" s="5"/>
      <c r="C3" s="4"/>
      <c r="D3" s="8" t="str">
        <f>'RECAP #9503.00'!E3</f>
        <v>Major Program 4E19</v>
      </c>
      <c r="E3" s="4"/>
      <c r="F3" s="33"/>
      <c r="G3" s="33"/>
      <c r="H3" s="34"/>
      <c r="I3" s="34"/>
    </row>
    <row r="4" spans="1:9" ht="15.75" x14ac:dyDescent="0.25">
      <c r="A4" s="35" t="s">
        <v>286</v>
      </c>
      <c r="B4" s="36"/>
      <c r="C4" s="37"/>
      <c r="D4" s="38" t="s">
        <v>287</v>
      </c>
      <c r="E4" s="39"/>
      <c r="F4" s="33"/>
      <c r="G4" s="33"/>
      <c r="H4" s="34"/>
      <c r="I4" s="34"/>
    </row>
    <row r="5" spans="1:9" ht="15.75" x14ac:dyDescent="0.25">
      <c r="A5" s="40" t="s">
        <v>106</v>
      </c>
      <c r="B5" s="41"/>
      <c r="C5" s="42"/>
      <c r="D5" s="43" t="s">
        <v>288</v>
      </c>
      <c r="E5" s="44"/>
      <c r="F5" s="45"/>
      <c r="G5" s="46"/>
      <c r="H5" s="41"/>
      <c r="I5" s="34"/>
    </row>
    <row r="6" spans="1:9" ht="15.75" x14ac:dyDescent="0.25">
      <c r="A6" s="13" t="str">
        <f>'RECAP #9503.00'!B6</f>
        <v>Project Manager - Jennifer K.</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291</v>
      </c>
      <c r="B9" s="287">
        <v>45946</v>
      </c>
      <c r="C9" s="288" t="s">
        <v>111</v>
      </c>
      <c r="D9" s="289">
        <v>25378.59</v>
      </c>
      <c r="E9" s="290">
        <f>D9</f>
        <v>25378.59</v>
      </c>
      <c r="F9" s="291"/>
      <c r="G9" s="291"/>
      <c r="H9" s="291">
        <f>E9</f>
        <v>25378.59</v>
      </c>
      <c r="I9" s="292"/>
    </row>
    <row r="10" spans="1:9" s="275" customFormat="1" ht="12.75" customHeight="1" x14ac:dyDescent="0.25">
      <c r="A10" s="286" t="s">
        <v>439</v>
      </c>
      <c r="B10" s="293">
        <v>46038</v>
      </c>
      <c r="C10" s="288" t="s">
        <v>440</v>
      </c>
      <c r="D10" s="290"/>
      <c r="E10" s="290">
        <f t="shared" ref="E10:E21" si="0">E9+D10</f>
        <v>25378.59</v>
      </c>
      <c r="F10" s="294">
        <v>1588.62</v>
      </c>
      <c r="G10" s="291">
        <f t="shared" ref="G10:G21" si="1">G9+F10</f>
        <v>1588.62</v>
      </c>
      <c r="H10" s="291">
        <f t="shared" ref="H10:H21" si="2">H9-F10+D10</f>
        <v>23789.97</v>
      </c>
      <c r="I10" s="292"/>
    </row>
    <row r="11" spans="1:9" s="275" customFormat="1" ht="12.75" customHeight="1" x14ac:dyDescent="0.25">
      <c r="A11" s="286"/>
      <c r="B11" s="287"/>
      <c r="C11" s="288"/>
      <c r="D11" s="290"/>
      <c r="E11" s="290">
        <f t="shared" si="0"/>
        <v>25378.59</v>
      </c>
      <c r="F11" s="295"/>
      <c r="G11" s="291">
        <f t="shared" si="1"/>
        <v>1588.62</v>
      </c>
      <c r="H11" s="291">
        <f t="shared" si="2"/>
        <v>23789.97</v>
      </c>
      <c r="I11" s="292"/>
    </row>
    <row r="12" spans="1:9" s="275" customFormat="1" ht="12.75" customHeight="1" x14ac:dyDescent="0.25">
      <c r="A12" s="286"/>
      <c r="B12" s="287"/>
      <c r="C12" s="288"/>
      <c r="D12" s="290"/>
      <c r="E12" s="290">
        <f t="shared" si="0"/>
        <v>25378.59</v>
      </c>
      <c r="F12" s="295"/>
      <c r="G12" s="291">
        <f t="shared" si="1"/>
        <v>1588.62</v>
      </c>
      <c r="H12" s="291">
        <f t="shared" si="2"/>
        <v>23789.97</v>
      </c>
      <c r="I12" s="292"/>
    </row>
    <row r="13" spans="1:9" s="275" customFormat="1" ht="12.75" customHeight="1" x14ac:dyDescent="0.25">
      <c r="A13" s="286"/>
      <c r="B13" s="287"/>
      <c r="C13" s="288"/>
      <c r="D13" s="290"/>
      <c r="E13" s="290">
        <f t="shared" si="0"/>
        <v>25378.59</v>
      </c>
      <c r="F13" s="295"/>
      <c r="G13" s="291">
        <f t="shared" si="1"/>
        <v>1588.62</v>
      </c>
      <c r="H13" s="291">
        <f t="shared" si="2"/>
        <v>23789.97</v>
      </c>
      <c r="I13" s="292"/>
    </row>
    <row r="14" spans="1:9" s="275" customFormat="1" ht="12.75" customHeight="1" x14ac:dyDescent="0.25">
      <c r="A14" s="286"/>
      <c r="B14" s="287"/>
      <c r="C14" s="288"/>
      <c r="D14" s="290"/>
      <c r="E14" s="290">
        <f t="shared" si="0"/>
        <v>25378.59</v>
      </c>
      <c r="F14" s="291"/>
      <c r="G14" s="291">
        <f t="shared" si="1"/>
        <v>1588.62</v>
      </c>
      <c r="H14" s="291">
        <f t="shared" si="2"/>
        <v>23789.97</v>
      </c>
      <c r="I14" s="292"/>
    </row>
    <row r="15" spans="1:9" s="275" customFormat="1" ht="12.75" customHeight="1" x14ac:dyDescent="0.25">
      <c r="A15" s="286"/>
      <c r="B15" s="287"/>
      <c r="C15" s="288"/>
      <c r="D15" s="290"/>
      <c r="E15" s="290">
        <f t="shared" si="0"/>
        <v>25378.59</v>
      </c>
      <c r="F15" s="295"/>
      <c r="G15" s="291">
        <f t="shared" si="1"/>
        <v>1588.62</v>
      </c>
      <c r="H15" s="291">
        <f t="shared" si="2"/>
        <v>23789.97</v>
      </c>
      <c r="I15" s="292"/>
    </row>
    <row r="16" spans="1:9" s="275" customFormat="1" ht="12.75" customHeight="1" x14ac:dyDescent="0.25">
      <c r="A16" s="286"/>
      <c r="B16" s="287"/>
      <c r="C16" s="288"/>
      <c r="D16" s="290"/>
      <c r="E16" s="290">
        <f t="shared" si="0"/>
        <v>25378.59</v>
      </c>
      <c r="F16" s="295"/>
      <c r="G16" s="291">
        <f t="shared" si="1"/>
        <v>1588.62</v>
      </c>
      <c r="H16" s="291">
        <f t="shared" si="2"/>
        <v>23789.97</v>
      </c>
      <c r="I16" s="292"/>
    </row>
    <row r="17" spans="1:9" s="275" customFormat="1" ht="12.75" customHeight="1" x14ac:dyDescent="0.25">
      <c r="A17" s="286"/>
      <c r="B17" s="287"/>
      <c r="C17" s="288"/>
      <c r="D17" s="290"/>
      <c r="E17" s="290">
        <f t="shared" si="0"/>
        <v>25378.59</v>
      </c>
      <c r="F17" s="295"/>
      <c r="G17" s="291">
        <f t="shared" si="1"/>
        <v>1588.62</v>
      </c>
      <c r="H17" s="291">
        <f t="shared" si="2"/>
        <v>23789.97</v>
      </c>
      <c r="I17" s="292"/>
    </row>
    <row r="18" spans="1:9" s="275" customFormat="1" ht="12.75" customHeight="1" x14ac:dyDescent="0.25">
      <c r="A18" s="286"/>
      <c r="B18" s="287"/>
      <c r="C18" s="288"/>
      <c r="D18" s="290"/>
      <c r="E18" s="290">
        <f t="shared" si="0"/>
        <v>25378.59</v>
      </c>
      <c r="F18" s="295"/>
      <c r="G18" s="291">
        <f t="shared" si="1"/>
        <v>1588.62</v>
      </c>
      <c r="H18" s="291">
        <f t="shared" si="2"/>
        <v>23789.97</v>
      </c>
      <c r="I18" s="292"/>
    </row>
    <row r="19" spans="1:9" s="275" customFormat="1" ht="12.75" customHeight="1" x14ac:dyDescent="0.25">
      <c r="A19" s="286"/>
      <c r="B19" s="287"/>
      <c r="C19" s="288"/>
      <c r="D19" s="290"/>
      <c r="E19" s="290">
        <f t="shared" si="0"/>
        <v>25378.59</v>
      </c>
      <c r="F19" s="291"/>
      <c r="G19" s="291">
        <f t="shared" si="1"/>
        <v>1588.62</v>
      </c>
      <c r="H19" s="291">
        <f t="shared" si="2"/>
        <v>23789.97</v>
      </c>
      <c r="I19" s="292"/>
    </row>
    <row r="20" spans="1:9" s="275" customFormat="1" ht="12.75" customHeight="1" x14ac:dyDescent="0.25">
      <c r="A20" s="286"/>
      <c r="B20" s="287"/>
      <c r="C20" s="288"/>
      <c r="D20" s="290"/>
      <c r="E20" s="290">
        <f t="shared" si="0"/>
        <v>25378.59</v>
      </c>
      <c r="F20" s="291"/>
      <c r="G20" s="291">
        <f t="shared" si="1"/>
        <v>1588.62</v>
      </c>
      <c r="H20" s="291">
        <f t="shared" si="2"/>
        <v>23789.97</v>
      </c>
      <c r="I20" s="292"/>
    </row>
    <row r="21" spans="1:9" s="275" customFormat="1" ht="12.75" customHeight="1" x14ac:dyDescent="0.25">
      <c r="A21" s="286"/>
      <c r="B21" s="287"/>
      <c r="C21" s="296"/>
      <c r="D21" s="290"/>
      <c r="E21" s="290">
        <f t="shared" si="0"/>
        <v>25378.59</v>
      </c>
      <c r="F21" s="291"/>
      <c r="G21" s="291">
        <f t="shared" si="1"/>
        <v>1588.62</v>
      </c>
      <c r="H21" s="291">
        <f t="shared" si="2"/>
        <v>23789.97</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25378.59</v>
      </c>
      <c r="E23" s="302"/>
      <c r="F23" s="302">
        <f>SUM(F9:F22)</f>
        <v>1588.62</v>
      </c>
      <c r="G23" s="302"/>
      <c r="H23" s="302">
        <f>D23-F23</f>
        <v>23789.97</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25260.59</v>
      </c>
      <c r="E26" s="313"/>
      <c r="F26" s="313">
        <f>1588.62</f>
        <v>1588.62</v>
      </c>
      <c r="G26" s="313"/>
      <c r="H26" s="313">
        <f>D26-F26</f>
        <v>23671.97</v>
      </c>
      <c r="I26" s="292"/>
    </row>
    <row r="27" spans="1:9" s="275" customFormat="1" ht="12.75" customHeight="1" x14ac:dyDescent="0.25">
      <c r="A27" s="286"/>
      <c r="B27" s="288"/>
      <c r="C27" s="312" t="s">
        <v>113</v>
      </c>
      <c r="D27" s="313">
        <v>118</v>
      </c>
      <c r="E27" s="313"/>
      <c r="F27" s="313"/>
      <c r="G27" s="313"/>
      <c r="H27" s="313">
        <f>D27-F27</f>
        <v>118</v>
      </c>
      <c r="I27" s="292"/>
    </row>
    <row r="28" spans="1:9" s="275" customFormat="1" ht="12.75" customHeight="1" thickBot="1" x14ac:dyDescent="0.3">
      <c r="A28" s="286"/>
      <c r="B28" s="288"/>
      <c r="C28" s="314" t="s">
        <v>67</v>
      </c>
      <c r="D28" s="315">
        <f>SUM(D26:D27)</f>
        <v>25378.59</v>
      </c>
      <c r="E28" s="316"/>
      <c r="F28" s="315">
        <f>SUM(F26:F27)</f>
        <v>1588.62</v>
      </c>
      <c r="G28" s="316"/>
      <c r="H28" s="315">
        <f>SUM(H26:H27)</f>
        <v>23789.97</v>
      </c>
      <c r="I28" s="292"/>
    </row>
    <row r="29" spans="1:9" s="275" customFormat="1" ht="12.75" customHeight="1" thickTop="1" x14ac:dyDescent="0.25"/>
  </sheetData>
  <conditionalFormatting sqref="I8:I23">
    <cfRule type="cellIs" dxfId="26"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DC197-66BE-4602-92DC-64DDAA685C37}">
  <sheetPr>
    <pageSetUpPr fitToPage="1"/>
  </sheetPr>
  <dimension ref="A1:J25"/>
  <sheetViews>
    <sheetView zoomScaleNormal="100" workbookViewId="0">
      <selection activeCell="F28" sqref="F28"/>
    </sheetView>
  </sheetViews>
  <sheetFormatPr defaultColWidth="11.42578125" defaultRowHeight="15" customHeight="1" x14ac:dyDescent="0.25"/>
  <cols>
    <col min="1" max="1" width="24.5703125" customWidth="1"/>
    <col min="2" max="3" width="9.42578125" customWidth="1"/>
    <col min="4" max="4" width="34.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#9503.00'!B1</f>
        <v>HHS WRC CDC Freezer Repair</v>
      </c>
      <c r="B1" s="3"/>
      <c r="C1" s="3"/>
      <c r="D1" s="4"/>
      <c r="E1" s="4"/>
      <c r="F1" s="4"/>
      <c r="G1" s="33"/>
      <c r="H1" s="33"/>
      <c r="I1" s="34"/>
      <c r="J1" s="34"/>
    </row>
    <row r="2" spans="1:10" ht="15.75" x14ac:dyDescent="0.25">
      <c r="A2" s="6" t="str">
        <f>'RECAP #9503.00'!B2</f>
        <v>Project # 9503.00</v>
      </c>
      <c r="B2" s="5"/>
      <c r="C2" s="5"/>
      <c r="D2" s="4"/>
      <c r="E2" s="4"/>
      <c r="F2" s="4"/>
      <c r="G2" s="33"/>
      <c r="H2" s="33"/>
      <c r="I2" s="34"/>
      <c r="J2" s="34"/>
    </row>
    <row r="3" spans="1:10" ht="15.75" x14ac:dyDescent="0.25">
      <c r="A3" s="7" t="str">
        <f>'RECAP #9503.00'!B3</f>
        <v>Program code 950300</v>
      </c>
      <c r="B3" s="5"/>
      <c r="C3" s="5"/>
      <c r="D3" s="4"/>
      <c r="E3" s="8" t="str">
        <f>'RECAP #9503.00'!E3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247</v>
      </c>
      <c r="F6" s="49"/>
      <c r="G6" s="50"/>
      <c r="H6" s="46"/>
      <c r="I6" s="41"/>
      <c r="J6" s="34"/>
    </row>
    <row r="7" spans="1:10" ht="15.75" x14ac:dyDescent="0.25">
      <c r="A7" s="13" t="str">
        <f>'RECAP #9503.00'!B6</f>
        <v>Project Manager - Jennifer K.</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8500</v>
      </c>
      <c r="F9" s="290">
        <f>E9</f>
        <v>8500</v>
      </c>
      <c r="G9" s="291"/>
      <c r="H9" s="291"/>
      <c r="I9" s="291">
        <f>F9</f>
        <v>8500</v>
      </c>
      <c r="J9" s="292"/>
    </row>
    <row r="10" spans="1:10" s="275" customFormat="1" ht="12.75" customHeight="1" x14ac:dyDescent="0.25">
      <c r="A10" s="220" t="s">
        <v>322</v>
      </c>
      <c r="B10" s="221">
        <v>45968</v>
      </c>
      <c r="C10" s="329" t="s">
        <v>269</v>
      </c>
      <c r="D10" s="179" t="s">
        <v>323</v>
      </c>
      <c r="E10" s="290"/>
      <c r="F10" s="290">
        <f t="shared" ref="F10:F21" si="0">F9+E10</f>
        <v>8500</v>
      </c>
      <c r="G10" s="294">
        <v>63.24</v>
      </c>
      <c r="H10" s="291">
        <f t="shared" ref="H10:H21" si="1">H9+G10</f>
        <v>63.24</v>
      </c>
      <c r="I10" s="291">
        <f t="shared" ref="I10:I21" si="2">I9-G10+E10</f>
        <v>8436.76</v>
      </c>
      <c r="J10" s="292"/>
    </row>
    <row r="11" spans="1:10" s="275" customFormat="1" ht="12.75" customHeight="1" x14ac:dyDescent="0.25">
      <c r="A11" s="220" t="s">
        <v>322</v>
      </c>
      <c r="B11" s="221">
        <v>45968</v>
      </c>
      <c r="C11" s="329">
        <v>9500</v>
      </c>
      <c r="D11" s="222" t="s">
        <v>324</v>
      </c>
      <c r="E11" s="290"/>
      <c r="F11" s="290">
        <f t="shared" si="0"/>
        <v>8500</v>
      </c>
      <c r="G11" s="294">
        <v>625.70000000000005</v>
      </c>
      <c r="H11" s="291">
        <f t="shared" si="1"/>
        <v>688.94</v>
      </c>
      <c r="I11" s="291">
        <f t="shared" si="2"/>
        <v>7811.06</v>
      </c>
      <c r="J11" s="292"/>
    </row>
    <row r="12" spans="1:10" s="275" customFormat="1" ht="12.75" customHeight="1" x14ac:dyDescent="0.2">
      <c r="A12" s="213" t="s">
        <v>373</v>
      </c>
      <c r="B12" s="214">
        <v>45996</v>
      </c>
      <c r="C12" s="332" t="s">
        <v>269</v>
      </c>
      <c r="D12" s="175" t="s">
        <v>374</v>
      </c>
      <c r="E12" s="290"/>
      <c r="F12" s="290">
        <f t="shared" si="0"/>
        <v>8500</v>
      </c>
      <c r="G12" s="294">
        <v>44.83</v>
      </c>
      <c r="H12" s="291">
        <f t="shared" si="1"/>
        <v>733.7700000000001</v>
      </c>
      <c r="I12" s="291">
        <f t="shared" si="2"/>
        <v>7766.2300000000005</v>
      </c>
      <c r="J12" s="292"/>
    </row>
    <row r="13" spans="1:10" s="275" customFormat="1" ht="12.75" customHeight="1" x14ac:dyDescent="0.2">
      <c r="A13" s="213" t="s">
        <v>373</v>
      </c>
      <c r="B13" s="214">
        <v>45996</v>
      </c>
      <c r="C13" s="333">
        <v>9500</v>
      </c>
      <c r="D13" s="78" t="s">
        <v>375</v>
      </c>
      <c r="E13" s="290"/>
      <c r="F13" s="290">
        <f t="shared" si="0"/>
        <v>8500</v>
      </c>
      <c r="G13" s="294">
        <v>288.7</v>
      </c>
      <c r="H13" s="291">
        <f t="shared" si="1"/>
        <v>1022.47</v>
      </c>
      <c r="I13" s="291">
        <f t="shared" si="2"/>
        <v>7477.5300000000007</v>
      </c>
      <c r="J13" s="292"/>
    </row>
    <row r="14" spans="1:10" s="275" customFormat="1" ht="12.75" customHeight="1" x14ac:dyDescent="0.2">
      <c r="A14" s="213" t="s">
        <v>559</v>
      </c>
      <c r="B14" s="214">
        <v>46062</v>
      </c>
      <c r="C14" s="332" t="s">
        <v>269</v>
      </c>
      <c r="D14" s="175" t="s">
        <v>560</v>
      </c>
      <c r="E14" s="290"/>
      <c r="F14" s="290">
        <f t="shared" si="0"/>
        <v>8500</v>
      </c>
      <c r="G14" s="294">
        <v>21.39</v>
      </c>
      <c r="H14" s="291">
        <f t="shared" si="1"/>
        <v>1043.8600000000001</v>
      </c>
      <c r="I14" s="291">
        <f t="shared" si="2"/>
        <v>7456.14</v>
      </c>
      <c r="J14" s="292"/>
    </row>
    <row r="15" spans="1:10" s="275" customFormat="1" ht="12.75" customHeight="1" x14ac:dyDescent="0.2">
      <c r="A15" s="213" t="s">
        <v>559</v>
      </c>
      <c r="B15" s="214">
        <v>46062</v>
      </c>
      <c r="C15" s="333">
        <v>9500</v>
      </c>
      <c r="D15" s="78" t="s">
        <v>561</v>
      </c>
      <c r="E15" s="290"/>
      <c r="F15" s="290">
        <f t="shared" si="0"/>
        <v>8500</v>
      </c>
      <c r="G15" s="294">
        <v>270.10000000000002</v>
      </c>
      <c r="H15" s="291">
        <f t="shared" si="1"/>
        <v>1313.96</v>
      </c>
      <c r="I15" s="291">
        <f t="shared" si="2"/>
        <v>7186.04</v>
      </c>
      <c r="J15" s="292"/>
    </row>
    <row r="16" spans="1:10" s="275" customFormat="1" ht="12.75" customHeight="1" x14ac:dyDescent="0.2">
      <c r="A16" s="213" t="s">
        <v>663</v>
      </c>
      <c r="B16" s="214">
        <v>46090</v>
      </c>
      <c r="C16" s="332" t="s">
        <v>269</v>
      </c>
      <c r="D16" s="175" t="s">
        <v>664</v>
      </c>
      <c r="E16" s="290"/>
      <c r="F16" s="290">
        <f t="shared" si="0"/>
        <v>8500</v>
      </c>
      <c r="G16" s="294">
        <v>63.67</v>
      </c>
      <c r="H16" s="291">
        <f t="shared" si="1"/>
        <v>1377.63</v>
      </c>
      <c r="I16" s="291">
        <f t="shared" si="2"/>
        <v>7122.37</v>
      </c>
      <c r="J16" s="292"/>
    </row>
    <row r="17" spans="1:10" s="275" customFormat="1" ht="12.75" customHeight="1" x14ac:dyDescent="0.2">
      <c r="A17" s="213" t="s">
        <v>663</v>
      </c>
      <c r="B17" s="214">
        <v>46090</v>
      </c>
      <c r="C17" s="333">
        <v>9500</v>
      </c>
      <c r="D17" s="78" t="s">
        <v>665</v>
      </c>
      <c r="E17" s="290"/>
      <c r="F17" s="290">
        <f t="shared" si="0"/>
        <v>8500</v>
      </c>
      <c r="G17" s="294">
        <v>732.1</v>
      </c>
      <c r="H17" s="291">
        <f t="shared" si="1"/>
        <v>2109.73</v>
      </c>
      <c r="I17" s="291">
        <f t="shared" si="2"/>
        <v>6390.2699999999995</v>
      </c>
      <c r="J17" s="292"/>
    </row>
    <row r="18" spans="1:10" s="275" customFormat="1" ht="12.75" customHeight="1" x14ac:dyDescent="0.25">
      <c r="A18" s="317"/>
      <c r="B18" s="287"/>
      <c r="C18" s="329"/>
      <c r="D18" s="297"/>
      <c r="E18" s="290"/>
      <c r="F18" s="290">
        <f t="shared" si="0"/>
        <v>8500</v>
      </c>
      <c r="G18" s="295"/>
      <c r="H18" s="291">
        <f t="shared" si="1"/>
        <v>2109.73</v>
      </c>
      <c r="I18" s="291">
        <f t="shared" si="2"/>
        <v>6390.2699999999995</v>
      </c>
      <c r="J18" s="292"/>
    </row>
    <row r="19" spans="1:10" s="275" customFormat="1" ht="12.75" customHeight="1" x14ac:dyDescent="0.25">
      <c r="A19" s="298"/>
      <c r="B19" s="287"/>
      <c r="C19" s="329"/>
      <c r="D19" s="297"/>
      <c r="E19" s="290"/>
      <c r="F19" s="290">
        <f t="shared" si="0"/>
        <v>8500</v>
      </c>
      <c r="G19" s="291"/>
      <c r="H19" s="291">
        <f t="shared" si="1"/>
        <v>2109.73</v>
      </c>
      <c r="I19" s="291">
        <f t="shared" si="2"/>
        <v>6390.2699999999995</v>
      </c>
      <c r="J19" s="292"/>
    </row>
    <row r="20" spans="1:10" s="275" customFormat="1" ht="12.75" customHeight="1" x14ac:dyDescent="0.25">
      <c r="A20" s="298"/>
      <c r="B20" s="287"/>
      <c r="C20" s="329"/>
      <c r="D20" s="297"/>
      <c r="E20" s="290"/>
      <c r="F20" s="290">
        <f t="shared" si="0"/>
        <v>8500</v>
      </c>
      <c r="G20" s="291"/>
      <c r="H20" s="291">
        <f t="shared" si="1"/>
        <v>2109.73</v>
      </c>
      <c r="I20" s="291">
        <f t="shared" si="2"/>
        <v>6390.2699999999995</v>
      </c>
      <c r="J20" s="292"/>
    </row>
    <row r="21" spans="1:10" s="275" customFormat="1" ht="12.75" customHeight="1" x14ac:dyDescent="0.25">
      <c r="A21" s="298"/>
      <c r="B21" s="287"/>
      <c r="C21" s="329"/>
      <c r="D21" s="318"/>
      <c r="E21" s="290"/>
      <c r="F21" s="290">
        <f t="shared" si="0"/>
        <v>8500</v>
      </c>
      <c r="G21" s="291"/>
      <c r="H21" s="291">
        <f t="shared" si="1"/>
        <v>2109.73</v>
      </c>
      <c r="I21" s="291">
        <f t="shared" si="2"/>
        <v>6390.2699999999995</v>
      </c>
      <c r="J21" s="292"/>
    </row>
    <row r="22" spans="1:10" s="275" customFormat="1" ht="12.75" customHeight="1" x14ac:dyDescent="0.25">
      <c r="A22" s="286"/>
      <c r="B22" s="288"/>
      <c r="C22" s="329"/>
      <c r="D22" s="297"/>
      <c r="E22" s="291"/>
      <c r="F22" s="291"/>
      <c r="G22" s="291"/>
      <c r="H22" s="291"/>
      <c r="I22" s="291"/>
      <c r="J22" s="292"/>
    </row>
    <row r="23" spans="1:10" s="275" customFormat="1" ht="12.75" customHeight="1" thickBot="1" x14ac:dyDescent="0.3">
      <c r="A23" s="286"/>
      <c r="B23" s="300"/>
      <c r="C23" s="329"/>
      <c r="D23" s="301" t="s">
        <v>24</v>
      </c>
      <c r="E23" s="302">
        <f>SUM(E9:E22)</f>
        <v>8500</v>
      </c>
      <c r="F23" s="302"/>
      <c r="G23" s="302">
        <f>SUM(G9:G22)</f>
        <v>2109.73</v>
      </c>
      <c r="H23" s="302"/>
      <c r="I23" s="302">
        <f>E23-G23</f>
        <v>6390.27</v>
      </c>
      <c r="J23" s="292"/>
    </row>
    <row r="24" spans="1:10" s="275" customFormat="1" ht="12.75" customHeight="1" thickTop="1" x14ac:dyDescent="0.25"/>
    <row r="25" spans="1:10" s="275"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6A4A-D2DB-4BF9-86F9-56499D737205}">
  <sheetPr>
    <tabColor indexed="30"/>
    <pageSetUpPr fitToPage="1"/>
  </sheetPr>
  <dimension ref="A1:H24"/>
  <sheetViews>
    <sheetView zoomScaleNormal="100" workbookViewId="0">
      <selection activeCell="B27" sqref="B27:C2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#9503.00'!B1</f>
        <v>HHS WRC CDC Freezer Repair</v>
      </c>
      <c r="B1" s="3"/>
      <c r="C1" s="3"/>
      <c r="D1" s="3"/>
      <c r="E1" s="4"/>
      <c r="F1" s="4"/>
      <c r="G1" s="4"/>
      <c r="H1" s="33"/>
    </row>
    <row r="2" spans="1:8" ht="15.75" x14ac:dyDescent="0.25">
      <c r="A2" s="6" t="str">
        <f>'RECAP #9503.00'!B2</f>
        <v>Project # 9503.00</v>
      </c>
      <c r="B2" s="5"/>
      <c r="C2" s="5"/>
      <c r="D2" s="5"/>
      <c r="E2" s="4"/>
      <c r="F2" s="4"/>
      <c r="G2" s="4"/>
      <c r="H2" s="33"/>
    </row>
    <row r="3" spans="1:8" ht="15.75" x14ac:dyDescent="0.25">
      <c r="A3" s="7" t="str">
        <f>'RECAP #9503.00'!B3</f>
        <v>Program code 950300</v>
      </c>
      <c r="B3" s="5"/>
      <c r="C3" s="5"/>
      <c r="D3" s="5"/>
      <c r="E3" s="8" t="str">
        <f>'RECAP #9503.00'!E3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297</v>
      </c>
      <c r="F6" s="41"/>
      <c r="G6" s="44"/>
      <c r="H6" s="45"/>
    </row>
    <row r="7" spans="1:8" ht="15.75" x14ac:dyDescent="0.25">
      <c r="A7" s="13" t="str">
        <f>'RECAP #9503.00'!B6</f>
        <v>Project Manager - Jennifer K.</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ht="12.75" customHeight="1" x14ac:dyDescent="0.25">
      <c r="A9" s="67"/>
      <c r="B9" s="59"/>
      <c r="C9" s="73"/>
      <c r="D9" s="73"/>
      <c r="E9" s="85"/>
      <c r="F9" s="86"/>
      <c r="G9" s="74"/>
      <c r="H9" s="74">
        <f>G9</f>
        <v>0</v>
      </c>
    </row>
    <row r="10" spans="1:8" ht="12.75" customHeight="1" x14ac:dyDescent="0.25">
      <c r="A10" s="87"/>
      <c r="B10" s="59"/>
      <c r="C10" s="68"/>
      <c r="D10" s="68"/>
      <c r="E10" s="44"/>
      <c r="F10" s="28"/>
      <c r="G10" s="74"/>
      <c r="H10" s="74">
        <f>H9+G10</f>
        <v>0</v>
      </c>
    </row>
    <row r="11" spans="1:8" ht="12.75" customHeight="1" x14ac:dyDescent="0.25">
      <c r="A11" s="87"/>
      <c r="B11" s="59"/>
      <c r="C11" s="59"/>
      <c r="D11" s="59"/>
      <c r="E11" s="44"/>
      <c r="F11" s="28"/>
      <c r="G11" s="74"/>
      <c r="H11" s="74">
        <f t="shared" ref="H11:H20" si="0">H10+G11</f>
        <v>0</v>
      </c>
    </row>
    <row r="12" spans="1:8" ht="12.75" customHeight="1" x14ac:dyDescent="0.25">
      <c r="A12" s="87" t="s">
        <v>2</v>
      </c>
      <c r="B12" s="59" t="s">
        <v>2</v>
      </c>
      <c r="C12" s="59"/>
      <c r="D12" s="59"/>
      <c r="E12" s="44" t="s">
        <v>2</v>
      </c>
      <c r="F12" s="28"/>
      <c r="G12" s="74"/>
      <c r="H12" s="74">
        <f t="shared" si="0"/>
        <v>0</v>
      </c>
    </row>
    <row r="13" spans="1:8" ht="12.75" customHeight="1" x14ac:dyDescent="0.25">
      <c r="A13" s="87" t="s">
        <v>2</v>
      </c>
      <c r="B13" s="59" t="s">
        <v>2</v>
      </c>
      <c r="C13" s="59"/>
      <c r="D13" s="59"/>
      <c r="E13" s="44" t="s">
        <v>2</v>
      </c>
      <c r="F13" s="28"/>
      <c r="G13" s="74"/>
      <c r="H13" s="74">
        <f t="shared" si="0"/>
        <v>0</v>
      </c>
    </row>
    <row r="14" spans="1:8" ht="12.75" customHeight="1" x14ac:dyDescent="0.25">
      <c r="A14" s="87"/>
      <c r="B14" s="59"/>
      <c r="C14" s="59"/>
      <c r="D14" s="59"/>
      <c r="E14" s="44"/>
      <c r="F14" s="28"/>
      <c r="G14" s="74"/>
      <c r="H14" s="74">
        <f t="shared" si="0"/>
        <v>0</v>
      </c>
    </row>
    <row r="15" spans="1:8" ht="12.75" customHeight="1" x14ac:dyDescent="0.25">
      <c r="A15" s="87"/>
      <c r="B15" s="59"/>
      <c r="C15" s="59"/>
      <c r="D15" s="59"/>
      <c r="E15" s="88"/>
      <c r="F15" s="28"/>
      <c r="G15" s="74"/>
      <c r="H15" s="74">
        <f t="shared" si="0"/>
        <v>0</v>
      </c>
    </row>
    <row r="16" spans="1:8" ht="12.75" customHeight="1" x14ac:dyDescent="0.25">
      <c r="A16" s="87"/>
      <c r="B16" s="59"/>
      <c r="C16" s="59"/>
      <c r="D16" s="59"/>
      <c r="E16" s="44"/>
      <c r="F16" s="28"/>
      <c r="G16" s="74"/>
      <c r="H16" s="74">
        <f t="shared" si="0"/>
        <v>0</v>
      </c>
    </row>
    <row r="17" spans="1:8" ht="12.75" customHeight="1" x14ac:dyDescent="0.25">
      <c r="A17" s="73"/>
      <c r="B17" s="59"/>
      <c r="C17" s="59"/>
      <c r="D17" s="59"/>
      <c r="E17" s="44"/>
      <c r="F17" s="28"/>
      <c r="G17" s="74"/>
      <c r="H17" s="74">
        <f t="shared" si="0"/>
        <v>0</v>
      </c>
    </row>
    <row r="18" spans="1:8" ht="12.75" customHeight="1" x14ac:dyDescent="0.25">
      <c r="A18" s="73"/>
      <c r="B18" s="59"/>
      <c r="C18" s="59"/>
      <c r="D18" s="59"/>
      <c r="E18" s="44"/>
      <c r="F18" s="28"/>
      <c r="G18" s="74"/>
      <c r="H18" s="74">
        <f t="shared" si="0"/>
        <v>0</v>
      </c>
    </row>
    <row r="19" spans="1:8" ht="12.75" customHeight="1" x14ac:dyDescent="0.25">
      <c r="A19" s="73"/>
      <c r="B19" s="59"/>
      <c r="C19" s="59"/>
      <c r="D19" s="59"/>
      <c r="E19" s="44"/>
      <c r="F19" s="28"/>
      <c r="G19" s="74"/>
      <c r="H19" s="74">
        <f t="shared" si="0"/>
        <v>0</v>
      </c>
    </row>
    <row r="20" spans="1:8" ht="12.75" customHeight="1" x14ac:dyDescent="0.25">
      <c r="A20" s="73"/>
      <c r="B20" s="59"/>
      <c r="C20" s="59"/>
      <c r="D20" s="59"/>
      <c r="E20" s="44"/>
      <c r="F20" s="28"/>
      <c r="G20" s="74"/>
      <c r="H20" s="74">
        <f t="shared" si="0"/>
        <v>0</v>
      </c>
    </row>
    <row r="21" spans="1:8" ht="12.75" customHeight="1" x14ac:dyDescent="0.25">
      <c r="A21" s="73"/>
      <c r="B21" s="68"/>
      <c r="C21" s="68"/>
      <c r="D21" s="68"/>
      <c r="E21" s="44"/>
      <c r="F21" s="74"/>
      <c r="G21" s="44"/>
      <c r="H21" s="74"/>
    </row>
    <row r="22" spans="1:8" ht="12.75" customHeight="1" thickBot="1" x14ac:dyDescent="0.3">
      <c r="A22" s="89"/>
      <c r="B22" s="90"/>
      <c r="C22" s="90"/>
      <c r="D22" s="90"/>
      <c r="E22" s="91" t="s">
        <v>24</v>
      </c>
      <c r="F22" s="92"/>
      <c r="G22" s="71">
        <f>SUM(G9:G21)</f>
        <v>0</v>
      </c>
      <c r="H22" s="92"/>
    </row>
    <row r="23" spans="1:8" ht="12.75" customHeight="1" thickTop="1" x14ac:dyDescent="0.25"/>
    <row r="24" spans="1:8"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C687-A74F-4A88-95D5-724BD8258E96}">
  <sheetPr>
    <tabColor rgb="FF0070C0"/>
    <pageSetUpPr fitToPage="1"/>
  </sheetPr>
  <dimension ref="A1:I26"/>
  <sheetViews>
    <sheetView zoomScaleNormal="100" workbookViewId="0">
      <selection activeCell="J7" sqref="J7"/>
    </sheetView>
  </sheetViews>
  <sheetFormatPr defaultColWidth="11.42578125" defaultRowHeight="15" customHeight="1" x14ac:dyDescent="0.25"/>
  <cols>
    <col min="1" max="1" width="24.5703125" style="351" customWidth="1"/>
    <col min="2" max="2" width="9.42578125" style="351" customWidth="1"/>
    <col min="3" max="3" width="25" style="351" bestFit="1" customWidth="1"/>
    <col min="4" max="4" width="14.42578125" style="351" customWidth="1"/>
    <col min="5" max="5" width="13.5703125" style="351" customWidth="1"/>
    <col min="6" max="6" width="12.42578125" style="351" customWidth="1"/>
    <col min="7" max="7" width="10.5703125" style="351" customWidth="1"/>
    <col min="8" max="8" width="11.42578125" style="351" customWidth="1"/>
    <col min="9" max="9" width="6.42578125" style="351" bestFit="1" customWidth="1"/>
    <col min="10" max="256" width="11.42578125" style="351"/>
    <col min="257" max="264" width="11.42578125" style="351" customWidth="1"/>
    <col min="265" max="512" width="11.42578125" style="351"/>
    <col min="513" max="520" width="11.42578125" style="351" customWidth="1"/>
    <col min="521" max="768" width="11.42578125" style="351"/>
    <col min="769" max="776" width="11.42578125" style="351" customWidth="1"/>
    <col min="777" max="1024" width="11.42578125" style="351"/>
    <col min="1025" max="1032" width="11.42578125" style="351" customWidth="1"/>
    <col min="1033" max="1280" width="11.42578125" style="351"/>
    <col min="1281" max="1288" width="11.42578125" style="351" customWidth="1"/>
    <col min="1289" max="1536" width="11.42578125" style="351"/>
    <col min="1537" max="1544" width="11.42578125" style="351" customWidth="1"/>
    <col min="1545" max="1792" width="11.42578125" style="351"/>
    <col min="1793" max="1800" width="11.42578125" style="351" customWidth="1"/>
    <col min="1801" max="2048" width="11.42578125" style="351"/>
    <col min="2049" max="2056" width="11.42578125" style="351" customWidth="1"/>
    <col min="2057" max="2304" width="11.42578125" style="351"/>
    <col min="2305" max="2312" width="11.42578125" style="351" customWidth="1"/>
    <col min="2313" max="2560" width="11.42578125" style="351"/>
    <col min="2561" max="2568" width="11.42578125" style="351" customWidth="1"/>
    <col min="2569" max="2816" width="11.42578125" style="351"/>
    <col min="2817" max="2824" width="11.42578125" style="351" customWidth="1"/>
    <col min="2825" max="3072" width="11.42578125" style="351"/>
    <col min="3073" max="3080" width="11.42578125" style="351" customWidth="1"/>
    <col min="3081" max="3328" width="11.42578125" style="351"/>
    <col min="3329" max="3336" width="11.42578125" style="351" customWidth="1"/>
    <col min="3337" max="3584" width="11.42578125" style="351"/>
    <col min="3585" max="3592" width="11.42578125" style="351" customWidth="1"/>
    <col min="3593" max="3840" width="11.42578125" style="351"/>
    <col min="3841" max="3848" width="11.42578125" style="351" customWidth="1"/>
    <col min="3849" max="4096" width="11.42578125" style="351"/>
    <col min="4097" max="4104" width="11.42578125" style="351" customWidth="1"/>
    <col min="4105" max="4352" width="11.42578125" style="351"/>
    <col min="4353" max="4360" width="11.42578125" style="351" customWidth="1"/>
    <col min="4361" max="4608" width="11.42578125" style="351"/>
    <col min="4609" max="4616" width="11.42578125" style="351" customWidth="1"/>
    <col min="4617" max="4864" width="11.42578125" style="351"/>
    <col min="4865" max="4872" width="11.42578125" style="351" customWidth="1"/>
    <col min="4873" max="5120" width="11.42578125" style="351"/>
    <col min="5121" max="5128" width="11.42578125" style="351" customWidth="1"/>
    <col min="5129" max="5376" width="11.42578125" style="351"/>
    <col min="5377" max="5384" width="11.42578125" style="351" customWidth="1"/>
    <col min="5385" max="5632" width="11.42578125" style="351"/>
    <col min="5633" max="5640" width="11.42578125" style="351" customWidth="1"/>
    <col min="5641" max="5888" width="11.42578125" style="351"/>
    <col min="5889" max="5896" width="11.42578125" style="351" customWidth="1"/>
    <col min="5897" max="6144" width="11.42578125" style="351"/>
    <col min="6145" max="6152" width="11.42578125" style="351" customWidth="1"/>
    <col min="6153" max="6400" width="11.42578125" style="351"/>
    <col min="6401" max="6408" width="11.42578125" style="351" customWidth="1"/>
    <col min="6409" max="6656" width="11.42578125" style="351"/>
    <col min="6657" max="6664" width="11.42578125" style="351" customWidth="1"/>
    <col min="6665" max="6912" width="11.42578125" style="351"/>
    <col min="6913" max="6920" width="11.42578125" style="351" customWidth="1"/>
    <col min="6921" max="7168" width="11.42578125" style="351"/>
    <col min="7169" max="7176" width="11.42578125" style="351" customWidth="1"/>
    <col min="7177" max="7424" width="11.42578125" style="351"/>
    <col min="7425" max="7432" width="11.42578125" style="351" customWidth="1"/>
    <col min="7433" max="7680" width="11.42578125" style="351"/>
    <col min="7681" max="7688" width="11.42578125" style="351" customWidth="1"/>
    <col min="7689" max="7936" width="11.42578125" style="351"/>
    <col min="7937" max="7944" width="11.42578125" style="351" customWidth="1"/>
    <col min="7945" max="8192" width="11.42578125" style="351"/>
    <col min="8193" max="8200" width="11.42578125" style="351" customWidth="1"/>
    <col min="8201" max="8448" width="11.42578125" style="351"/>
    <col min="8449" max="8456" width="11.42578125" style="351" customWidth="1"/>
    <col min="8457" max="8704" width="11.42578125" style="351"/>
    <col min="8705" max="8712" width="11.42578125" style="351" customWidth="1"/>
    <col min="8713" max="8960" width="11.42578125" style="351"/>
    <col min="8961" max="8968" width="11.42578125" style="351" customWidth="1"/>
    <col min="8969" max="9216" width="11.42578125" style="351"/>
    <col min="9217" max="9224" width="11.42578125" style="351" customWidth="1"/>
    <col min="9225" max="9472" width="11.42578125" style="351"/>
    <col min="9473" max="9480" width="11.42578125" style="351" customWidth="1"/>
    <col min="9481" max="9728" width="11.42578125" style="351"/>
    <col min="9729" max="9736" width="11.42578125" style="351" customWidth="1"/>
    <col min="9737" max="9984" width="11.42578125" style="351"/>
    <col min="9985" max="9992" width="11.42578125" style="351" customWidth="1"/>
    <col min="9993" max="10240" width="11.42578125" style="351"/>
    <col min="10241" max="10248" width="11.42578125" style="351" customWidth="1"/>
    <col min="10249" max="10496" width="11.42578125" style="351"/>
    <col min="10497" max="10504" width="11.42578125" style="351" customWidth="1"/>
    <col min="10505" max="10752" width="11.42578125" style="351"/>
    <col min="10753" max="10760" width="11.42578125" style="351" customWidth="1"/>
    <col min="10761" max="11008" width="11.42578125" style="351"/>
    <col min="11009" max="11016" width="11.42578125" style="351" customWidth="1"/>
    <col min="11017" max="11264" width="11.42578125" style="351"/>
    <col min="11265" max="11272" width="11.42578125" style="351" customWidth="1"/>
    <col min="11273" max="11520" width="11.42578125" style="351"/>
    <col min="11521" max="11528" width="11.42578125" style="351" customWidth="1"/>
    <col min="11529" max="11776" width="11.42578125" style="351"/>
    <col min="11777" max="11784" width="11.42578125" style="351" customWidth="1"/>
    <col min="11785" max="12032" width="11.42578125" style="351"/>
    <col min="12033" max="12040" width="11.42578125" style="351" customWidth="1"/>
    <col min="12041" max="12288" width="11.42578125" style="351"/>
    <col min="12289" max="12296" width="11.42578125" style="351" customWidth="1"/>
    <col min="12297" max="12544" width="11.42578125" style="351"/>
    <col min="12545" max="12552" width="11.42578125" style="351" customWidth="1"/>
    <col min="12553" max="12800" width="11.42578125" style="351"/>
    <col min="12801" max="12808" width="11.42578125" style="351" customWidth="1"/>
    <col min="12809" max="13056" width="11.42578125" style="351"/>
    <col min="13057" max="13064" width="11.42578125" style="351" customWidth="1"/>
    <col min="13065" max="13312" width="11.42578125" style="351"/>
    <col min="13313" max="13320" width="11.42578125" style="351" customWidth="1"/>
    <col min="13321" max="13568" width="11.42578125" style="351"/>
    <col min="13569" max="13576" width="11.42578125" style="351" customWidth="1"/>
    <col min="13577" max="13824" width="11.42578125" style="351"/>
    <col min="13825" max="13832" width="11.42578125" style="351" customWidth="1"/>
    <col min="13833" max="14080" width="11.42578125" style="351"/>
    <col min="14081" max="14088" width="11.42578125" style="351" customWidth="1"/>
    <col min="14089" max="14336" width="11.42578125" style="351"/>
    <col min="14337" max="14344" width="11.42578125" style="351" customWidth="1"/>
    <col min="14345" max="14592" width="11.42578125" style="351"/>
    <col min="14593" max="14600" width="11.42578125" style="351" customWidth="1"/>
    <col min="14601" max="14848" width="11.42578125" style="351"/>
    <col min="14849" max="14856" width="11.42578125" style="351" customWidth="1"/>
    <col min="14857" max="15104" width="11.42578125" style="351"/>
    <col min="15105" max="15112" width="11.42578125" style="351" customWidth="1"/>
    <col min="15113" max="15360" width="11.42578125" style="351"/>
    <col min="15361" max="15368" width="11.42578125" style="351" customWidth="1"/>
    <col min="15369" max="15616" width="11.42578125" style="351"/>
    <col min="15617" max="15624" width="11.42578125" style="351" customWidth="1"/>
    <col min="15625" max="15872" width="11.42578125" style="351"/>
    <col min="15873" max="15880" width="11.42578125" style="351" customWidth="1"/>
    <col min="15881" max="16128" width="11.42578125" style="351"/>
    <col min="16129" max="16136" width="11.42578125" style="351" customWidth="1"/>
    <col min="16137" max="16384" width="11.42578125" style="351"/>
  </cols>
  <sheetData>
    <row r="1" spans="1:9" ht="24.75" customHeight="1" x14ac:dyDescent="0.25">
      <c r="A1" s="35" t="str">
        <f>'RECAP #9503.00'!B1</f>
        <v>HHS WRC CDC Freezer Repair</v>
      </c>
      <c r="B1" s="35"/>
      <c r="C1" s="185"/>
      <c r="D1" s="185"/>
      <c r="E1" s="185"/>
      <c r="F1" s="223"/>
      <c r="G1" s="223"/>
      <c r="H1" s="224"/>
      <c r="I1" s="224"/>
    </row>
    <row r="2" spans="1:9" ht="15.75" x14ac:dyDescent="0.25">
      <c r="A2" s="186" t="str">
        <f>'RECAP #9503.00'!B2</f>
        <v>Project # 9503.00</v>
      </c>
      <c r="B2" s="182"/>
      <c r="C2" s="185"/>
      <c r="D2" s="185"/>
      <c r="E2" s="185"/>
      <c r="F2" s="223"/>
      <c r="G2" s="223"/>
      <c r="H2" s="224"/>
      <c r="I2" s="224"/>
    </row>
    <row r="3" spans="1:9" ht="15.75" x14ac:dyDescent="0.25">
      <c r="A3" s="187" t="str">
        <f>'RECAP #9503.00'!B3</f>
        <v>Program code 950300</v>
      </c>
      <c r="B3" s="182"/>
      <c r="C3" s="185"/>
      <c r="D3" s="188" t="str">
        <f>'RECAP #9503.00'!E3</f>
        <v>Major Program 4E19</v>
      </c>
      <c r="E3" s="185"/>
      <c r="F3" s="223"/>
      <c r="G3" s="223"/>
      <c r="H3" s="224"/>
      <c r="I3" s="224"/>
    </row>
    <row r="4" spans="1:9" ht="15.75" x14ac:dyDescent="0.25">
      <c r="A4" s="35" t="s">
        <v>292</v>
      </c>
      <c r="B4" s="36"/>
      <c r="C4" s="224"/>
      <c r="D4" s="225" t="s">
        <v>293</v>
      </c>
      <c r="E4" s="189"/>
      <c r="F4" s="223"/>
      <c r="G4" s="223"/>
      <c r="H4" s="224"/>
      <c r="I4" s="224"/>
    </row>
    <row r="5" spans="1:9" ht="15.75" x14ac:dyDescent="0.25">
      <c r="A5" s="226" t="s">
        <v>106</v>
      </c>
      <c r="B5" s="224"/>
      <c r="C5" s="227"/>
      <c r="D5" s="43" t="s">
        <v>294</v>
      </c>
      <c r="E5" s="49"/>
      <c r="F5" s="228"/>
      <c r="G5" s="223"/>
      <c r="H5" s="224"/>
      <c r="I5" s="224"/>
    </row>
    <row r="6" spans="1:9" ht="15.75" x14ac:dyDescent="0.25">
      <c r="A6" s="192" t="str">
        <f>'RECAP #9503.00'!B6</f>
        <v>Project Manager - Jennifer K.</v>
      </c>
      <c r="B6" s="36"/>
      <c r="C6" s="229"/>
      <c r="D6" s="230" t="s">
        <v>295</v>
      </c>
      <c r="E6" s="49"/>
      <c r="F6" s="50"/>
      <c r="G6" s="223"/>
      <c r="H6" s="224"/>
      <c r="I6" s="224"/>
    </row>
    <row r="7" spans="1:9" ht="15.75" x14ac:dyDescent="0.25">
      <c r="A7" s="224"/>
      <c r="B7" s="231"/>
      <c r="C7" s="231"/>
      <c r="D7" s="224"/>
      <c r="E7" s="52"/>
      <c r="F7" s="53"/>
      <c r="G7" s="223"/>
      <c r="H7" s="224"/>
      <c r="I7" s="224" t="s">
        <v>2</v>
      </c>
    </row>
    <row r="8" spans="1:9" ht="32.25" thickBot="1" x14ac:dyDescent="0.3">
      <c r="A8" s="232" t="s">
        <v>16</v>
      </c>
      <c r="B8" s="233" t="s">
        <v>17</v>
      </c>
      <c r="C8" s="234" t="s">
        <v>18</v>
      </c>
      <c r="D8" s="235" t="s">
        <v>19</v>
      </c>
      <c r="E8" s="235" t="s">
        <v>20</v>
      </c>
      <c r="F8" s="235" t="s">
        <v>21</v>
      </c>
      <c r="G8" s="235" t="s">
        <v>22</v>
      </c>
      <c r="H8" s="235" t="s">
        <v>23</v>
      </c>
      <c r="I8" s="224"/>
    </row>
    <row r="9" spans="1:9" s="359" customFormat="1" ht="12.75" customHeight="1" x14ac:dyDescent="0.25">
      <c r="A9" s="352" t="s">
        <v>296</v>
      </c>
      <c r="B9" s="353">
        <v>45947</v>
      </c>
      <c r="C9" s="354" t="s">
        <v>111</v>
      </c>
      <c r="D9" s="355">
        <v>6050</v>
      </c>
      <c r="E9" s="356">
        <f>D9</f>
        <v>6050</v>
      </c>
      <c r="F9" s="357"/>
      <c r="G9" s="357"/>
      <c r="H9" s="357">
        <f>E9</f>
        <v>6050</v>
      </c>
      <c r="I9" s="358"/>
    </row>
    <row r="10" spans="1:9" s="359" customFormat="1" ht="12.75" customHeight="1" x14ac:dyDescent="0.25">
      <c r="A10" s="352" t="s">
        <v>296</v>
      </c>
      <c r="B10" s="360">
        <v>46063</v>
      </c>
      <c r="C10" s="354" t="s">
        <v>478</v>
      </c>
      <c r="D10" s="355">
        <v>840</v>
      </c>
      <c r="E10" s="356">
        <f t="shared" ref="E10:E21" si="0">E9+D10</f>
        <v>6890</v>
      </c>
      <c r="F10" s="361"/>
      <c r="G10" s="357">
        <f t="shared" ref="G10:G21" si="1">G9+F10</f>
        <v>0</v>
      </c>
      <c r="H10" s="357">
        <f t="shared" ref="H10:H21" si="2">H9-F10+D10</f>
        <v>6890</v>
      </c>
      <c r="I10" s="358"/>
    </row>
    <row r="11" spans="1:9" s="359" customFormat="1" ht="12.75" customHeight="1" x14ac:dyDescent="0.25">
      <c r="A11" s="352" t="s">
        <v>650</v>
      </c>
      <c r="B11" s="353">
        <v>46090</v>
      </c>
      <c r="C11" s="354" t="s">
        <v>651</v>
      </c>
      <c r="D11" s="356"/>
      <c r="E11" s="356">
        <f t="shared" si="0"/>
        <v>6890</v>
      </c>
      <c r="F11" s="361">
        <v>6890</v>
      </c>
      <c r="G11" s="357">
        <f t="shared" si="1"/>
        <v>6890</v>
      </c>
      <c r="H11" s="357">
        <f t="shared" si="2"/>
        <v>0</v>
      </c>
      <c r="I11" s="358"/>
    </row>
    <row r="12" spans="1:9" s="359" customFormat="1" ht="12.75" customHeight="1" x14ac:dyDescent="0.25">
      <c r="A12" s="352"/>
      <c r="B12" s="353"/>
      <c r="C12" s="354"/>
      <c r="D12" s="356"/>
      <c r="E12" s="356">
        <f t="shared" si="0"/>
        <v>6890</v>
      </c>
      <c r="F12" s="361"/>
      <c r="G12" s="357">
        <f t="shared" si="1"/>
        <v>6890</v>
      </c>
      <c r="H12" s="357">
        <f t="shared" si="2"/>
        <v>0</v>
      </c>
      <c r="I12" s="358"/>
    </row>
    <row r="13" spans="1:9" s="359" customFormat="1" ht="12.75" customHeight="1" x14ac:dyDescent="0.25">
      <c r="A13" s="352"/>
      <c r="B13" s="353"/>
      <c r="C13" s="354"/>
      <c r="D13" s="356"/>
      <c r="E13" s="356">
        <f t="shared" si="0"/>
        <v>6890</v>
      </c>
      <c r="F13" s="361"/>
      <c r="G13" s="357">
        <f t="shared" si="1"/>
        <v>6890</v>
      </c>
      <c r="H13" s="357">
        <f t="shared" si="2"/>
        <v>0</v>
      </c>
      <c r="I13" s="358"/>
    </row>
    <row r="14" spans="1:9" s="359" customFormat="1" ht="12.75" customHeight="1" x14ac:dyDescent="0.25">
      <c r="A14" s="352"/>
      <c r="B14" s="353"/>
      <c r="C14" s="354"/>
      <c r="D14" s="356"/>
      <c r="E14" s="356">
        <f t="shared" si="0"/>
        <v>6890</v>
      </c>
      <c r="F14" s="357"/>
      <c r="G14" s="357">
        <f t="shared" si="1"/>
        <v>6890</v>
      </c>
      <c r="H14" s="357">
        <f t="shared" si="2"/>
        <v>0</v>
      </c>
      <c r="I14" s="358"/>
    </row>
    <row r="15" spans="1:9" s="359" customFormat="1" ht="12.75" customHeight="1" x14ac:dyDescent="0.25">
      <c r="A15" s="352"/>
      <c r="B15" s="353"/>
      <c r="C15" s="354"/>
      <c r="D15" s="356"/>
      <c r="E15" s="356">
        <f t="shared" si="0"/>
        <v>6890</v>
      </c>
      <c r="F15" s="361"/>
      <c r="G15" s="357">
        <f t="shared" si="1"/>
        <v>6890</v>
      </c>
      <c r="H15" s="357">
        <f t="shared" si="2"/>
        <v>0</v>
      </c>
      <c r="I15" s="358"/>
    </row>
    <row r="16" spans="1:9" s="359" customFormat="1" ht="12.75" customHeight="1" x14ac:dyDescent="0.25">
      <c r="A16" s="352"/>
      <c r="B16" s="353"/>
      <c r="C16" s="354"/>
      <c r="D16" s="356"/>
      <c r="E16" s="356">
        <f t="shared" si="0"/>
        <v>6890</v>
      </c>
      <c r="F16" s="361"/>
      <c r="G16" s="357">
        <f t="shared" si="1"/>
        <v>6890</v>
      </c>
      <c r="H16" s="357">
        <f t="shared" si="2"/>
        <v>0</v>
      </c>
      <c r="I16" s="358"/>
    </row>
    <row r="17" spans="1:9" s="359" customFormat="1" ht="12.75" customHeight="1" x14ac:dyDescent="0.25">
      <c r="A17" s="352"/>
      <c r="B17" s="353"/>
      <c r="C17" s="354"/>
      <c r="D17" s="356"/>
      <c r="E17" s="356">
        <f t="shared" si="0"/>
        <v>6890</v>
      </c>
      <c r="F17" s="361"/>
      <c r="G17" s="357">
        <f t="shared" si="1"/>
        <v>6890</v>
      </c>
      <c r="H17" s="357">
        <f t="shared" si="2"/>
        <v>0</v>
      </c>
      <c r="I17" s="358"/>
    </row>
    <row r="18" spans="1:9" s="359" customFormat="1" ht="12.75" customHeight="1" x14ac:dyDescent="0.25">
      <c r="A18" s="352"/>
      <c r="B18" s="353"/>
      <c r="C18" s="354"/>
      <c r="D18" s="356"/>
      <c r="E18" s="356">
        <f t="shared" si="0"/>
        <v>6890</v>
      </c>
      <c r="F18" s="361"/>
      <c r="G18" s="357">
        <f t="shared" si="1"/>
        <v>6890</v>
      </c>
      <c r="H18" s="357">
        <f t="shared" si="2"/>
        <v>0</v>
      </c>
      <c r="I18" s="358"/>
    </row>
    <row r="19" spans="1:9" s="359" customFormat="1" ht="12.75" customHeight="1" x14ac:dyDescent="0.25">
      <c r="A19" s="352"/>
      <c r="B19" s="353"/>
      <c r="C19" s="354"/>
      <c r="D19" s="356"/>
      <c r="E19" s="356">
        <f t="shared" si="0"/>
        <v>6890</v>
      </c>
      <c r="F19" s="357"/>
      <c r="G19" s="357">
        <f t="shared" si="1"/>
        <v>6890</v>
      </c>
      <c r="H19" s="357">
        <f t="shared" si="2"/>
        <v>0</v>
      </c>
      <c r="I19" s="358"/>
    </row>
    <row r="20" spans="1:9" s="359" customFormat="1" ht="12.75" customHeight="1" x14ac:dyDescent="0.25">
      <c r="A20" s="352"/>
      <c r="B20" s="353"/>
      <c r="C20" s="354"/>
      <c r="D20" s="356"/>
      <c r="E20" s="356">
        <f t="shared" si="0"/>
        <v>6890</v>
      </c>
      <c r="F20" s="357"/>
      <c r="G20" s="357">
        <f t="shared" si="1"/>
        <v>6890</v>
      </c>
      <c r="H20" s="357">
        <f t="shared" si="2"/>
        <v>0</v>
      </c>
      <c r="I20" s="358"/>
    </row>
    <row r="21" spans="1:9" s="359" customFormat="1" ht="12.75" customHeight="1" x14ac:dyDescent="0.25">
      <c r="A21" s="352"/>
      <c r="B21" s="353"/>
      <c r="C21" s="363"/>
      <c r="D21" s="356"/>
      <c r="E21" s="356">
        <f t="shared" si="0"/>
        <v>6890</v>
      </c>
      <c r="F21" s="357"/>
      <c r="G21" s="357">
        <f t="shared" si="1"/>
        <v>6890</v>
      </c>
      <c r="H21" s="357">
        <f t="shared" si="2"/>
        <v>0</v>
      </c>
      <c r="I21" s="358"/>
    </row>
    <row r="22" spans="1:9" s="359" customFormat="1" ht="12.75" customHeight="1" x14ac:dyDescent="0.25">
      <c r="A22" s="352"/>
      <c r="B22" s="354"/>
      <c r="C22" s="364"/>
      <c r="D22" s="357"/>
      <c r="E22" s="357"/>
      <c r="F22" s="357"/>
      <c r="G22" s="357"/>
      <c r="H22" s="357"/>
      <c r="I22" s="358"/>
    </row>
    <row r="23" spans="1:9" s="359" customFormat="1" ht="12.75" customHeight="1" thickBot="1" x14ac:dyDescent="0.3">
      <c r="A23" s="352"/>
      <c r="B23" s="365"/>
      <c r="C23" s="366" t="s">
        <v>24</v>
      </c>
      <c r="D23" s="367">
        <f>SUM(D9:D22)</f>
        <v>6890</v>
      </c>
      <c r="E23" s="367"/>
      <c r="F23" s="367">
        <f>SUM(F9:F22)</f>
        <v>6890</v>
      </c>
      <c r="G23" s="367"/>
      <c r="H23" s="367">
        <f>D23-F23</f>
        <v>0</v>
      </c>
      <c r="I23" s="368" t="s">
        <v>454</v>
      </c>
    </row>
    <row r="24" spans="1:9" s="359" customFormat="1" ht="12.75" customHeight="1" thickTop="1" x14ac:dyDescent="0.25"/>
    <row r="25" spans="1:9" s="359" customFormat="1" ht="12.75" customHeight="1" x14ac:dyDescent="0.25"/>
    <row r="26" spans="1:9" s="359" customFormat="1" ht="12.75" customHeight="1" x14ac:dyDescent="0.25"/>
  </sheetData>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1791-E134-4AD6-A671-09B9C4DEDBE0}">
  <sheetPr>
    <pageSetUpPr fitToPage="1"/>
  </sheetPr>
  <dimension ref="A1:G16"/>
  <sheetViews>
    <sheetView zoomScaleNormal="100" workbookViewId="0">
      <selection activeCell="E22" sqref="E2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160</v>
      </c>
      <c r="C1" s="3"/>
      <c r="D1" s="4"/>
      <c r="E1" s="4"/>
      <c r="F1" s="4"/>
      <c r="G1" s="4"/>
    </row>
    <row r="2" spans="1:7" ht="15.75" x14ac:dyDescent="0.25">
      <c r="A2" s="1"/>
      <c r="B2" s="6" t="s">
        <v>212</v>
      </c>
      <c r="C2" s="5"/>
      <c r="D2" s="4"/>
      <c r="E2" s="4"/>
      <c r="F2" s="4"/>
      <c r="G2" s="4"/>
    </row>
    <row r="3" spans="1:7" ht="15.75" x14ac:dyDescent="0.25">
      <c r="A3" s="1"/>
      <c r="B3" s="7" t="s">
        <v>213</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211</v>
      </c>
      <c r="C6" s="14"/>
      <c r="D6" s="15" t="s">
        <v>2</v>
      </c>
      <c r="E6" s="16"/>
      <c r="F6" s="16"/>
      <c r="G6" s="16"/>
    </row>
    <row r="7" spans="1:7" ht="37.5" customHeight="1" thickBot="1" x14ac:dyDescent="0.3">
      <c r="A7" s="1"/>
      <c r="B7" s="18" t="s">
        <v>2</v>
      </c>
      <c r="C7" s="19" t="s">
        <v>3</v>
      </c>
      <c r="D7" s="20" t="s">
        <v>4</v>
      </c>
      <c r="E7" s="21" t="s">
        <v>5</v>
      </c>
      <c r="F7" s="22" t="s">
        <v>6</v>
      </c>
      <c r="G7" s="22" t="s">
        <v>7</v>
      </c>
    </row>
    <row r="8" spans="1:7" ht="28.35" customHeight="1" x14ac:dyDescent="0.25">
      <c r="A8" s="1"/>
      <c r="B8" s="1" t="s">
        <v>8</v>
      </c>
      <c r="C8" s="23">
        <f>FINANCIAL!G31</f>
        <v>400000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03"/>
      <c r="B10" s="304" t="s">
        <v>286</v>
      </c>
      <c r="C10" s="305"/>
      <c r="D10" s="308">
        <f>'#9504.00 Story Construction'!D23</f>
        <v>26309.62</v>
      </c>
      <c r="E10" s="308">
        <f>'#9504.00 Story Construction'!F23</f>
        <v>3615.78</v>
      </c>
      <c r="F10" s="308">
        <f>'#9504.00 Story Construction'!H23</f>
        <v>22693.84</v>
      </c>
      <c r="G10" s="307"/>
    </row>
    <row r="11" spans="1:7" s="275" customFormat="1" ht="12.75" customHeight="1" x14ac:dyDescent="0.25">
      <c r="A11" s="303"/>
      <c r="B11" s="304" t="s">
        <v>10</v>
      </c>
      <c r="C11" s="305"/>
      <c r="D11" s="308">
        <f>'#9504.00 PM TIME'!E23</f>
        <v>8000</v>
      </c>
      <c r="E11" s="308">
        <f>'#9504.00 PM TIME'!G23</f>
        <v>1918.6</v>
      </c>
      <c r="F11" s="308">
        <f>'#9504.00 PM TIME'!I23</f>
        <v>6081.4</v>
      </c>
      <c r="G11" s="307"/>
    </row>
    <row r="12" spans="1:7" s="275" customFormat="1" ht="12.75" customHeight="1" x14ac:dyDescent="0.25">
      <c r="A12" s="303"/>
      <c r="B12" s="304" t="s">
        <v>11</v>
      </c>
      <c r="C12" s="306"/>
      <c r="D12" s="309">
        <f>'#9504.00 Misc'!G22</f>
        <v>0</v>
      </c>
      <c r="E12" s="309">
        <f>'#9504.00 Misc'!H22</f>
        <v>0</v>
      </c>
      <c r="F12" s="308">
        <f>D12-E12</f>
        <v>0</v>
      </c>
      <c r="G12" s="307"/>
    </row>
    <row r="13" spans="1:7" s="275" customFormat="1" ht="12.75" customHeight="1" x14ac:dyDescent="0.25">
      <c r="A13" s="303"/>
      <c r="B13" s="304" t="s">
        <v>116</v>
      </c>
      <c r="C13" s="306"/>
      <c r="D13" s="309">
        <f>'#9504.00 OPN Architects'!D23</f>
        <v>82800</v>
      </c>
      <c r="E13" s="309">
        <f>'#9504.00 OPN Architects'!F23</f>
        <v>0</v>
      </c>
      <c r="F13" s="308">
        <f>'#9504.00 OPN Architects'!H23</f>
        <v>82800</v>
      </c>
      <c r="G13" s="307"/>
    </row>
    <row r="14" spans="1:7" s="275" customFormat="1" ht="12.75" customHeight="1" x14ac:dyDescent="0.25">
      <c r="A14" s="310"/>
      <c r="B14" s="304"/>
      <c r="C14" s="306"/>
      <c r="D14" s="309"/>
      <c r="E14" s="309"/>
      <c r="F14" s="308"/>
      <c r="G14" s="311"/>
    </row>
    <row r="15" spans="1:7" ht="24" customHeight="1" thickBot="1" x14ac:dyDescent="0.3">
      <c r="A15" s="30"/>
      <c r="B15" s="31" t="s">
        <v>12</v>
      </c>
      <c r="C15" s="32">
        <f>SUM(C8:C14)</f>
        <v>400000</v>
      </c>
      <c r="D15" s="32">
        <f>SUM(D8:D14)</f>
        <v>117109.62</v>
      </c>
      <c r="E15" s="32">
        <f>SUM(E8:E14)</f>
        <v>5534.38</v>
      </c>
      <c r="F15" s="32">
        <f>SUM(D15-E15)</f>
        <v>111575.23999999999</v>
      </c>
      <c r="G15" s="32">
        <f>C8-D15</f>
        <v>282890.38</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D6070-98E0-41B4-A770-C12C8C2C07A6}">
  <sheetPr>
    <pageSetUpPr fitToPage="1"/>
  </sheetPr>
  <dimension ref="A1:I30"/>
  <sheetViews>
    <sheetView zoomScaleNormal="100" workbookViewId="0">
      <selection activeCell="F31" sqref="F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#9504.00'!B1</f>
        <v>HHS WRC Food Service Elevator Replacement</v>
      </c>
      <c r="B1" s="3"/>
      <c r="C1" s="4"/>
      <c r="D1" s="4"/>
      <c r="E1" s="4"/>
      <c r="F1" s="33"/>
      <c r="G1" s="33"/>
      <c r="H1" s="34"/>
      <c r="I1" s="34"/>
    </row>
    <row r="2" spans="1:9" ht="15.75" x14ac:dyDescent="0.25">
      <c r="A2" s="6" t="str">
        <f>'RECAP #9504.00'!B2</f>
        <v>Project # 9504.00</v>
      </c>
      <c r="B2" s="5"/>
      <c r="C2" s="4"/>
      <c r="D2" s="4"/>
      <c r="E2" s="4"/>
      <c r="F2" s="33"/>
      <c r="G2" s="33"/>
      <c r="H2" s="34"/>
      <c r="I2" s="34"/>
    </row>
    <row r="3" spans="1:9" ht="15.75" x14ac:dyDescent="0.25">
      <c r="A3" s="7" t="str">
        <f>'RECAP #9504.00'!B3</f>
        <v>Program code 950400</v>
      </c>
      <c r="B3" s="5"/>
      <c r="C3" s="4"/>
      <c r="D3" s="8" t="str">
        <f>'RECAP #9504.00'!E3</f>
        <v>Major Program 4E19</v>
      </c>
      <c r="E3" s="4"/>
      <c r="F3" s="33"/>
      <c r="G3" s="33"/>
      <c r="H3" s="34"/>
      <c r="I3" s="34"/>
    </row>
    <row r="4" spans="1:9" ht="15.75" x14ac:dyDescent="0.25">
      <c r="A4" s="35" t="s">
        <v>286</v>
      </c>
      <c r="B4" s="36"/>
      <c r="C4" s="37"/>
      <c r="D4" s="38" t="s">
        <v>287</v>
      </c>
      <c r="E4" s="39"/>
      <c r="F4" s="33"/>
      <c r="G4" s="33"/>
      <c r="H4" s="34"/>
      <c r="I4" s="34"/>
    </row>
    <row r="5" spans="1:9" ht="15.75" x14ac:dyDescent="0.25">
      <c r="A5" s="40" t="s">
        <v>330</v>
      </c>
      <c r="B5" s="41"/>
      <c r="C5" s="42"/>
      <c r="D5" s="43" t="s">
        <v>288</v>
      </c>
      <c r="E5" s="44"/>
      <c r="F5" s="45"/>
      <c r="G5" s="46"/>
      <c r="H5" s="41"/>
      <c r="I5" s="34"/>
    </row>
    <row r="6" spans="1:9" ht="15.75" x14ac:dyDescent="0.25">
      <c r="A6" s="13" t="str">
        <f>'RECAP #9504.00'!B6</f>
        <v>Project Manager - Jennifer K.</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494</v>
      </c>
      <c r="B9" s="287">
        <v>46052</v>
      </c>
      <c r="C9" s="288" t="s">
        <v>111</v>
      </c>
      <c r="D9" s="289">
        <v>26309.62</v>
      </c>
      <c r="E9" s="290">
        <f>D9</f>
        <v>26309.62</v>
      </c>
      <c r="F9" s="291"/>
      <c r="G9" s="291"/>
      <c r="H9" s="291">
        <f>E9</f>
        <v>26309.62</v>
      </c>
      <c r="I9" s="292"/>
    </row>
    <row r="10" spans="1:9" s="275" customFormat="1" ht="12.75" customHeight="1" x14ac:dyDescent="0.25">
      <c r="A10" s="286" t="s">
        <v>677</v>
      </c>
      <c r="B10" s="293">
        <v>46099</v>
      </c>
      <c r="C10" s="288" t="s">
        <v>678</v>
      </c>
      <c r="D10" s="290"/>
      <c r="E10" s="290">
        <f t="shared" ref="E10:E21" si="0">E9+D10</f>
        <v>26309.62</v>
      </c>
      <c r="F10" s="294">
        <v>3615.78</v>
      </c>
      <c r="G10" s="291">
        <f t="shared" ref="G10:G21" si="1">G9+F10</f>
        <v>3615.78</v>
      </c>
      <c r="H10" s="291">
        <f t="shared" ref="H10:H21" si="2">H9-F10+D10</f>
        <v>22693.84</v>
      </c>
      <c r="I10" s="292"/>
    </row>
    <row r="11" spans="1:9" s="275" customFormat="1" ht="12.75" customHeight="1" x14ac:dyDescent="0.25">
      <c r="A11" s="286"/>
      <c r="B11" s="287"/>
      <c r="C11" s="288"/>
      <c r="D11" s="290"/>
      <c r="E11" s="290">
        <f t="shared" si="0"/>
        <v>26309.62</v>
      </c>
      <c r="F11" s="295"/>
      <c r="G11" s="291">
        <f t="shared" si="1"/>
        <v>3615.78</v>
      </c>
      <c r="H11" s="291">
        <f t="shared" si="2"/>
        <v>22693.84</v>
      </c>
      <c r="I11" s="292"/>
    </row>
    <row r="12" spans="1:9" s="275" customFormat="1" ht="12.75" customHeight="1" x14ac:dyDescent="0.25">
      <c r="A12" s="286"/>
      <c r="B12" s="287"/>
      <c r="C12" s="288"/>
      <c r="D12" s="290"/>
      <c r="E12" s="290">
        <f t="shared" si="0"/>
        <v>26309.62</v>
      </c>
      <c r="F12" s="295"/>
      <c r="G12" s="291">
        <f t="shared" si="1"/>
        <v>3615.78</v>
      </c>
      <c r="H12" s="291">
        <f t="shared" si="2"/>
        <v>22693.84</v>
      </c>
      <c r="I12" s="292"/>
    </row>
    <row r="13" spans="1:9" s="275" customFormat="1" ht="12.75" customHeight="1" x14ac:dyDescent="0.25">
      <c r="A13" s="286"/>
      <c r="B13" s="287"/>
      <c r="C13" s="288"/>
      <c r="D13" s="290"/>
      <c r="E13" s="290">
        <f t="shared" si="0"/>
        <v>26309.62</v>
      </c>
      <c r="F13" s="295"/>
      <c r="G13" s="291">
        <f t="shared" si="1"/>
        <v>3615.78</v>
      </c>
      <c r="H13" s="291">
        <f t="shared" si="2"/>
        <v>22693.84</v>
      </c>
      <c r="I13" s="292"/>
    </row>
    <row r="14" spans="1:9" s="275" customFormat="1" ht="12.75" customHeight="1" x14ac:dyDescent="0.25">
      <c r="A14" s="286"/>
      <c r="B14" s="287"/>
      <c r="C14" s="288"/>
      <c r="D14" s="290"/>
      <c r="E14" s="290">
        <f t="shared" si="0"/>
        <v>26309.62</v>
      </c>
      <c r="F14" s="291"/>
      <c r="G14" s="291">
        <f t="shared" si="1"/>
        <v>3615.78</v>
      </c>
      <c r="H14" s="291">
        <f t="shared" si="2"/>
        <v>22693.84</v>
      </c>
      <c r="I14" s="292"/>
    </row>
    <row r="15" spans="1:9" s="275" customFormat="1" ht="12.75" customHeight="1" x14ac:dyDescent="0.25">
      <c r="A15" s="286"/>
      <c r="B15" s="287"/>
      <c r="C15" s="288"/>
      <c r="D15" s="290"/>
      <c r="E15" s="290">
        <f t="shared" si="0"/>
        <v>26309.62</v>
      </c>
      <c r="F15" s="295"/>
      <c r="G15" s="291">
        <f t="shared" si="1"/>
        <v>3615.78</v>
      </c>
      <c r="H15" s="291">
        <f t="shared" si="2"/>
        <v>22693.84</v>
      </c>
      <c r="I15" s="292"/>
    </row>
    <row r="16" spans="1:9" s="275" customFormat="1" ht="12.75" customHeight="1" x14ac:dyDescent="0.25">
      <c r="A16" s="286"/>
      <c r="B16" s="287"/>
      <c r="C16" s="288"/>
      <c r="D16" s="290"/>
      <c r="E16" s="290">
        <f t="shared" si="0"/>
        <v>26309.62</v>
      </c>
      <c r="F16" s="295"/>
      <c r="G16" s="291">
        <f t="shared" si="1"/>
        <v>3615.78</v>
      </c>
      <c r="H16" s="291">
        <f t="shared" si="2"/>
        <v>22693.84</v>
      </c>
      <c r="I16" s="292"/>
    </row>
    <row r="17" spans="1:9" s="275" customFormat="1" ht="12.75" customHeight="1" x14ac:dyDescent="0.25">
      <c r="A17" s="286"/>
      <c r="B17" s="287"/>
      <c r="C17" s="288"/>
      <c r="D17" s="290"/>
      <c r="E17" s="290">
        <f t="shared" si="0"/>
        <v>26309.62</v>
      </c>
      <c r="F17" s="295"/>
      <c r="G17" s="291">
        <f t="shared" si="1"/>
        <v>3615.78</v>
      </c>
      <c r="H17" s="291">
        <f t="shared" si="2"/>
        <v>22693.84</v>
      </c>
      <c r="I17" s="292"/>
    </row>
    <row r="18" spans="1:9" s="275" customFormat="1" ht="12.75" customHeight="1" x14ac:dyDescent="0.25">
      <c r="A18" s="286"/>
      <c r="B18" s="287"/>
      <c r="C18" s="288"/>
      <c r="D18" s="290"/>
      <c r="E18" s="290">
        <f t="shared" si="0"/>
        <v>26309.62</v>
      </c>
      <c r="F18" s="295"/>
      <c r="G18" s="291">
        <f t="shared" si="1"/>
        <v>3615.78</v>
      </c>
      <c r="H18" s="291">
        <f t="shared" si="2"/>
        <v>22693.84</v>
      </c>
      <c r="I18" s="292"/>
    </row>
    <row r="19" spans="1:9" s="275" customFormat="1" ht="12.75" customHeight="1" x14ac:dyDescent="0.25">
      <c r="A19" s="286"/>
      <c r="B19" s="287"/>
      <c r="C19" s="288"/>
      <c r="D19" s="290"/>
      <c r="E19" s="290">
        <f t="shared" si="0"/>
        <v>26309.62</v>
      </c>
      <c r="F19" s="291"/>
      <c r="G19" s="291">
        <f t="shared" si="1"/>
        <v>3615.78</v>
      </c>
      <c r="H19" s="291">
        <f t="shared" si="2"/>
        <v>22693.84</v>
      </c>
      <c r="I19" s="292"/>
    </row>
    <row r="20" spans="1:9" s="275" customFormat="1" ht="12.75" customHeight="1" x14ac:dyDescent="0.25">
      <c r="A20" s="286"/>
      <c r="B20" s="287"/>
      <c r="C20" s="288"/>
      <c r="D20" s="290"/>
      <c r="E20" s="290">
        <f t="shared" si="0"/>
        <v>26309.62</v>
      </c>
      <c r="F20" s="291"/>
      <c r="G20" s="291">
        <f t="shared" si="1"/>
        <v>3615.78</v>
      </c>
      <c r="H20" s="291">
        <f t="shared" si="2"/>
        <v>22693.84</v>
      </c>
      <c r="I20" s="292"/>
    </row>
    <row r="21" spans="1:9" s="275" customFormat="1" ht="12.75" customHeight="1" x14ac:dyDescent="0.25">
      <c r="A21" s="286"/>
      <c r="B21" s="287"/>
      <c r="C21" s="296"/>
      <c r="D21" s="290"/>
      <c r="E21" s="290">
        <f t="shared" si="0"/>
        <v>26309.62</v>
      </c>
      <c r="F21" s="291"/>
      <c r="G21" s="291">
        <f t="shared" si="1"/>
        <v>3615.78</v>
      </c>
      <c r="H21" s="291">
        <f t="shared" si="2"/>
        <v>22693.84</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26309.62</v>
      </c>
      <c r="E23" s="302"/>
      <c r="F23" s="302">
        <f>SUM(F9:F22)</f>
        <v>3615.78</v>
      </c>
      <c r="G23" s="302"/>
      <c r="H23" s="302">
        <f>D23-F23</f>
        <v>22693.84</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26191.62</v>
      </c>
      <c r="E26" s="313"/>
      <c r="F26" s="313">
        <f>3586.28</f>
        <v>3586.28</v>
      </c>
      <c r="G26" s="313"/>
      <c r="H26" s="313">
        <f>D26-F26</f>
        <v>22605.34</v>
      </c>
      <c r="I26" s="292"/>
    </row>
    <row r="27" spans="1:9" s="275" customFormat="1" ht="12.75" customHeight="1" x14ac:dyDescent="0.25">
      <c r="A27" s="286"/>
      <c r="B27" s="288"/>
      <c r="C27" s="312" t="s">
        <v>113</v>
      </c>
      <c r="D27" s="313">
        <v>118</v>
      </c>
      <c r="E27" s="313"/>
      <c r="F27" s="313">
        <f>29.5</f>
        <v>29.5</v>
      </c>
      <c r="G27" s="313"/>
      <c r="H27" s="313">
        <f>D27-F27</f>
        <v>88.5</v>
      </c>
      <c r="I27" s="292"/>
    </row>
    <row r="28" spans="1:9" s="275" customFormat="1" ht="13.5" customHeight="1" thickBot="1" x14ac:dyDescent="0.3">
      <c r="A28" s="286"/>
      <c r="B28" s="288"/>
      <c r="C28" s="314" t="s">
        <v>67</v>
      </c>
      <c r="D28" s="315">
        <f>SUM(D26:D27)</f>
        <v>26309.62</v>
      </c>
      <c r="E28" s="316"/>
      <c r="F28" s="315">
        <f>SUM(F26:F27)</f>
        <v>3615.78</v>
      </c>
      <c r="G28" s="316"/>
      <c r="H28" s="315">
        <f>SUM(H26:H27)</f>
        <v>22693.84</v>
      </c>
      <c r="I28" s="292"/>
    </row>
    <row r="29" spans="1:9" s="275" customFormat="1" ht="12.75" customHeight="1" thickTop="1" x14ac:dyDescent="0.25"/>
    <row r="30" spans="1:9" s="275" customFormat="1" ht="12.75" customHeight="1" x14ac:dyDescent="0.25"/>
  </sheetData>
  <conditionalFormatting sqref="I8:I23">
    <cfRule type="cellIs" dxfId="25"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FDFC2-77A7-4354-80B1-C124650F3140}">
  <sheetPr>
    <pageSetUpPr fitToPage="1"/>
  </sheetPr>
  <dimension ref="A1:J29"/>
  <sheetViews>
    <sheetView zoomScaleNormal="100" workbookViewId="0">
      <selection activeCell="G31" sqref="G31"/>
    </sheetView>
  </sheetViews>
  <sheetFormatPr defaultColWidth="11.42578125" defaultRowHeight="15" customHeight="1" x14ac:dyDescent="0.25"/>
  <cols>
    <col min="1" max="1" width="24.5703125" customWidth="1"/>
    <col min="2" max="3" width="9.42578125" customWidth="1"/>
    <col min="4" max="4" width="36.57031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#9504.00'!B1</f>
        <v>HHS WRC Food Service Elevator Replacement</v>
      </c>
      <c r="B1" s="3"/>
      <c r="C1" s="3"/>
      <c r="D1" s="4"/>
      <c r="E1" s="4"/>
      <c r="F1" s="4"/>
      <c r="G1" s="33"/>
      <c r="H1" s="33"/>
      <c r="I1" s="34"/>
      <c r="J1" s="34"/>
    </row>
    <row r="2" spans="1:10" ht="15.75" x14ac:dyDescent="0.25">
      <c r="A2" s="6" t="str">
        <f>'RECAP #9504.00'!B2</f>
        <v>Project # 9504.00</v>
      </c>
      <c r="B2" s="5"/>
      <c r="C2" s="5"/>
      <c r="D2" s="4"/>
      <c r="E2" s="4"/>
      <c r="F2" s="4"/>
      <c r="G2" s="33"/>
      <c r="H2" s="33"/>
      <c r="I2" s="34"/>
      <c r="J2" s="34"/>
    </row>
    <row r="3" spans="1:10" ht="15.75" x14ac:dyDescent="0.25">
      <c r="A3" s="7" t="str">
        <f>'RECAP #9504.00'!B3</f>
        <v>Program code 950400</v>
      </c>
      <c r="B3" s="5"/>
      <c r="C3" s="5"/>
      <c r="D3" s="4"/>
      <c r="E3" s="8" t="str">
        <f>'RECAP #9504.00'!E3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248</v>
      </c>
      <c r="F6" s="49"/>
      <c r="G6" s="50"/>
      <c r="H6" s="46"/>
      <c r="I6" s="41"/>
      <c r="J6" s="34"/>
    </row>
    <row r="7" spans="1:10" ht="15.75" x14ac:dyDescent="0.25">
      <c r="A7" s="13" t="str">
        <f>'RECAP #9504.00'!B6</f>
        <v>Project Manager - Jennifer K.</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8000</v>
      </c>
      <c r="F9" s="290">
        <f>E9</f>
        <v>8000</v>
      </c>
      <c r="G9" s="291"/>
      <c r="H9" s="291"/>
      <c r="I9" s="291">
        <f>F9</f>
        <v>8000</v>
      </c>
      <c r="J9" s="292"/>
    </row>
    <row r="10" spans="1:10" s="275" customFormat="1" ht="12.75" customHeight="1" x14ac:dyDescent="0.25">
      <c r="A10" s="220" t="s">
        <v>322</v>
      </c>
      <c r="B10" s="221">
        <v>45968</v>
      </c>
      <c r="C10" s="329" t="s">
        <v>269</v>
      </c>
      <c r="D10" s="179" t="s">
        <v>323</v>
      </c>
      <c r="E10" s="290"/>
      <c r="F10" s="290">
        <f t="shared" ref="F10:F21" si="0">F9+E10</f>
        <v>8000</v>
      </c>
      <c r="G10" s="294">
        <v>35.92</v>
      </c>
      <c r="H10" s="291">
        <f t="shared" ref="H10:H21" si="1">H9+G10</f>
        <v>35.92</v>
      </c>
      <c r="I10" s="291">
        <f t="shared" ref="I10:I21" si="2">I9-G10+E10</f>
        <v>7964.08</v>
      </c>
      <c r="J10" s="292"/>
    </row>
    <row r="11" spans="1:10" s="275" customFormat="1" ht="12.75" customHeight="1" x14ac:dyDescent="0.25">
      <c r="A11" s="220" t="s">
        <v>322</v>
      </c>
      <c r="B11" s="221">
        <v>45968</v>
      </c>
      <c r="C11" s="329">
        <v>9500</v>
      </c>
      <c r="D11" s="222" t="s">
        <v>324</v>
      </c>
      <c r="E11" s="290"/>
      <c r="F11" s="290">
        <f t="shared" si="0"/>
        <v>8000</v>
      </c>
      <c r="G11" s="294">
        <v>357.7</v>
      </c>
      <c r="H11" s="291">
        <f t="shared" si="1"/>
        <v>393.62</v>
      </c>
      <c r="I11" s="291">
        <f t="shared" si="2"/>
        <v>7606.38</v>
      </c>
      <c r="J11" s="292"/>
    </row>
    <row r="12" spans="1:10" s="275" customFormat="1" ht="12.75" customHeight="1" x14ac:dyDescent="0.2">
      <c r="A12" s="213" t="s">
        <v>373</v>
      </c>
      <c r="B12" s="214">
        <v>45996</v>
      </c>
      <c r="C12" s="332" t="s">
        <v>269</v>
      </c>
      <c r="D12" s="175" t="s">
        <v>374</v>
      </c>
      <c r="E12" s="290"/>
      <c r="F12" s="290">
        <f t="shared" si="0"/>
        <v>8000</v>
      </c>
      <c r="G12" s="294">
        <v>6.5</v>
      </c>
      <c r="H12" s="291">
        <f t="shared" si="1"/>
        <v>400.12</v>
      </c>
      <c r="I12" s="291">
        <f t="shared" si="2"/>
        <v>7599.88</v>
      </c>
      <c r="J12" s="292"/>
    </row>
    <row r="13" spans="1:10" s="275" customFormat="1" ht="12.75" customHeight="1" x14ac:dyDescent="0.2">
      <c r="A13" s="213" t="s">
        <v>373</v>
      </c>
      <c r="B13" s="214">
        <v>45996</v>
      </c>
      <c r="C13" s="333">
        <v>9500</v>
      </c>
      <c r="D13" s="78" t="s">
        <v>375</v>
      </c>
      <c r="E13" s="290"/>
      <c r="F13" s="290">
        <f t="shared" si="0"/>
        <v>8000</v>
      </c>
      <c r="G13" s="294">
        <v>41</v>
      </c>
      <c r="H13" s="291">
        <f t="shared" si="1"/>
        <v>441.12</v>
      </c>
      <c r="I13" s="291">
        <f t="shared" si="2"/>
        <v>7558.88</v>
      </c>
      <c r="J13" s="292"/>
    </row>
    <row r="14" spans="1:10" s="275" customFormat="1" ht="12.75" customHeight="1" x14ac:dyDescent="0.2">
      <c r="A14" s="213" t="s">
        <v>559</v>
      </c>
      <c r="B14" s="214">
        <v>46062</v>
      </c>
      <c r="C14" s="332" t="s">
        <v>269</v>
      </c>
      <c r="D14" s="175" t="s">
        <v>560</v>
      </c>
      <c r="E14" s="290"/>
      <c r="F14" s="290">
        <f t="shared" si="0"/>
        <v>8000</v>
      </c>
      <c r="G14" s="294">
        <v>25.47</v>
      </c>
      <c r="H14" s="291">
        <f t="shared" si="1"/>
        <v>466.59000000000003</v>
      </c>
      <c r="I14" s="291">
        <f t="shared" si="2"/>
        <v>7533.41</v>
      </c>
      <c r="J14" s="292"/>
    </row>
    <row r="15" spans="1:10" s="275" customFormat="1" ht="12.75" customHeight="1" x14ac:dyDescent="0.2">
      <c r="A15" s="213" t="s">
        <v>559</v>
      </c>
      <c r="B15" s="214">
        <v>46062</v>
      </c>
      <c r="C15" s="333">
        <v>9500</v>
      </c>
      <c r="D15" s="78" t="s">
        <v>561</v>
      </c>
      <c r="E15" s="290"/>
      <c r="F15" s="290">
        <f t="shared" si="0"/>
        <v>8000</v>
      </c>
      <c r="G15" s="294">
        <v>314.39999999999998</v>
      </c>
      <c r="H15" s="291">
        <f t="shared" si="1"/>
        <v>780.99</v>
      </c>
      <c r="I15" s="291">
        <f t="shared" si="2"/>
        <v>7219.01</v>
      </c>
      <c r="J15" s="292"/>
    </row>
    <row r="16" spans="1:10" s="275" customFormat="1" ht="12.75" customHeight="1" x14ac:dyDescent="0.2">
      <c r="A16" s="213" t="s">
        <v>663</v>
      </c>
      <c r="B16" s="214">
        <v>46090</v>
      </c>
      <c r="C16" s="332" t="s">
        <v>269</v>
      </c>
      <c r="D16" s="175" t="s">
        <v>664</v>
      </c>
      <c r="E16" s="290"/>
      <c r="F16" s="290">
        <f t="shared" si="0"/>
        <v>8000</v>
      </c>
      <c r="G16" s="294">
        <v>90.61</v>
      </c>
      <c r="H16" s="291">
        <f t="shared" si="1"/>
        <v>871.6</v>
      </c>
      <c r="I16" s="291">
        <f t="shared" si="2"/>
        <v>7128.4000000000005</v>
      </c>
      <c r="J16" s="292"/>
    </row>
    <row r="17" spans="1:10" s="275" customFormat="1" ht="12.75" customHeight="1" x14ac:dyDescent="0.2">
      <c r="A17" s="213" t="s">
        <v>663</v>
      </c>
      <c r="B17" s="214">
        <v>46090</v>
      </c>
      <c r="C17" s="333">
        <v>9500</v>
      </c>
      <c r="D17" s="78" t="s">
        <v>665</v>
      </c>
      <c r="E17" s="290"/>
      <c r="F17" s="290">
        <f t="shared" si="0"/>
        <v>8000</v>
      </c>
      <c r="G17" s="294">
        <v>1047</v>
      </c>
      <c r="H17" s="291">
        <f t="shared" si="1"/>
        <v>1918.6</v>
      </c>
      <c r="I17" s="291">
        <f t="shared" si="2"/>
        <v>6081.4000000000005</v>
      </c>
      <c r="J17" s="292"/>
    </row>
    <row r="18" spans="1:10" s="275" customFormat="1" ht="12.75" customHeight="1" x14ac:dyDescent="0.25">
      <c r="A18" s="317"/>
      <c r="B18" s="287"/>
      <c r="C18" s="329"/>
      <c r="D18" s="297"/>
      <c r="E18" s="290"/>
      <c r="F18" s="290">
        <f t="shared" si="0"/>
        <v>8000</v>
      </c>
      <c r="G18" s="295"/>
      <c r="H18" s="291">
        <f t="shared" si="1"/>
        <v>1918.6</v>
      </c>
      <c r="I18" s="291">
        <f t="shared" si="2"/>
        <v>6081.4000000000005</v>
      </c>
      <c r="J18" s="292"/>
    </row>
    <row r="19" spans="1:10" s="275" customFormat="1" ht="12.75" customHeight="1" x14ac:dyDescent="0.25">
      <c r="A19" s="298"/>
      <c r="B19" s="287"/>
      <c r="C19" s="329"/>
      <c r="D19" s="297"/>
      <c r="E19" s="290"/>
      <c r="F19" s="290">
        <f t="shared" si="0"/>
        <v>8000</v>
      </c>
      <c r="G19" s="291"/>
      <c r="H19" s="291">
        <f t="shared" si="1"/>
        <v>1918.6</v>
      </c>
      <c r="I19" s="291">
        <f t="shared" si="2"/>
        <v>6081.4000000000005</v>
      </c>
      <c r="J19" s="292"/>
    </row>
    <row r="20" spans="1:10" s="275" customFormat="1" ht="12.75" customHeight="1" x14ac:dyDescent="0.25">
      <c r="A20" s="298"/>
      <c r="B20" s="287"/>
      <c r="C20" s="329"/>
      <c r="D20" s="297"/>
      <c r="E20" s="290"/>
      <c r="F20" s="290">
        <f t="shared" si="0"/>
        <v>8000</v>
      </c>
      <c r="G20" s="291"/>
      <c r="H20" s="291">
        <f t="shared" si="1"/>
        <v>1918.6</v>
      </c>
      <c r="I20" s="291">
        <f t="shared" si="2"/>
        <v>6081.4000000000005</v>
      </c>
      <c r="J20" s="292"/>
    </row>
    <row r="21" spans="1:10" s="275" customFormat="1" ht="12.75" customHeight="1" x14ac:dyDescent="0.25">
      <c r="A21" s="298"/>
      <c r="B21" s="287"/>
      <c r="C21" s="329"/>
      <c r="D21" s="318"/>
      <c r="E21" s="290"/>
      <c r="F21" s="290">
        <f t="shared" si="0"/>
        <v>8000</v>
      </c>
      <c r="G21" s="291"/>
      <c r="H21" s="291">
        <f t="shared" si="1"/>
        <v>1918.6</v>
      </c>
      <c r="I21" s="291">
        <f t="shared" si="2"/>
        <v>6081.4000000000005</v>
      </c>
      <c r="J21" s="292"/>
    </row>
    <row r="22" spans="1:10" s="275" customFormat="1" ht="12.75" customHeight="1" x14ac:dyDescent="0.25">
      <c r="A22" s="286"/>
      <c r="B22" s="288"/>
      <c r="C22" s="329"/>
      <c r="D22" s="297"/>
      <c r="E22" s="291"/>
      <c r="F22" s="291"/>
      <c r="G22" s="291"/>
      <c r="H22" s="291"/>
      <c r="I22" s="291"/>
      <c r="J22" s="292"/>
    </row>
    <row r="23" spans="1:10" s="275" customFormat="1" ht="12.75" customHeight="1" thickBot="1" x14ac:dyDescent="0.3">
      <c r="A23" s="286"/>
      <c r="B23" s="300"/>
      <c r="C23" s="329"/>
      <c r="D23" s="301" t="s">
        <v>24</v>
      </c>
      <c r="E23" s="302">
        <f>SUM(E9:E22)</f>
        <v>8000</v>
      </c>
      <c r="F23" s="302"/>
      <c r="G23" s="302">
        <f>SUM(G9:G22)</f>
        <v>1918.6</v>
      </c>
      <c r="H23" s="302"/>
      <c r="I23" s="302">
        <f>E23-G23</f>
        <v>6081.4</v>
      </c>
      <c r="J23" s="292"/>
    </row>
    <row r="24" spans="1:10" s="275" customFormat="1" ht="12.75" customHeight="1" thickTop="1" x14ac:dyDescent="0.25"/>
    <row r="25" spans="1:10" s="275" customFormat="1" ht="12.75" customHeight="1" x14ac:dyDescent="0.25"/>
    <row r="26" spans="1:10" s="275" customFormat="1" ht="12.75" customHeight="1" x14ac:dyDescent="0.25"/>
    <row r="27" spans="1:10" s="275" customFormat="1" ht="12.75" customHeight="1" x14ac:dyDescent="0.25"/>
    <row r="28" spans="1:10" s="275" customFormat="1" ht="12.75" customHeight="1" x14ac:dyDescent="0.25"/>
    <row r="29" spans="1:10" s="275"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F604-48B1-41B3-99CE-4DAAB7DD86ED}">
  <sheetPr>
    <tabColor indexed="30"/>
    <pageSetUpPr fitToPage="1"/>
  </sheetPr>
  <dimension ref="A1:H23"/>
  <sheetViews>
    <sheetView zoomScaleNormal="100" workbookViewId="0">
      <selection activeCell="E14" sqref="E1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#9504.00'!B1</f>
        <v>HHS WRC Food Service Elevator Replacement</v>
      </c>
      <c r="B1" s="3"/>
      <c r="C1" s="3"/>
      <c r="D1" s="3"/>
      <c r="E1" s="4"/>
      <c r="F1" s="4"/>
      <c r="G1" s="4"/>
      <c r="H1" s="33"/>
    </row>
    <row r="2" spans="1:8" ht="15.75" x14ac:dyDescent="0.25">
      <c r="A2" s="6" t="str">
        <f>'RECAP #9504.00'!B2</f>
        <v>Project # 9504.00</v>
      </c>
      <c r="B2" s="5"/>
      <c r="C2" s="5"/>
      <c r="D2" s="5"/>
      <c r="E2" s="4"/>
      <c r="F2" s="4"/>
      <c r="G2" s="4"/>
      <c r="H2" s="33"/>
    </row>
    <row r="3" spans="1:8" ht="15.75" x14ac:dyDescent="0.25">
      <c r="A3" s="7" t="str">
        <f>'RECAP #9504.00'!B3</f>
        <v>Program code 950400</v>
      </c>
      <c r="B3" s="5"/>
      <c r="C3" s="5"/>
      <c r="D3" s="5"/>
      <c r="E3" s="8" t="str">
        <f>'RECAP #9504.00'!E3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297</v>
      </c>
      <c r="F6" s="41"/>
      <c r="G6" s="44"/>
      <c r="H6" s="45"/>
    </row>
    <row r="7" spans="1:8" ht="15.75" x14ac:dyDescent="0.25">
      <c r="A7" s="13" t="str">
        <f>'RECAP #9504.00'!B6</f>
        <v>Project Manager - Jennifer K.</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s="275"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6F273-78CF-42E7-83BF-D93E17D9D8A3}">
  <sheetPr>
    <pageSetUpPr fitToPage="1"/>
  </sheetPr>
  <dimension ref="A1:I52"/>
  <sheetViews>
    <sheetView zoomScaleNormal="100" workbookViewId="0">
      <selection activeCell="C15" sqref="C1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#9440.01'!B1</f>
        <v>DAS CC Historical Building Elevators Replacement PH1</v>
      </c>
      <c r="B1" s="3"/>
      <c r="C1" s="4"/>
      <c r="D1" s="4"/>
      <c r="E1" s="4"/>
      <c r="F1" s="33"/>
      <c r="G1" s="33"/>
      <c r="H1" s="34"/>
      <c r="I1" s="34"/>
    </row>
    <row r="2" spans="1:9" ht="15.75" x14ac:dyDescent="0.25">
      <c r="A2" s="6" t="str">
        <f>'RECAP #9440.01'!B2</f>
        <v>Project # 9440.01</v>
      </c>
      <c r="B2" s="5"/>
      <c r="C2" s="4"/>
      <c r="D2" s="4"/>
      <c r="E2" s="4"/>
      <c r="F2" s="33"/>
      <c r="G2" s="33"/>
      <c r="H2" s="34"/>
      <c r="I2" s="34"/>
    </row>
    <row r="3" spans="1:9" ht="15.75" x14ac:dyDescent="0.25">
      <c r="A3" s="7" t="str">
        <f>'RECAP #9440.01'!B3</f>
        <v>Program code 944001</v>
      </c>
      <c r="B3" s="5"/>
      <c r="C3" s="4"/>
      <c r="D3" s="8" t="str">
        <f>'RECAP #9440.01'!E3</f>
        <v xml:space="preserve">Major Program:  4D03 </v>
      </c>
      <c r="E3" s="4"/>
      <c r="F3" s="33"/>
      <c r="G3" s="33"/>
      <c r="H3" s="34"/>
      <c r="I3" s="34"/>
    </row>
    <row r="4" spans="1:9" ht="15.75" x14ac:dyDescent="0.25">
      <c r="A4" s="35" t="s">
        <v>116</v>
      </c>
      <c r="B4" s="36"/>
      <c r="C4" s="37"/>
      <c r="D4" s="38" t="s">
        <v>118</v>
      </c>
      <c r="E4" s="39"/>
      <c r="F4" s="33"/>
      <c r="G4" s="33"/>
      <c r="H4" s="34"/>
      <c r="I4" s="34"/>
    </row>
    <row r="5" spans="1:9" ht="15.75" x14ac:dyDescent="0.25">
      <c r="A5" s="40" t="s">
        <v>117</v>
      </c>
      <c r="B5" s="41"/>
      <c r="C5" s="42"/>
      <c r="D5" s="43" t="s">
        <v>620</v>
      </c>
      <c r="E5" s="44"/>
      <c r="F5" s="45"/>
      <c r="G5" s="46"/>
      <c r="H5" s="41"/>
      <c r="I5" s="34"/>
    </row>
    <row r="6" spans="1:9" ht="15.75" x14ac:dyDescent="0.25">
      <c r="A6" s="13" t="str">
        <f>'RECAP #9440.01'!B6</f>
        <v>Project Manager - Brad T</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621</v>
      </c>
      <c r="B9" s="287">
        <v>46084</v>
      </c>
      <c r="C9" s="288" t="s">
        <v>111</v>
      </c>
      <c r="D9" s="289">
        <v>143190</v>
      </c>
      <c r="E9" s="290">
        <f>D9</f>
        <v>143190</v>
      </c>
      <c r="F9" s="291"/>
      <c r="G9" s="291"/>
      <c r="H9" s="291">
        <f>E9</f>
        <v>143190</v>
      </c>
      <c r="I9" s="292"/>
    </row>
    <row r="10" spans="1:9" s="275" customFormat="1" ht="12.75" customHeight="1" x14ac:dyDescent="0.25">
      <c r="A10" s="286"/>
      <c r="B10" s="293"/>
      <c r="C10" s="288"/>
      <c r="D10" s="290"/>
      <c r="E10" s="290">
        <f t="shared" ref="E10:E21" si="0">E9+D10</f>
        <v>143190</v>
      </c>
      <c r="F10" s="295"/>
      <c r="G10" s="291">
        <f t="shared" ref="G10:G21" si="1">G9+F10</f>
        <v>0</v>
      </c>
      <c r="H10" s="291">
        <f t="shared" ref="H10:H21" si="2">H9-F10+D10</f>
        <v>143190</v>
      </c>
      <c r="I10" s="292"/>
    </row>
    <row r="11" spans="1:9" s="275" customFormat="1" ht="12.75" customHeight="1" x14ac:dyDescent="0.25">
      <c r="A11" s="286"/>
      <c r="B11" s="287"/>
      <c r="C11" s="288"/>
      <c r="D11" s="290"/>
      <c r="E11" s="290">
        <f t="shared" si="0"/>
        <v>143190</v>
      </c>
      <c r="F11" s="295"/>
      <c r="G11" s="291">
        <f t="shared" si="1"/>
        <v>0</v>
      </c>
      <c r="H11" s="291">
        <f t="shared" si="2"/>
        <v>143190</v>
      </c>
      <c r="I11" s="292"/>
    </row>
    <row r="12" spans="1:9" s="275" customFormat="1" ht="12.75" customHeight="1" x14ac:dyDescent="0.25">
      <c r="A12" s="286"/>
      <c r="B12" s="287"/>
      <c r="C12" s="288"/>
      <c r="D12" s="290"/>
      <c r="E12" s="290">
        <f t="shared" si="0"/>
        <v>143190</v>
      </c>
      <c r="F12" s="295"/>
      <c r="G12" s="291">
        <f t="shared" si="1"/>
        <v>0</v>
      </c>
      <c r="H12" s="291">
        <f t="shared" si="2"/>
        <v>143190</v>
      </c>
      <c r="I12" s="292"/>
    </row>
    <row r="13" spans="1:9" s="275" customFormat="1" ht="12.75" customHeight="1" x14ac:dyDescent="0.25">
      <c r="A13" s="286"/>
      <c r="B13" s="287"/>
      <c r="C13" s="288"/>
      <c r="D13" s="290"/>
      <c r="E13" s="290">
        <f t="shared" si="0"/>
        <v>143190</v>
      </c>
      <c r="F13" s="295"/>
      <c r="G13" s="291">
        <f t="shared" si="1"/>
        <v>0</v>
      </c>
      <c r="H13" s="291">
        <f t="shared" si="2"/>
        <v>143190</v>
      </c>
      <c r="I13" s="292"/>
    </row>
    <row r="14" spans="1:9" s="275" customFormat="1" ht="12.75" customHeight="1" x14ac:dyDescent="0.25">
      <c r="A14" s="286"/>
      <c r="B14" s="287"/>
      <c r="C14" s="288"/>
      <c r="D14" s="290"/>
      <c r="E14" s="290">
        <f t="shared" si="0"/>
        <v>143190</v>
      </c>
      <c r="F14" s="291"/>
      <c r="G14" s="291">
        <f t="shared" si="1"/>
        <v>0</v>
      </c>
      <c r="H14" s="291">
        <f t="shared" si="2"/>
        <v>143190</v>
      </c>
      <c r="I14" s="292"/>
    </row>
    <row r="15" spans="1:9" s="275" customFormat="1" ht="12.75" customHeight="1" x14ac:dyDescent="0.25">
      <c r="A15" s="286"/>
      <c r="B15" s="287"/>
      <c r="C15" s="288"/>
      <c r="D15" s="290"/>
      <c r="E15" s="290">
        <f t="shared" si="0"/>
        <v>143190</v>
      </c>
      <c r="F15" s="295"/>
      <c r="G15" s="291">
        <f t="shared" si="1"/>
        <v>0</v>
      </c>
      <c r="H15" s="291">
        <f t="shared" si="2"/>
        <v>143190</v>
      </c>
      <c r="I15" s="292"/>
    </row>
    <row r="16" spans="1:9" s="275" customFormat="1" ht="12.75" customHeight="1" x14ac:dyDescent="0.25">
      <c r="A16" s="286"/>
      <c r="B16" s="287"/>
      <c r="C16" s="288"/>
      <c r="D16" s="290"/>
      <c r="E16" s="290">
        <f t="shared" si="0"/>
        <v>143190</v>
      </c>
      <c r="F16" s="295"/>
      <c r="G16" s="291">
        <f t="shared" si="1"/>
        <v>0</v>
      </c>
      <c r="H16" s="291">
        <f t="shared" si="2"/>
        <v>143190</v>
      </c>
      <c r="I16" s="292"/>
    </row>
    <row r="17" spans="1:9" s="275" customFormat="1" ht="12.75" customHeight="1" x14ac:dyDescent="0.25">
      <c r="A17" s="286"/>
      <c r="B17" s="287"/>
      <c r="C17" s="288"/>
      <c r="D17" s="290"/>
      <c r="E17" s="290">
        <f t="shared" si="0"/>
        <v>143190</v>
      </c>
      <c r="F17" s="295"/>
      <c r="G17" s="291">
        <f t="shared" si="1"/>
        <v>0</v>
      </c>
      <c r="H17" s="291">
        <f t="shared" si="2"/>
        <v>143190</v>
      </c>
      <c r="I17" s="292"/>
    </row>
    <row r="18" spans="1:9" s="275" customFormat="1" ht="12.75" customHeight="1" x14ac:dyDescent="0.25">
      <c r="A18" s="286"/>
      <c r="B18" s="287"/>
      <c r="C18" s="288"/>
      <c r="D18" s="290"/>
      <c r="E18" s="290">
        <f t="shared" si="0"/>
        <v>143190</v>
      </c>
      <c r="F18" s="295"/>
      <c r="G18" s="291">
        <f t="shared" si="1"/>
        <v>0</v>
      </c>
      <c r="H18" s="291">
        <f t="shared" si="2"/>
        <v>143190</v>
      </c>
      <c r="I18" s="292"/>
    </row>
    <row r="19" spans="1:9" s="275" customFormat="1" ht="12.75" customHeight="1" x14ac:dyDescent="0.25">
      <c r="A19" s="286"/>
      <c r="B19" s="287"/>
      <c r="C19" s="288"/>
      <c r="D19" s="290"/>
      <c r="E19" s="290">
        <f t="shared" si="0"/>
        <v>143190</v>
      </c>
      <c r="F19" s="291"/>
      <c r="G19" s="291">
        <f t="shared" si="1"/>
        <v>0</v>
      </c>
      <c r="H19" s="291">
        <f t="shared" si="2"/>
        <v>143190</v>
      </c>
      <c r="I19" s="292"/>
    </row>
    <row r="20" spans="1:9" s="275" customFormat="1" ht="12.75" customHeight="1" x14ac:dyDescent="0.25">
      <c r="A20" s="286"/>
      <c r="B20" s="287"/>
      <c r="C20" s="288"/>
      <c r="D20" s="290"/>
      <c r="E20" s="290">
        <f t="shared" si="0"/>
        <v>143190</v>
      </c>
      <c r="F20" s="291"/>
      <c r="G20" s="291">
        <f t="shared" si="1"/>
        <v>0</v>
      </c>
      <c r="H20" s="291">
        <f t="shared" si="2"/>
        <v>143190</v>
      </c>
      <c r="I20" s="292"/>
    </row>
    <row r="21" spans="1:9" s="275" customFormat="1" ht="12.75" customHeight="1" x14ac:dyDescent="0.25">
      <c r="A21" s="286"/>
      <c r="B21" s="287"/>
      <c r="C21" s="296"/>
      <c r="D21" s="290"/>
      <c r="E21" s="290">
        <f t="shared" si="0"/>
        <v>143190</v>
      </c>
      <c r="F21" s="291"/>
      <c r="G21" s="291">
        <f t="shared" si="1"/>
        <v>0</v>
      </c>
      <c r="H21" s="291">
        <f t="shared" si="2"/>
        <v>143190</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143190</v>
      </c>
      <c r="E23" s="302"/>
      <c r="F23" s="302">
        <f>SUM(F9:F22)</f>
        <v>0</v>
      </c>
      <c r="G23" s="302"/>
      <c r="H23" s="302">
        <f>D23-F23</f>
        <v>143190</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26" t="s">
        <v>622</v>
      </c>
      <c r="D26" s="291"/>
      <c r="E26" s="291"/>
      <c r="F26" s="291"/>
      <c r="G26" s="291"/>
      <c r="H26" s="291"/>
      <c r="I26" s="292"/>
    </row>
    <row r="27" spans="1:9" s="275" customFormat="1" ht="12.75" customHeight="1" x14ac:dyDescent="0.25">
      <c r="A27" s="286"/>
      <c r="B27" s="288"/>
      <c r="C27" s="297" t="s">
        <v>623</v>
      </c>
      <c r="D27" s="291">
        <v>15910</v>
      </c>
      <c r="E27" s="291"/>
      <c r="F27" s="291"/>
      <c r="G27" s="291"/>
      <c r="H27" s="291">
        <f>D27-F27</f>
        <v>15910</v>
      </c>
      <c r="I27" s="292"/>
    </row>
    <row r="28" spans="1:9" s="275" customFormat="1" ht="12.75" customHeight="1" x14ac:dyDescent="0.25">
      <c r="A28" s="286"/>
      <c r="B28" s="288"/>
      <c r="C28" s="297" t="s">
        <v>624</v>
      </c>
      <c r="D28" s="291">
        <v>15910</v>
      </c>
      <c r="E28" s="291"/>
      <c r="F28" s="291"/>
      <c r="G28" s="291"/>
      <c r="H28" s="291">
        <f t="shared" ref="H28:H30" si="3">D28-F28</f>
        <v>15910</v>
      </c>
      <c r="I28" s="292"/>
    </row>
    <row r="29" spans="1:9" s="275" customFormat="1" ht="12.75" customHeight="1" x14ac:dyDescent="0.25">
      <c r="A29" s="286"/>
      <c r="B29" s="288"/>
      <c r="C29" s="297" t="s">
        <v>625</v>
      </c>
      <c r="D29" s="291">
        <v>343</v>
      </c>
      <c r="E29" s="291"/>
      <c r="F29" s="291"/>
      <c r="G29" s="291"/>
      <c r="H29" s="291">
        <f t="shared" si="3"/>
        <v>343</v>
      </c>
      <c r="I29" s="292"/>
    </row>
    <row r="30" spans="1:9" s="275" customFormat="1" ht="12.75" customHeight="1" x14ac:dyDescent="0.25">
      <c r="A30" s="286"/>
      <c r="B30" s="288"/>
      <c r="C30" s="297" t="s">
        <v>626</v>
      </c>
      <c r="D30" s="291">
        <v>15567</v>
      </c>
      <c r="E30" s="291"/>
      <c r="F30" s="291"/>
      <c r="G30" s="291"/>
      <c r="H30" s="291">
        <f t="shared" si="3"/>
        <v>15567</v>
      </c>
      <c r="I30" s="292"/>
    </row>
    <row r="31" spans="1:9" s="275" customFormat="1" ht="12.75" customHeight="1" thickBot="1" x14ac:dyDescent="0.3">
      <c r="A31" s="286"/>
      <c r="B31" s="288"/>
      <c r="C31" s="326" t="s">
        <v>627</v>
      </c>
      <c r="D31" s="302">
        <f>SUM(D27:D30)</f>
        <v>47730</v>
      </c>
      <c r="E31" s="291"/>
      <c r="F31" s="302">
        <f>SUM(F27:F30)</f>
        <v>0</v>
      </c>
      <c r="G31" s="291"/>
      <c r="H31" s="302">
        <f>SUM(H27:H30)</f>
        <v>47730</v>
      </c>
      <c r="I31" s="292"/>
    </row>
    <row r="32" spans="1:9" s="275" customFormat="1" ht="12.75" customHeight="1" thickTop="1" x14ac:dyDescent="0.25">
      <c r="A32" s="286"/>
      <c r="B32" s="288"/>
      <c r="C32" s="297"/>
      <c r="D32" s="291"/>
      <c r="E32" s="291"/>
      <c r="F32" s="291"/>
      <c r="G32" s="291"/>
      <c r="H32" s="291"/>
      <c r="I32" s="292"/>
    </row>
    <row r="33" spans="1:9" s="275" customFormat="1" ht="12.75" customHeight="1" x14ac:dyDescent="0.25">
      <c r="A33" s="286"/>
      <c r="B33" s="288"/>
      <c r="C33" s="297"/>
      <c r="D33" s="291"/>
      <c r="E33" s="291"/>
      <c r="F33" s="291"/>
      <c r="G33" s="291"/>
      <c r="H33" s="291"/>
      <c r="I33" s="292"/>
    </row>
    <row r="34" spans="1:9" s="275" customFormat="1" ht="12.75" customHeight="1" x14ac:dyDescent="0.25">
      <c r="A34" s="286"/>
      <c r="B34" s="288"/>
      <c r="C34" s="326"/>
      <c r="D34" s="291"/>
      <c r="E34" s="291"/>
      <c r="F34" s="291"/>
      <c r="G34" s="291"/>
      <c r="H34" s="291"/>
      <c r="I34" s="292"/>
    </row>
    <row r="35" spans="1:9" s="275" customFormat="1" ht="12.75" customHeight="1" x14ac:dyDescent="0.25">
      <c r="A35" s="286"/>
      <c r="B35" s="288"/>
      <c r="C35" s="326" t="s">
        <v>628</v>
      </c>
      <c r="D35" s="291"/>
      <c r="E35" s="291"/>
      <c r="F35" s="291"/>
      <c r="G35" s="291"/>
      <c r="H35" s="291"/>
      <c r="I35" s="292"/>
    </row>
    <row r="36" spans="1:9" s="275" customFormat="1" ht="12.75" customHeight="1" x14ac:dyDescent="0.25">
      <c r="A36" s="286"/>
      <c r="B36" s="288"/>
      <c r="C36" s="297" t="s">
        <v>623</v>
      </c>
      <c r="D36" s="291">
        <v>15910</v>
      </c>
      <c r="E36" s="291"/>
      <c r="F36" s="291"/>
      <c r="G36" s="291"/>
      <c r="H36" s="291">
        <f>D36-F36</f>
        <v>15910</v>
      </c>
      <c r="I36" s="292"/>
    </row>
    <row r="37" spans="1:9" s="275" customFormat="1" ht="12.75" customHeight="1" x14ac:dyDescent="0.25">
      <c r="A37" s="286"/>
      <c r="B37" s="288"/>
      <c r="C37" s="297" t="s">
        <v>624</v>
      </c>
      <c r="D37" s="291">
        <v>15910</v>
      </c>
      <c r="E37" s="291"/>
      <c r="F37" s="291"/>
      <c r="G37" s="291"/>
      <c r="H37" s="291">
        <f t="shared" ref="H37:H39" si="4">D37-F37</f>
        <v>15910</v>
      </c>
      <c r="I37" s="292"/>
    </row>
    <row r="38" spans="1:9" s="275" customFormat="1" ht="12.75" customHeight="1" x14ac:dyDescent="0.25">
      <c r="C38" s="297" t="s">
        <v>625</v>
      </c>
      <c r="D38" s="291">
        <v>343</v>
      </c>
      <c r="E38" s="291"/>
      <c r="F38" s="291"/>
      <c r="G38" s="291"/>
      <c r="H38" s="291">
        <f t="shared" si="4"/>
        <v>343</v>
      </c>
    </row>
    <row r="39" spans="1:9" ht="15" customHeight="1" x14ac:dyDescent="0.25">
      <c r="C39" s="297" t="s">
        <v>626</v>
      </c>
      <c r="D39" s="291">
        <v>15567</v>
      </c>
      <c r="E39" s="291"/>
      <c r="F39" s="291"/>
      <c r="G39" s="291"/>
      <c r="H39" s="291">
        <f t="shared" si="4"/>
        <v>15567</v>
      </c>
    </row>
    <row r="40" spans="1:9" ht="15" customHeight="1" thickBot="1" x14ac:dyDescent="0.3">
      <c r="C40" s="326" t="s">
        <v>627</v>
      </c>
      <c r="D40" s="302">
        <f>SUM(D36:D39)</f>
        <v>47730</v>
      </c>
      <c r="E40" s="291"/>
      <c r="F40" s="302">
        <f>SUM(F36:F39)</f>
        <v>0</v>
      </c>
      <c r="G40" s="291"/>
      <c r="H40" s="302">
        <f>SUM(H36:H39)</f>
        <v>47730</v>
      </c>
    </row>
    <row r="41" spans="1:9" ht="15" customHeight="1" thickTop="1" x14ac:dyDescent="0.25"/>
    <row r="43" spans="1:9" ht="15" customHeight="1" x14ac:dyDescent="0.25">
      <c r="C43" s="326" t="s">
        <v>629</v>
      </c>
      <c r="D43" s="291"/>
      <c r="E43" s="291"/>
      <c r="F43" s="291"/>
      <c r="G43" s="291"/>
      <c r="H43" s="291"/>
    </row>
    <row r="44" spans="1:9" ht="15" customHeight="1" x14ac:dyDescent="0.25">
      <c r="C44" s="297" t="s">
        <v>623</v>
      </c>
      <c r="D44" s="291">
        <v>15910</v>
      </c>
      <c r="E44" s="291"/>
      <c r="F44" s="291"/>
      <c r="G44" s="291"/>
      <c r="H44" s="291">
        <f>D44-F44</f>
        <v>15910</v>
      </c>
    </row>
    <row r="45" spans="1:9" ht="15" customHeight="1" x14ac:dyDescent="0.25">
      <c r="C45" s="297" t="s">
        <v>624</v>
      </c>
      <c r="D45" s="291">
        <v>15910</v>
      </c>
      <c r="E45" s="291"/>
      <c r="F45" s="291"/>
      <c r="G45" s="291"/>
      <c r="H45" s="291">
        <f t="shared" ref="H45:H47" si="5">D45-F45</f>
        <v>15910</v>
      </c>
    </row>
    <row r="46" spans="1:9" ht="15" customHeight="1" x14ac:dyDescent="0.25">
      <c r="C46" s="297" t="s">
        <v>625</v>
      </c>
      <c r="D46" s="291">
        <v>343</v>
      </c>
      <c r="E46" s="291"/>
      <c r="F46" s="291"/>
      <c r="G46" s="291"/>
      <c r="H46" s="291">
        <f t="shared" si="5"/>
        <v>343</v>
      </c>
    </row>
    <row r="47" spans="1:9" ht="15" customHeight="1" x14ac:dyDescent="0.25">
      <c r="C47" s="297" t="s">
        <v>626</v>
      </c>
      <c r="D47" s="291">
        <v>15567</v>
      </c>
      <c r="E47" s="291"/>
      <c r="F47" s="291"/>
      <c r="G47" s="291"/>
      <c r="H47" s="291">
        <f t="shared" si="5"/>
        <v>15567</v>
      </c>
    </row>
    <row r="48" spans="1:9" ht="15" customHeight="1" thickBot="1" x14ac:dyDescent="0.3">
      <c r="C48" s="326" t="s">
        <v>627</v>
      </c>
      <c r="D48" s="302">
        <f>SUM(D44:D47)</f>
        <v>47730</v>
      </c>
      <c r="E48" s="291"/>
      <c r="F48" s="302">
        <f>SUM(F44:F47)</f>
        <v>0</v>
      </c>
      <c r="G48" s="291"/>
      <c r="H48" s="302">
        <f>SUM(H44:H47)</f>
        <v>47730</v>
      </c>
    </row>
    <row r="49" spans="3:8" ht="15" customHeight="1" thickTop="1" x14ac:dyDescent="0.25"/>
    <row r="51" spans="3:8" ht="15" customHeight="1" thickBot="1" x14ac:dyDescent="0.3">
      <c r="C51" s="378" t="s">
        <v>630</v>
      </c>
      <c r="D51" s="302">
        <f>D31+D40+D48</f>
        <v>143190</v>
      </c>
      <c r="E51" s="291"/>
      <c r="F51" s="302">
        <f>F31+F40+F48</f>
        <v>0</v>
      </c>
      <c r="G51" s="291"/>
      <c r="H51" s="302">
        <f>H31+H40+H48</f>
        <v>143190</v>
      </c>
    </row>
    <row r="52" spans="3:8" ht="15" customHeight="1" thickTop="1" x14ac:dyDescent="0.25"/>
  </sheetData>
  <conditionalFormatting sqref="I8:I23">
    <cfRule type="cellIs" dxfId="55" priority="1" operator="greaterThan">
      <formula>$H$23</formula>
    </cfRule>
  </conditionalFormatting>
  <pageMargins left="0.25" right="0.25" top="0.95" bottom="0.75" header="0.09" footer="0.3"/>
  <pageSetup scale="7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A0F8-FFF7-49FD-A6AB-91D64AA1FA23}">
  <sheetPr>
    <pageSetUpPr fitToPage="1"/>
  </sheetPr>
  <dimension ref="A1:I31"/>
  <sheetViews>
    <sheetView zoomScaleNormal="100" workbookViewId="0">
      <selection activeCell="F32" sqref="F3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#9504.00'!B1</f>
        <v>HHS WRC Food Service Elevator Replacement</v>
      </c>
      <c r="B1" s="3"/>
      <c r="C1" s="4"/>
      <c r="D1" s="4"/>
      <c r="E1" s="4"/>
      <c r="F1" s="33"/>
      <c r="G1" s="33"/>
      <c r="H1" s="34"/>
      <c r="I1" s="34"/>
    </row>
    <row r="2" spans="1:9" ht="15.75" x14ac:dyDescent="0.25">
      <c r="A2" s="6" t="str">
        <f>'RECAP #9504.00'!B2</f>
        <v>Project # 9504.00</v>
      </c>
      <c r="B2" s="5"/>
      <c r="C2" s="4"/>
      <c r="D2" s="4"/>
      <c r="E2" s="4"/>
      <c r="F2" s="33"/>
      <c r="G2" s="33"/>
      <c r="H2" s="34"/>
      <c r="I2" s="34"/>
    </row>
    <row r="3" spans="1:9" ht="15.75" x14ac:dyDescent="0.25">
      <c r="A3" s="7" t="str">
        <f>'RECAP #9504.00'!B3</f>
        <v>Program code 950400</v>
      </c>
      <c r="B3" s="5"/>
      <c r="C3" s="4"/>
      <c r="D3" s="8" t="str">
        <f>'RECAP #9504.00'!E3</f>
        <v>Major Program 4E19</v>
      </c>
      <c r="E3" s="4"/>
      <c r="F3" s="33"/>
      <c r="G3" s="33"/>
      <c r="H3" s="34"/>
      <c r="I3" s="34"/>
    </row>
    <row r="4" spans="1:9" ht="15.75" x14ac:dyDescent="0.25">
      <c r="A4" s="35" t="s">
        <v>116</v>
      </c>
      <c r="B4" s="36"/>
      <c r="C4" s="37"/>
      <c r="D4" s="38" t="s">
        <v>118</v>
      </c>
      <c r="E4" s="39"/>
      <c r="F4" s="33"/>
      <c r="G4" s="33"/>
      <c r="H4" s="34"/>
      <c r="I4" s="34"/>
    </row>
    <row r="5" spans="1:9" ht="15.75" x14ac:dyDescent="0.25">
      <c r="A5" s="40" t="s">
        <v>552</v>
      </c>
      <c r="B5" s="41"/>
      <c r="C5" s="42"/>
      <c r="D5" s="43" t="s">
        <v>728</v>
      </c>
      <c r="E5" s="44"/>
      <c r="F5" s="45"/>
      <c r="G5" s="46"/>
      <c r="H5" s="41"/>
      <c r="I5" s="34"/>
    </row>
    <row r="6" spans="1:9" ht="15.75" x14ac:dyDescent="0.25">
      <c r="A6" s="13" t="str">
        <f>'RECAP #9504.00'!B6</f>
        <v>Project Manager - Jennifer K.</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729</v>
      </c>
      <c r="B9" s="287">
        <v>46105</v>
      </c>
      <c r="C9" s="288" t="s">
        <v>111</v>
      </c>
      <c r="D9" s="289">
        <v>82800</v>
      </c>
      <c r="E9" s="290">
        <f>D9</f>
        <v>82800</v>
      </c>
      <c r="F9" s="291"/>
      <c r="G9" s="291"/>
      <c r="H9" s="291">
        <f>E9</f>
        <v>82800</v>
      </c>
      <c r="I9" s="292"/>
    </row>
    <row r="10" spans="1:9" s="275" customFormat="1" ht="12.75" customHeight="1" x14ac:dyDescent="0.25">
      <c r="A10" s="286"/>
      <c r="B10" s="293"/>
      <c r="C10" s="288"/>
      <c r="D10" s="290"/>
      <c r="E10" s="290">
        <f t="shared" ref="E10:E21" si="0">E9+D10</f>
        <v>82800</v>
      </c>
      <c r="F10" s="295"/>
      <c r="G10" s="291">
        <f t="shared" ref="G10:G21" si="1">G9+F10</f>
        <v>0</v>
      </c>
      <c r="H10" s="291">
        <f t="shared" ref="H10:H21" si="2">H9-F10+D10</f>
        <v>82800</v>
      </c>
      <c r="I10" s="292"/>
    </row>
    <row r="11" spans="1:9" s="275" customFormat="1" ht="12.75" customHeight="1" x14ac:dyDescent="0.25">
      <c r="A11" s="286"/>
      <c r="B11" s="287"/>
      <c r="C11" s="288"/>
      <c r="D11" s="290"/>
      <c r="E11" s="290">
        <f t="shared" si="0"/>
        <v>82800</v>
      </c>
      <c r="F11" s="295"/>
      <c r="G11" s="291">
        <f t="shared" si="1"/>
        <v>0</v>
      </c>
      <c r="H11" s="291">
        <f t="shared" si="2"/>
        <v>82800</v>
      </c>
      <c r="I11" s="292"/>
    </row>
    <row r="12" spans="1:9" s="275" customFormat="1" ht="12.75" customHeight="1" x14ac:dyDescent="0.25">
      <c r="A12" s="286"/>
      <c r="B12" s="287"/>
      <c r="C12" s="288"/>
      <c r="D12" s="290"/>
      <c r="E12" s="290">
        <f t="shared" si="0"/>
        <v>82800</v>
      </c>
      <c r="F12" s="295"/>
      <c r="G12" s="291">
        <f t="shared" si="1"/>
        <v>0</v>
      </c>
      <c r="H12" s="291">
        <f t="shared" si="2"/>
        <v>82800</v>
      </c>
      <c r="I12" s="292"/>
    </row>
    <row r="13" spans="1:9" s="275" customFormat="1" ht="12.75" customHeight="1" x14ac:dyDescent="0.25">
      <c r="A13" s="286"/>
      <c r="B13" s="287"/>
      <c r="C13" s="288"/>
      <c r="D13" s="290"/>
      <c r="E13" s="290">
        <f t="shared" si="0"/>
        <v>82800</v>
      </c>
      <c r="F13" s="295"/>
      <c r="G13" s="291">
        <f t="shared" si="1"/>
        <v>0</v>
      </c>
      <c r="H13" s="291">
        <f t="shared" si="2"/>
        <v>82800</v>
      </c>
      <c r="I13" s="292"/>
    </row>
    <row r="14" spans="1:9" s="275" customFormat="1" ht="12.75" customHeight="1" x14ac:dyDescent="0.25">
      <c r="A14" s="286"/>
      <c r="B14" s="287"/>
      <c r="C14" s="288"/>
      <c r="D14" s="290"/>
      <c r="E14" s="290">
        <f t="shared" si="0"/>
        <v>82800</v>
      </c>
      <c r="F14" s="291"/>
      <c r="G14" s="291">
        <f t="shared" si="1"/>
        <v>0</v>
      </c>
      <c r="H14" s="291">
        <f t="shared" si="2"/>
        <v>82800</v>
      </c>
      <c r="I14" s="292"/>
    </row>
    <row r="15" spans="1:9" s="275" customFormat="1" ht="12.75" customHeight="1" x14ac:dyDescent="0.25">
      <c r="A15" s="286"/>
      <c r="B15" s="287"/>
      <c r="C15" s="288"/>
      <c r="D15" s="290"/>
      <c r="E15" s="290">
        <f t="shared" si="0"/>
        <v>82800</v>
      </c>
      <c r="F15" s="295"/>
      <c r="G15" s="291">
        <f t="shared" si="1"/>
        <v>0</v>
      </c>
      <c r="H15" s="291">
        <f t="shared" si="2"/>
        <v>82800</v>
      </c>
      <c r="I15" s="292"/>
    </row>
    <row r="16" spans="1:9" s="275" customFormat="1" ht="12.75" customHeight="1" x14ac:dyDescent="0.25">
      <c r="A16" s="286"/>
      <c r="B16" s="287"/>
      <c r="C16" s="288"/>
      <c r="D16" s="290"/>
      <c r="E16" s="290">
        <f t="shared" si="0"/>
        <v>82800</v>
      </c>
      <c r="F16" s="295"/>
      <c r="G16" s="291">
        <f t="shared" si="1"/>
        <v>0</v>
      </c>
      <c r="H16" s="291">
        <f t="shared" si="2"/>
        <v>82800</v>
      </c>
      <c r="I16" s="292"/>
    </row>
    <row r="17" spans="1:9" s="275" customFormat="1" ht="12.75" customHeight="1" x14ac:dyDescent="0.25">
      <c r="A17" s="286"/>
      <c r="B17" s="287"/>
      <c r="C17" s="288"/>
      <c r="D17" s="290"/>
      <c r="E17" s="290">
        <f t="shared" si="0"/>
        <v>82800</v>
      </c>
      <c r="F17" s="295"/>
      <c r="G17" s="291">
        <f t="shared" si="1"/>
        <v>0</v>
      </c>
      <c r="H17" s="291">
        <f t="shared" si="2"/>
        <v>82800</v>
      </c>
      <c r="I17" s="292"/>
    </row>
    <row r="18" spans="1:9" s="275" customFormat="1" ht="12.75" customHeight="1" x14ac:dyDescent="0.25">
      <c r="A18" s="286"/>
      <c r="B18" s="287"/>
      <c r="C18" s="288"/>
      <c r="D18" s="290"/>
      <c r="E18" s="290">
        <f t="shared" si="0"/>
        <v>82800</v>
      </c>
      <c r="F18" s="295"/>
      <c r="G18" s="291">
        <f t="shared" si="1"/>
        <v>0</v>
      </c>
      <c r="H18" s="291">
        <f t="shared" si="2"/>
        <v>82800</v>
      </c>
      <c r="I18" s="292"/>
    </row>
    <row r="19" spans="1:9" s="275" customFormat="1" ht="12.75" customHeight="1" x14ac:dyDescent="0.25">
      <c r="A19" s="286"/>
      <c r="B19" s="287"/>
      <c r="C19" s="288"/>
      <c r="D19" s="290"/>
      <c r="E19" s="290">
        <f t="shared" si="0"/>
        <v>82800</v>
      </c>
      <c r="F19" s="291"/>
      <c r="G19" s="291">
        <f t="shared" si="1"/>
        <v>0</v>
      </c>
      <c r="H19" s="291">
        <f t="shared" si="2"/>
        <v>82800</v>
      </c>
      <c r="I19" s="292"/>
    </row>
    <row r="20" spans="1:9" s="275" customFormat="1" ht="12.75" customHeight="1" x14ac:dyDescent="0.25">
      <c r="A20" s="286"/>
      <c r="B20" s="287"/>
      <c r="C20" s="288"/>
      <c r="D20" s="290"/>
      <c r="E20" s="290">
        <f t="shared" si="0"/>
        <v>82800</v>
      </c>
      <c r="F20" s="291"/>
      <c r="G20" s="291">
        <f t="shared" si="1"/>
        <v>0</v>
      </c>
      <c r="H20" s="291">
        <f t="shared" si="2"/>
        <v>82800</v>
      </c>
      <c r="I20" s="292"/>
    </row>
    <row r="21" spans="1:9" s="275" customFormat="1" ht="12.75" customHeight="1" x14ac:dyDescent="0.25">
      <c r="A21" s="286"/>
      <c r="B21" s="287"/>
      <c r="C21" s="296"/>
      <c r="D21" s="290"/>
      <c r="E21" s="290">
        <f t="shared" si="0"/>
        <v>82800</v>
      </c>
      <c r="F21" s="291"/>
      <c r="G21" s="291">
        <f t="shared" si="1"/>
        <v>0</v>
      </c>
      <c r="H21" s="291">
        <f t="shared" si="2"/>
        <v>82800</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82800</v>
      </c>
      <c r="E23" s="302"/>
      <c r="F23" s="302">
        <f>SUM(F9:F22)</f>
        <v>0</v>
      </c>
      <c r="G23" s="302"/>
      <c r="H23" s="302">
        <f>D23-F23</f>
        <v>82800</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408</v>
      </c>
      <c r="D26" s="313">
        <v>54970</v>
      </c>
      <c r="E26" s="313"/>
      <c r="F26" s="313"/>
      <c r="G26" s="313"/>
      <c r="H26" s="313">
        <f>D26-F26</f>
        <v>54970</v>
      </c>
      <c r="I26" s="292"/>
    </row>
    <row r="27" spans="1:9" s="275" customFormat="1" ht="12.75" customHeight="1" x14ac:dyDescent="0.25">
      <c r="A27" s="286"/>
      <c r="B27" s="288"/>
      <c r="C27" s="312" t="s">
        <v>409</v>
      </c>
      <c r="D27" s="313">
        <v>3430</v>
      </c>
      <c r="E27" s="313"/>
      <c r="F27" s="313"/>
      <c r="G27" s="313"/>
      <c r="H27" s="313">
        <f t="shared" ref="H27:H28" si="3">D27-F27</f>
        <v>3430</v>
      </c>
      <c r="I27" s="292"/>
    </row>
    <row r="28" spans="1:9" s="275" customFormat="1" ht="12.75" customHeight="1" x14ac:dyDescent="0.25">
      <c r="A28" s="286"/>
      <c r="B28" s="288"/>
      <c r="C28" s="312" t="s">
        <v>125</v>
      </c>
      <c r="D28" s="313">
        <v>24400</v>
      </c>
      <c r="E28" s="313"/>
      <c r="F28" s="313"/>
      <c r="G28" s="313"/>
      <c r="H28" s="313">
        <f t="shared" si="3"/>
        <v>24400</v>
      </c>
      <c r="I28" s="292"/>
    </row>
    <row r="29" spans="1:9" s="275" customFormat="1" ht="13.5" customHeight="1" thickBot="1" x14ac:dyDescent="0.3">
      <c r="A29" s="286"/>
      <c r="B29" s="288"/>
      <c r="C29" s="314" t="s">
        <v>67</v>
      </c>
      <c r="D29" s="315">
        <f>SUM(D26:D28)</f>
        <v>82800</v>
      </c>
      <c r="E29" s="316"/>
      <c r="F29" s="315">
        <f>SUM(F26:F28)</f>
        <v>0</v>
      </c>
      <c r="G29" s="316"/>
      <c r="H29" s="315">
        <f>SUM(H26:H28)</f>
        <v>82800</v>
      </c>
      <c r="I29" s="292"/>
    </row>
    <row r="30" spans="1:9" s="275" customFormat="1" ht="12.75" customHeight="1" thickTop="1" x14ac:dyDescent="0.25"/>
    <row r="31" spans="1:9" s="275" customFormat="1" ht="12.75" customHeight="1" x14ac:dyDescent="0.25"/>
  </sheetData>
  <conditionalFormatting sqref="I8:I23">
    <cfRule type="cellIs" dxfId="24"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EA0EF-194B-4E91-9BE1-7118DA646F27}">
  <sheetPr>
    <pageSetUpPr fitToPage="1"/>
  </sheetPr>
  <dimension ref="A1:G16"/>
  <sheetViews>
    <sheetView zoomScaleNormal="100" workbookViewId="0">
      <selection activeCell="J12" sqref="J1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161</v>
      </c>
      <c r="C1" s="3"/>
      <c r="D1" s="4"/>
      <c r="E1" s="4"/>
      <c r="F1" s="4"/>
      <c r="G1" s="4"/>
    </row>
    <row r="2" spans="1:7" ht="15.75" x14ac:dyDescent="0.25">
      <c r="A2" s="1"/>
      <c r="B2" s="6" t="s">
        <v>214</v>
      </c>
      <c r="C2" s="5"/>
      <c r="D2" s="4"/>
      <c r="E2" s="4"/>
      <c r="F2" s="4"/>
      <c r="G2" s="4"/>
    </row>
    <row r="3" spans="1:7" ht="15.75" x14ac:dyDescent="0.25">
      <c r="A3" s="1"/>
      <c r="B3" s="7" t="s">
        <v>215</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36.75" customHeight="1" thickBot="1" x14ac:dyDescent="0.3">
      <c r="A7" s="1"/>
      <c r="B7" s="18" t="s">
        <v>2</v>
      </c>
      <c r="C7" s="19" t="s">
        <v>3</v>
      </c>
      <c r="D7" s="20" t="s">
        <v>4</v>
      </c>
      <c r="E7" s="21" t="s">
        <v>5</v>
      </c>
      <c r="F7" s="22" t="s">
        <v>6</v>
      </c>
      <c r="G7" s="22" t="s">
        <v>7</v>
      </c>
    </row>
    <row r="8" spans="1:7" ht="28.35" customHeight="1" x14ac:dyDescent="0.25">
      <c r="A8" s="1"/>
      <c r="B8" s="1" t="s">
        <v>8</v>
      </c>
      <c r="C8" s="23">
        <f>FINANCIAL!G32</f>
        <v>491000</v>
      </c>
      <c r="D8" s="24"/>
      <c r="E8" s="24"/>
      <c r="F8" s="24"/>
      <c r="G8" s="25"/>
    </row>
    <row r="9" spans="1:7" s="275" customFormat="1" ht="12.75" customHeight="1" x14ac:dyDescent="0.25">
      <c r="A9" s="303"/>
      <c r="B9" s="304"/>
      <c r="C9" s="305"/>
      <c r="D9" s="306"/>
      <c r="E9" s="306"/>
      <c r="F9" s="306"/>
      <c r="G9" s="307"/>
    </row>
    <row r="10" spans="1:7" s="275" customFormat="1" ht="12.75" customHeight="1" x14ac:dyDescent="0.25">
      <c r="A10" s="303"/>
      <c r="B10" s="304" t="s">
        <v>417</v>
      </c>
      <c r="C10" s="305"/>
      <c r="D10" s="308">
        <f>'#9505.00 Shive Hattery'!D23</f>
        <v>43927</v>
      </c>
      <c r="E10" s="308">
        <f>'#9505.00 Shive Hattery'!F23</f>
        <v>30063</v>
      </c>
      <c r="F10" s="308">
        <f>'#9505.00 Shive Hattery'!H23</f>
        <v>13864</v>
      </c>
      <c r="G10" s="307"/>
    </row>
    <row r="11" spans="1:7" s="275" customFormat="1" ht="12.75" customHeight="1" x14ac:dyDescent="0.25">
      <c r="A11" s="303"/>
      <c r="B11" s="304" t="s">
        <v>10</v>
      </c>
      <c r="C11" s="305"/>
      <c r="D11" s="308">
        <f>'#9505.00 PM TIME'!E23</f>
        <v>11800</v>
      </c>
      <c r="E11" s="308">
        <f>'#9505.00 PM TIME'!G23</f>
        <v>4559.1900000000005</v>
      </c>
      <c r="F11" s="308">
        <f>'#9505.00 PM TIME'!I23</f>
        <v>7240.8099999999995</v>
      </c>
      <c r="G11" s="307"/>
    </row>
    <row r="12" spans="1:7" s="275" customFormat="1" ht="12.75" customHeight="1" x14ac:dyDescent="0.25">
      <c r="A12" s="303"/>
      <c r="B12" s="304" t="s">
        <v>11</v>
      </c>
      <c r="C12" s="306"/>
      <c r="D12" s="309">
        <f>'#9505.00 Misc'!G22</f>
        <v>0</v>
      </c>
      <c r="E12" s="309">
        <f>'#9505.00 Misc'!H22</f>
        <v>0</v>
      </c>
      <c r="F12" s="308">
        <f>D12-E12</f>
        <v>0</v>
      </c>
      <c r="G12" s="307"/>
    </row>
    <row r="13" spans="1:7" s="275" customFormat="1" ht="12.75" customHeight="1" x14ac:dyDescent="0.25">
      <c r="A13" s="303"/>
      <c r="B13" s="304" t="s">
        <v>359</v>
      </c>
      <c r="C13" s="306"/>
      <c r="D13" s="309">
        <f>'#9505.00 Boyd Jones'!D23</f>
        <v>17836.71</v>
      </c>
      <c r="E13" s="309">
        <f>'#9505.00 Boyd Jones'!F23</f>
        <v>12016.529999999999</v>
      </c>
      <c r="F13" s="308">
        <f>'#9505.00 Boyd Jones'!H23</f>
        <v>5820.18</v>
      </c>
      <c r="G13" s="307"/>
    </row>
    <row r="14" spans="1:7" s="275" customFormat="1" ht="12.75" customHeight="1" x14ac:dyDescent="0.25">
      <c r="A14" s="310"/>
      <c r="B14" s="304"/>
      <c r="C14" s="306"/>
      <c r="D14" s="309"/>
      <c r="E14" s="309"/>
      <c r="F14" s="308"/>
      <c r="G14" s="311"/>
    </row>
    <row r="15" spans="1:7" ht="24" customHeight="1" thickBot="1" x14ac:dyDescent="0.3">
      <c r="A15" s="30"/>
      <c r="B15" s="31" t="s">
        <v>12</v>
      </c>
      <c r="C15" s="32">
        <f>SUM(C8:C14)</f>
        <v>491000</v>
      </c>
      <c r="D15" s="32">
        <f>SUM(D8:D14)</f>
        <v>73563.709999999992</v>
      </c>
      <c r="E15" s="32">
        <f>SUM(E8:E14)</f>
        <v>46638.720000000001</v>
      </c>
      <c r="F15" s="32">
        <f>SUM(D15-E15)</f>
        <v>26924.989999999991</v>
      </c>
      <c r="G15" s="32">
        <f>C8-D15</f>
        <v>417436.29000000004</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9FE25-6876-4D17-A014-BD85B406F159}">
  <sheetPr>
    <pageSetUpPr fitToPage="1"/>
  </sheetPr>
  <dimension ref="A1:I32"/>
  <sheetViews>
    <sheetView zoomScaleNormal="100" workbookViewId="0">
      <selection activeCell="R24" sqref="R24"/>
    </sheetView>
  </sheetViews>
  <sheetFormatPr defaultColWidth="11.42578125" defaultRowHeight="15" customHeight="1" x14ac:dyDescent="0.25"/>
  <cols>
    <col min="1" max="1" width="24.5703125" customWidth="1"/>
    <col min="2" max="2" width="9.42578125" customWidth="1"/>
    <col min="3" max="3" width="23.140625" bestFit="1" customWidth="1"/>
    <col min="4" max="4" width="14.42578125" customWidth="1"/>
    <col min="5" max="5" width="13.5703125" customWidth="1"/>
    <col min="6" max="6" width="12.42578125" customWidth="1"/>
    <col min="7" max="7" width="10.5703125" customWidth="1"/>
    <col min="8" max="8" width="14.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#9505.00'!B1</f>
        <v>DOC FDCF Sally Port Operator Replacement</v>
      </c>
      <c r="B1" s="3"/>
      <c r="C1" s="4"/>
      <c r="D1" s="4"/>
      <c r="E1" s="4"/>
      <c r="F1" s="33"/>
      <c r="G1" s="33"/>
      <c r="H1" s="34"/>
      <c r="I1" s="34"/>
    </row>
    <row r="2" spans="1:9" ht="15.75" x14ac:dyDescent="0.25">
      <c r="A2" s="6" t="str">
        <f>'RECAP #9505.00'!B2</f>
        <v>Project # 9505.00</v>
      </c>
      <c r="B2" s="5"/>
      <c r="C2" s="4"/>
      <c r="D2" s="4"/>
      <c r="E2" s="4"/>
      <c r="F2" s="33"/>
      <c r="G2" s="33"/>
      <c r="H2" s="34"/>
      <c r="I2" s="34"/>
    </row>
    <row r="3" spans="1:9" ht="15.75" x14ac:dyDescent="0.25">
      <c r="A3" s="7" t="str">
        <f>'RECAP #9505.00'!B3</f>
        <v>Program code 950500</v>
      </c>
      <c r="B3" s="5"/>
      <c r="C3" s="4"/>
      <c r="D3" s="8" t="str">
        <f>'RECAP #9505.00'!E3</f>
        <v>Major Program 4E01</v>
      </c>
      <c r="E3" s="4"/>
      <c r="F3" s="33"/>
      <c r="G3" s="33"/>
      <c r="H3" s="34"/>
      <c r="I3" s="34"/>
    </row>
    <row r="4" spans="1:9" ht="15.75" x14ac:dyDescent="0.25">
      <c r="A4" s="35" t="s">
        <v>417</v>
      </c>
      <c r="B4" s="36"/>
      <c r="C4" s="37"/>
      <c r="D4" s="38" t="s">
        <v>418</v>
      </c>
      <c r="E4" s="39"/>
      <c r="F4" s="33"/>
      <c r="G4" s="33"/>
      <c r="H4" s="34"/>
      <c r="I4" s="34"/>
    </row>
    <row r="5" spans="1:9" ht="15.75" x14ac:dyDescent="0.25">
      <c r="A5" s="40" t="s">
        <v>117</v>
      </c>
      <c r="B5" s="41"/>
      <c r="C5" s="42"/>
      <c r="D5" s="43" t="s">
        <v>419</v>
      </c>
      <c r="E5" s="44"/>
      <c r="F5" s="45"/>
      <c r="G5" s="46"/>
      <c r="H5" s="41"/>
      <c r="I5" s="34"/>
    </row>
    <row r="6" spans="1:9" ht="15.75" x14ac:dyDescent="0.25">
      <c r="A6" s="13" t="str">
        <f>'RECAP #9505.00'!B6</f>
        <v>Project Manager - Jennie E.</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420</v>
      </c>
      <c r="B9" s="287">
        <v>46030</v>
      </c>
      <c r="C9" s="288" t="s">
        <v>111</v>
      </c>
      <c r="D9" s="289">
        <v>43927</v>
      </c>
      <c r="E9" s="290">
        <f>D9</f>
        <v>43927</v>
      </c>
      <c r="F9" s="291"/>
      <c r="G9" s="291"/>
      <c r="H9" s="291">
        <f>E9</f>
        <v>43927</v>
      </c>
      <c r="I9" s="292"/>
    </row>
    <row r="10" spans="1:9" s="275" customFormat="1" ht="12.75" customHeight="1" x14ac:dyDescent="0.25">
      <c r="A10" s="286" t="s">
        <v>679</v>
      </c>
      <c r="B10" s="293">
        <v>46099</v>
      </c>
      <c r="C10" s="288" t="s">
        <v>680</v>
      </c>
      <c r="D10" s="290"/>
      <c r="E10" s="290">
        <f t="shared" ref="E10:E21" si="0">E9+D10</f>
        <v>43927</v>
      </c>
      <c r="F10" s="294">
        <v>30063</v>
      </c>
      <c r="G10" s="291">
        <f t="shared" ref="G10:G21" si="1">G9+F10</f>
        <v>30063</v>
      </c>
      <c r="H10" s="291">
        <f t="shared" ref="H10:H21" si="2">H9-F10+D10</f>
        <v>13864</v>
      </c>
      <c r="I10" s="292"/>
    </row>
    <row r="11" spans="1:9" s="275" customFormat="1" ht="12.75" customHeight="1" x14ac:dyDescent="0.25">
      <c r="A11" s="286"/>
      <c r="B11" s="287"/>
      <c r="C11" s="288"/>
      <c r="D11" s="290"/>
      <c r="E11" s="290">
        <f t="shared" si="0"/>
        <v>43927</v>
      </c>
      <c r="F11" s="295"/>
      <c r="G11" s="291">
        <f t="shared" si="1"/>
        <v>30063</v>
      </c>
      <c r="H11" s="291">
        <f t="shared" si="2"/>
        <v>13864</v>
      </c>
      <c r="I11" s="292"/>
    </row>
    <row r="12" spans="1:9" s="275" customFormat="1" ht="12.75" customHeight="1" x14ac:dyDescent="0.25">
      <c r="A12" s="286"/>
      <c r="B12" s="287"/>
      <c r="C12" s="288"/>
      <c r="D12" s="290"/>
      <c r="E12" s="290">
        <f t="shared" si="0"/>
        <v>43927</v>
      </c>
      <c r="F12" s="295"/>
      <c r="G12" s="291">
        <f t="shared" si="1"/>
        <v>30063</v>
      </c>
      <c r="H12" s="291">
        <f t="shared" si="2"/>
        <v>13864</v>
      </c>
      <c r="I12" s="292"/>
    </row>
    <row r="13" spans="1:9" s="275" customFormat="1" ht="12.75" customHeight="1" x14ac:dyDescent="0.25">
      <c r="A13" s="286"/>
      <c r="B13" s="287"/>
      <c r="C13" s="288"/>
      <c r="D13" s="290"/>
      <c r="E13" s="290">
        <f t="shared" si="0"/>
        <v>43927</v>
      </c>
      <c r="F13" s="295"/>
      <c r="G13" s="291">
        <f t="shared" si="1"/>
        <v>30063</v>
      </c>
      <c r="H13" s="291">
        <f t="shared" si="2"/>
        <v>13864</v>
      </c>
      <c r="I13" s="292"/>
    </row>
    <row r="14" spans="1:9" s="275" customFormat="1" ht="12.75" customHeight="1" x14ac:dyDescent="0.25">
      <c r="A14" s="286"/>
      <c r="B14" s="287"/>
      <c r="C14" s="288"/>
      <c r="D14" s="290"/>
      <c r="E14" s="290">
        <f t="shared" si="0"/>
        <v>43927</v>
      </c>
      <c r="F14" s="291"/>
      <c r="G14" s="291">
        <f t="shared" si="1"/>
        <v>30063</v>
      </c>
      <c r="H14" s="291">
        <f t="shared" si="2"/>
        <v>13864</v>
      </c>
      <c r="I14" s="292"/>
    </row>
    <row r="15" spans="1:9" s="275" customFormat="1" ht="12.75" customHeight="1" x14ac:dyDescent="0.25">
      <c r="A15" s="286"/>
      <c r="B15" s="287"/>
      <c r="C15" s="288"/>
      <c r="D15" s="290"/>
      <c r="E15" s="290">
        <f t="shared" si="0"/>
        <v>43927</v>
      </c>
      <c r="F15" s="295"/>
      <c r="G15" s="291">
        <f t="shared" si="1"/>
        <v>30063</v>
      </c>
      <c r="H15" s="291">
        <f t="shared" si="2"/>
        <v>13864</v>
      </c>
      <c r="I15" s="292"/>
    </row>
    <row r="16" spans="1:9" s="275" customFormat="1" ht="12.75" customHeight="1" x14ac:dyDescent="0.25">
      <c r="A16" s="286"/>
      <c r="B16" s="287"/>
      <c r="C16" s="288"/>
      <c r="D16" s="290"/>
      <c r="E16" s="290">
        <f t="shared" si="0"/>
        <v>43927</v>
      </c>
      <c r="F16" s="295"/>
      <c r="G16" s="291">
        <f t="shared" si="1"/>
        <v>30063</v>
      </c>
      <c r="H16" s="291">
        <f t="shared" si="2"/>
        <v>13864</v>
      </c>
      <c r="I16" s="292"/>
    </row>
    <row r="17" spans="1:9" s="275" customFormat="1" ht="12.75" customHeight="1" x14ac:dyDescent="0.25">
      <c r="A17" s="286"/>
      <c r="B17" s="287"/>
      <c r="C17" s="288"/>
      <c r="D17" s="290"/>
      <c r="E17" s="290">
        <f t="shared" si="0"/>
        <v>43927</v>
      </c>
      <c r="F17" s="295"/>
      <c r="G17" s="291">
        <f t="shared" si="1"/>
        <v>30063</v>
      </c>
      <c r="H17" s="291">
        <f t="shared" si="2"/>
        <v>13864</v>
      </c>
      <c r="I17" s="292"/>
    </row>
    <row r="18" spans="1:9" s="275" customFormat="1" ht="12.75" customHeight="1" x14ac:dyDescent="0.25">
      <c r="A18" s="286"/>
      <c r="B18" s="287"/>
      <c r="C18" s="288"/>
      <c r="D18" s="290"/>
      <c r="E18" s="290">
        <f t="shared" si="0"/>
        <v>43927</v>
      </c>
      <c r="F18" s="295"/>
      <c r="G18" s="291">
        <f t="shared" si="1"/>
        <v>30063</v>
      </c>
      <c r="H18" s="291">
        <f t="shared" si="2"/>
        <v>13864</v>
      </c>
      <c r="I18" s="292"/>
    </row>
    <row r="19" spans="1:9" s="275" customFormat="1" ht="12.75" customHeight="1" x14ac:dyDescent="0.25">
      <c r="A19" s="286"/>
      <c r="B19" s="287"/>
      <c r="C19" s="288"/>
      <c r="D19" s="290"/>
      <c r="E19" s="290">
        <f t="shared" si="0"/>
        <v>43927</v>
      </c>
      <c r="F19" s="291"/>
      <c r="G19" s="291">
        <f t="shared" si="1"/>
        <v>30063</v>
      </c>
      <c r="H19" s="291">
        <f t="shared" si="2"/>
        <v>13864</v>
      </c>
      <c r="I19" s="292"/>
    </row>
    <row r="20" spans="1:9" s="275" customFormat="1" ht="12.75" customHeight="1" x14ac:dyDescent="0.25">
      <c r="A20" s="286"/>
      <c r="B20" s="287"/>
      <c r="C20" s="288"/>
      <c r="D20" s="290"/>
      <c r="E20" s="290">
        <f t="shared" si="0"/>
        <v>43927</v>
      </c>
      <c r="F20" s="291"/>
      <c r="G20" s="291">
        <f t="shared" si="1"/>
        <v>30063</v>
      </c>
      <c r="H20" s="291">
        <f t="shared" si="2"/>
        <v>13864</v>
      </c>
      <c r="I20" s="292"/>
    </row>
    <row r="21" spans="1:9" s="275" customFormat="1" ht="12.75" customHeight="1" x14ac:dyDescent="0.25">
      <c r="A21" s="286"/>
      <c r="B21" s="287"/>
      <c r="C21" s="296"/>
      <c r="D21" s="290"/>
      <c r="E21" s="290">
        <f t="shared" si="0"/>
        <v>43927</v>
      </c>
      <c r="F21" s="291"/>
      <c r="G21" s="291">
        <f t="shared" si="1"/>
        <v>30063</v>
      </c>
      <c r="H21" s="291">
        <f t="shared" si="2"/>
        <v>13864</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43927</v>
      </c>
      <c r="E23" s="302"/>
      <c r="F23" s="302">
        <f>SUM(F9:F22)</f>
        <v>30063</v>
      </c>
      <c r="G23" s="302"/>
      <c r="H23" s="302">
        <f>D23-F23</f>
        <v>13864</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297" t="s">
        <v>421</v>
      </c>
      <c r="D26" s="291">
        <v>10008</v>
      </c>
      <c r="E26" s="291"/>
      <c r="F26" s="291">
        <f>10008</f>
        <v>10008</v>
      </c>
      <c r="G26" s="291"/>
      <c r="H26" s="291">
        <f>D26-F26</f>
        <v>0</v>
      </c>
      <c r="I26" s="292"/>
    </row>
    <row r="27" spans="1:9" s="275" customFormat="1" ht="12.75" customHeight="1" x14ac:dyDescent="0.25">
      <c r="A27" s="286"/>
      <c r="B27" s="288"/>
      <c r="C27" s="297" t="s">
        <v>307</v>
      </c>
      <c r="D27" s="291">
        <v>11466</v>
      </c>
      <c r="E27" s="291"/>
      <c r="F27" s="291">
        <f>11466</f>
        <v>11466</v>
      </c>
      <c r="G27" s="291"/>
      <c r="H27" s="291">
        <f t="shared" ref="H27:H30" si="3">D27-F27</f>
        <v>0</v>
      </c>
      <c r="I27" s="292"/>
    </row>
    <row r="28" spans="1:9" s="275" customFormat="1" ht="12.75" customHeight="1" x14ac:dyDescent="0.25">
      <c r="A28" s="286"/>
      <c r="B28" s="288"/>
      <c r="C28" s="297" t="s">
        <v>123</v>
      </c>
      <c r="D28" s="291">
        <v>8589</v>
      </c>
      <c r="E28" s="291"/>
      <c r="F28" s="291">
        <f>8589</f>
        <v>8589</v>
      </c>
      <c r="G28" s="291"/>
      <c r="H28" s="291">
        <f t="shared" si="3"/>
        <v>0</v>
      </c>
      <c r="I28" s="292"/>
    </row>
    <row r="29" spans="1:9" s="275" customFormat="1" ht="12.75" customHeight="1" x14ac:dyDescent="0.25">
      <c r="A29" s="286"/>
      <c r="B29" s="288"/>
      <c r="C29" s="312" t="s">
        <v>409</v>
      </c>
      <c r="D29" s="313">
        <v>3356</v>
      </c>
      <c r="E29" s="313"/>
      <c r="F29" s="313"/>
      <c r="G29" s="313"/>
      <c r="H29" s="291">
        <f t="shared" si="3"/>
        <v>3356</v>
      </c>
      <c r="I29" s="292"/>
    </row>
    <row r="30" spans="1:9" s="275" customFormat="1" ht="12.75" customHeight="1" x14ac:dyDescent="0.25">
      <c r="A30" s="286"/>
      <c r="B30" s="288"/>
      <c r="C30" s="312" t="s">
        <v>125</v>
      </c>
      <c r="D30" s="313">
        <v>10508</v>
      </c>
      <c r="E30" s="313"/>
      <c r="F30" s="313"/>
      <c r="G30" s="313"/>
      <c r="H30" s="291">
        <f t="shared" si="3"/>
        <v>10508</v>
      </c>
      <c r="I30" s="292"/>
    </row>
    <row r="31" spans="1:9" s="275" customFormat="1" ht="12.75" customHeight="1" thickBot="1" x14ac:dyDescent="0.3">
      <c r="A31" s="286"/>
      <c r="B31" s="288"/>
      <c r="C31" s="314" t="s">
        <v>67</v>
      </c>
      <c r="D31" s="315">
        <f>SUM(D26:D30)</f>
        <v>43927</v>
      </c>
      <c r="E31" s="316"/>
      <c r="F31" s="315">
        <f>SUM(F26:F30)</f>
        <v>30063</v>
      </c>
      <c r="G31" s="316"/>
      <c r="H31" s="315">
        <f>SUM(H26:H30)</f>
        <v>13864</v>
      </c>
      <c r="I31" s="292"/>
    </row>
    <row r="32" spans="1:9" s="275" customFormat="1" ht="12.75" customHeight="1" thickTop="1" x14ac:dyDescent="0.25"/>
  </sheetData>
  <conditionalFormatting sqref="I8:I23">
    <cfRule type="cellIs" dxfId="23"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CEF2A-DDD4-4ED0-8534-3E5B5410AAA8}">
  <sheetPr>
    <pageSetUpPr fitToPage="1"/>
  </sheetPr>
  <dimension ref="A1:J24"/>
  <sheetViews>
    <sheetView zoomScaleNormal="100" workbookViewId="0">
      <selection activeCell="M22" sqref="M22"/>
    </sheetView>
  </sheetViews>
  <sheetFormatPr defaultColWidth="11.42578125" defaultRowHeight="15" customHeight="1" x14ac:dyDescent="0.25"/>
  <cols>
    <col min="1" max="1" width="24.5703125" customWidth="1"/>
    <col min="2" max="3" width="9.42578125" customWidth="1"/>
    <col min="4" max="4" width="35.42578125" customWidth="1"/>
    <col min="5" max="5" width="12.5703125" customWidth="1"/>
    <col min="6" max="6" width="13.5703125" customWidth="1"/>
    <col min="7" max="7" width="12.42578125" customWidth="1"/>
    <col min="8" max="8" width="10.5703125" customWidth="1"/>
    <col min="9" max="9" width="13.1406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#9505.00'!B1</f>
        <v>DOC FDCF Sally Port Operator Replacement</v>
      </c>
      <c r="B1" s="3"/>
      <c r="C1" s="3"/>
      <c r="D1" s="4"/>
      <c r="E1" s="4"/>
      <c r="F1" s="4"/>
      <c r="G1" s="33"/>
      <c r="H1" s="33"/>
      <c r="I1" s="34"/>
      <c r="J1" s="34"/>
    </row>
    <row r="2" spans="1:10" ht="15.75" x14ac:dyDescent="0.25">
      <c r="A2" s="6" t="str">
        <f>'RECAP #9505.00'!B2</f>
        <v>Project # 9505.00</v>
      </c>
      <c r="B2" s="5"/>
      <c r="C2" s="5"/>
      <c r="D2" s="4"/>
      <c r="E2" s="4"/>
      <c r="F2" s="4"/>
      <c r="G2" s="33"/>
      <c r="H2" s="33"/>
      <c r="I2" s="34"/>
      <c r="J2" s="34"/>
    </row>
    <row r="3" spans="1:10" ht="15.75" x14ac:dyDescent="0.25">
      <c r="A3" s="7" t="str">
        <f>'RECAP #9505.00'!B3</f>
        <v>Program code 950500</v>
      </c>
      <c r="B3" s="5"/>
      <c r="C3" s="5"/>
      <c r="D3" s="4"/>
      <c r="E3" s="8" t="str">
        <f>'RECAP #9505.00'!E3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249</v>
      </c>
      <c r="F6" s="49"/>
      <c r="G6" s="50"/>
      <c r="H6" s="46"/>
      <c r="I6" s="41"/>
      <c r="J6" s="34"/>
    </row>
    <row r="7" spans="1:10" ht="15.75" x14ac:dyDescent="0.25">
      <c r="A7" s="13" t="str">
        <f>'RECAP #9505.00'!B6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11800</v>
      </c>
      <c r="F9" s="290">
        <f>E9</f>
        <v>11800</v>
      </c>
      <c r="G9" s="291"/>
      <c r="H9" s="291"/>
      <c r="I9" s="291">
        <f>F9</f>
        <v>11800</v>
      </c>
      <c r="J9" s="292"/>
    </row>
    <row r="10" spans="1:10" s="275" customFormat="1" ht="12.75" customHeight="1" x14ac:dyDescent="0.25">
      <c r="A10" s="220" t="s">
        <v>322</v>
      </c>
      <c r="B10" s="221">
        <v>45968</v>
      </c>
      <c r="C10" s="329" t="s">
        <v>269</v>
      </c>
      <c r="D10" s="179" t="s">
        <v>323</v>
      </c>
      <c r="E10" s="290"/>
      <c r="F10" s="290">
        <f t="shared" ref="F10:F21" si="0">F9+E10</f>
        <v>11800</v>
      </c>
      <c r="G10" s="294">
        <v>27.76</v>
      </c>
      <c r="H10" s="291">
        <f t="shared" ref="H10:H21" si="1">H9+G10</f>
        <v>27.76</v>
      </c>
      <c r="I10" s="291">
        <f t="shared" ref="I10:I21" si="2">I9-G10+E10</f>
        <v>11772.24</v>
      </c>
      <c r="J10" s="292"/>
    </row>
    <row r="11" spans="1:10" s="275" customFormat="1" ht="12.75" customHeight="1" x14ac:dyDescent="0.25">
      <c r="A11" s="220" t="s">
        <v>322</v>
      </c>
      <c r="B11" s="221">
        <v>45968</v>
      </c>
      <c r="C11" s="329">
        <v>9500</v>
      </c>
      <c r="D11" s="222" t="s">
        <v>324</v>
      </c>
      <c r="E11" s="290"/>
      <c r="F11" s="290">
        <f t="shared" si="0"/>
        <v>11800</v>
      </c>
      <c r="G11" s="294">
        <v>278.39999999999998</v>
      </c>
      <c r="H11" s="291">
        <f t="shared" si="1"/>
        <v>306.15999999999997</v>
      </c>
      <c r="I11" s="291">
        <f t="shared" si="2"/>
        <v>11493.84</v>
      </c>
      <c r="J11" s="292"/>
    </row>
    <row r="12" spans="1:10" s="275" customFormat="1" ht="12.75" customHeight="1" x14ac:dyDescent="0.2">
      <c r="A12" s="213" t="s">
        <v>373</v>
      </c>
      <c r="B12" s="214">
        <v>45996</v>
      </c>
      <c r="C12" s="332" t="s">
        <v>269</v>
      </c>
      <c r="D12" s="175" t="s">
        <v>374</v>
      </c>
      <c r="E12" s="290"/>
      <c r="F12" s="290">
        <f t="shared" si="0"/>
        <v>11800</v>
      </c>
      <c r="G12" s="294">
        <v>139.35</v>
      </c>
      <c r="H12" s="291">
        <f t="shared" si="1"/>
        <v>445.51</v>
      </c>
      <c r="I12" s="291">
        <f t="shared" si="2"/>
        <v>11354.49</v>
      </c>
      <c r="J12" s="292"/>
    </row>
    <row r="13" spans="1:10" s="275" customFormat="1" ht="12.75" customHeight="1" x14ac:dyDescent="0.2">
      <c r="A13" s="213" t="s">
        <v>373</v>
      </c>
      <c r="B13" s="214">
        <v>45996</v>
      </c>
      <c r="C13" s="333">
        <v>9500</v>
      </c>
      <c r="D13" s="78" t="s">
        <v>375</v>
      </c>
      <c r="E13" s="290"/>
      <c r="F13" s="290">
        <f t="shared" si="0"/>
        <v>11800</v>
      </c>
      <c r="G13" s="294">
        <v>887.5</v>
      </c>
      <c r="H13" s="291">
        <f t="shared" si="1"/>
        <v>1333.01</v>
      </c>
      <c r="I13" s="291">
        <f t="shared" si="2"/>
        <v>10466.99</v>
      </c>
      <c r="J13" s="292"/>
    </row>
    <row r="14" spans="1:10" s="275" customFormat="1" ht="12.75" customHeight="1" x14ac:dyDescent="0.2">
      <c r="A14" s="213" t="s">
        <v>433</v>
      </c>
      <c r="B14" s="214">
        <v>46030</v>
      </c>
      <c r="C14" s="332" t="s">
        <v>269</v>
      </c>
      <c r="D14" s="175" t="s">
        <v>434</v>
      </c>
      <c r="E14" s="290"/>
      <c r="F14" s="290">
        <f t="shared" si="0"/>
        <v>11800</v>
      </c>
      <c r="G14" s="294">
        <v>40.69</v>
      </c>
      <c r="H14" s="291">
        <f t="shared" si="1"/>
        <v>1373.7</v>
      </c>
      <c r="I14" s="291">
        <f t="shared" si="2"/>
        <v>10426.299999999999</v>
      </c>
      <c r="J14" s="292"/>
    </row>
    <row r="15" spans="1:10" s="275" customFormat="1" ht="12.75" customHeight="1" x14ac:dyDescent="0.2">
      <c r="A15" s="213" t="s">
        <v>433</v>
      </c>
      <c r="B15" s="214">
        <v>46030</v>
      </c>
      <c r="C15" s="333">
        <v>9500</v>
      </c>
      <c r="D15" s="78" t="s">
        <v>435</v>
      </c>
      <c r="E15" s="290"/>
      <c r="F15" s="290">
        <f t="shared" si="0"/>
        <v>11800</v>
      </c>
      <c r="G15" s="294">
        <v>464.2</v>
      </c>
      <c r="H15" s="291">
        <f t="shared" si="1"/>
        <v>1837.9</v>
      </c>
      <c r="I15" s="291">
        <f t="shared" si="2"/>
        <v>9962.0999999999985</v>
      </c>
      <c r="J15" s="292"/>
    </row>
    <row r="16" spans="1:10" s="275" customFormat="1" ht="12.75" customHeight="1" x14ac:dyDescent="0.2">
      <c r="A16" s="213" t="s">
        <v>559</v>
      </c>
      <c r="B16" s="214">
        <v>46062</v>
      </c>
      <c r="C16" s="332" t="s">
        <v>269</v>
      </c>
      <c r="D16" s="175" t="s">
        <v>560</v>
      </c>
      <c r="E16" s="290"/>
      <c r="F16" s="290">
        <f t="shared" si="0"/>
        <v>11800</v>
      </c>
      <c r="G16" s="294">
        <v>105.64</v>
      </c>
      <c r="H16" s="291">
        <f t="shared" si="1"/>
        <v>1943.5400000000002</v>
      </c>
      <c r="I16" s="291">
        <f t="shared" si="2"/>
        <v>9856.4599999999991</v>
      </c>
      <c r="J16" s="292"/>
    </row>
    <row r="17" spans="1:10" s="275" customFormat="1" ht="12.75" customHeight="1" x14ac:dyDescent="0.2">
      <c r="A17" s="213" t="s">
        <v>559</v>
      </c>
      <c r="B17" s="214">
        <v>46062</v>
      </c>
      <c r="C17" s="333">
        <v>9500</v>
      </c>
      <c r="D17" s="78" t="s">
        <v>561</v>
      </c>
      <c r="E17" s="290"/>
      <c r="F17" s="290">
        <f t="shared" si="0"/>
        <v>11800</v>
      </c>
      <c r="G17" s="294">
        <v>1312.8</v>
      </c>
      <c r="H17" s="291">
        <f t="shared" si="1"/>
        <v>3256.34</v>
      </c>
      <c r="I17" s="291">
        <f t="shared" si="2"/>
        <v>8543.66</v>
      </c>
      <c r="J17" s="292"/>
    </row>
    <row r="18" spans="1:10" s="275" customFormat="1" ht="12.75" customHeight="1" x14ac:dyDescent="0.2">
      <c r="A18" s="213" t="s">
        <v>663</v>
      </c>
      <c r="B18" s="214">
        <v>46090</v>
      </c>
      <c r="C18" s="332" t="s">
        <v>269</v>
      </c>
      <c r="D18" s="175" t="s">
        <v>664</v>
      </c>
      <c r="E18" s="290"/>
      <c r="F18" s="290">
        <f t="shared" si="0"/>
        <v>11800</v>
      </c>
      <c r="G18" s="294">
        <v>103.85</v>
      </c>
      <c r="H18" s="291">
        <f t="shared" si="1"/>
        <v>3360.19</v>
      </c>
      <c r="I18" s="291">
        <f t="shared" si="2"/>
        <v>8439.81</v>
      </c>
      <c r="J18" s="292"/>
    </row>
    <row r="19" spans="1:10" s="275" customFormat="1" ht="12.75" customHeight="1" x14ac:dyDescent="0.2">
      <c r="A19" s="213" t="s">
        <v>663</v>
      </c>
      <c r="B19" s="214">
        <v>46090</v>
      </c>
      <c r="C19" s="333">
        <v>9500</v>
      </c>
      <c r="D19" s="78" t="s">
        <v>665</v>
      </c>
      <c r="E19" s="290"/>
      <c r="F19" s="290">
        <f t="shared" si="0"/>
        <v>11800</v>
      </c>
      <c r="G19" s="294">
        <v>1199</v>
      </c>
      <c r="H19" s="291">
        <f t="shared" si="1"/>
        <v>4559.1900000000005</v>
      </c>
      <c r="I19" s="291">
        <f t="shared" si="2"/>
        <v>7240.8099999999995</v>
      </c>
      <c r="J19" s="292"/>
    </row>
    <row r="20" spans="1:10" s="275" customFormat="1" ht="12.75" customHeight="1" x14ac:dyDescent="0.25">
      <c r="A20" s="298"/>
      <c r="B20" s="287"/>
      <c r="C20" s="329"/>
      <c r="D20" s="297"/>
      <c r="E20" s="290"/>
      <c r="F20" s="290">
        <f t="shared" si="0"/>
        <v>11800</v>
      </c>
      <c r="G20" s="291"/>
      <c r="H20" s="291">
        <f t="shared" si="1"/>
        <v>4559.1900000000005</v>
      </c>
      <c r="I20" s="291">
        <f t="shared" si="2"/>
        <v>7240.8099999999995</v>
      </c>
      <c r="J20" s="292"/>
    </row>
    <row r="21" spans="1:10" s="275" customFormat="1" ht="12.75" customHeight="1" x14ac:dyDescent="0.25">
      <c r="A21" s="298"/>
      <c r="B21" s="287"/>
      <c r="C21" s="329"/>
      <c r="D21" s="318"/>
      <c r="E21" s="290"/>
      <c r="F21" s="290">
        <f t="shared" si="0"/>
        <v>11800</v>
      </c>
      <c r="G21" s="291"/>
      <c r="H21" s="291">
        <f t="shared" si="1"/>
        <v>4559.1900000000005</v>
      </c>
      <c r="I21" s="291">
        <f t="shared" si="2"/>
        <v>7240.8099999999995</v>
      </c>
      <c r="J21" s="292"/>
    </row>
    <row r="22" spans="1:10" s="275" customFormat="1" ht="12.75" customHeight="1" x14ac:dyDescent="0.25">
      <c r="A22" s="286"/>
      <c r="B22" s="288"/>
      <c r="C22" s="329"/>
      <c r="D22" s="297"/>
      <c r="E22" s="291"/>
      <c r="F22" s="291"/>
      <c r="G22" s="291"/>
      <c r="H22" s="291"/>
      <c r="I22" s="291"/>
      <c r="J22" s="292"/>
    </row>
    <row r="23" spans="1:10" s="275" customFormat="1" ht="12.75" customHeight="1" thickBot="1" x14ac:dyDescent="0.3">
      <c r="A23" s="286"/>
      <c r="B23" s="300"/>
      <c r="C23" s="329"/>
      <c r="D23" s="301" t="s">
        <v>24</v>
      </c>
      <c r="E23" s="302">
        <f>SUM(E9:E22)</f>
        <v>11800</v>
      </c>
      <c r="F23" s="302"/>
      <c r="G23" s="302">
        <f>SUM(G9:G22)</f>
        <v>4559.1900000000005</v>
      </c>
      <c r="H23" s="302"/>
      <c r="I23" s="302">
        <f>E23-G23</f>
        <v>7240.8099999999995</v>
      </c>
      <c r="J23" s="292"/>
    </row>
    <row r="24" spans="1:10" s="275" customFormat="1" ht="12.75" customHeight="1" thickTop="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74D16-618D-4E5E-97CF-15D626A74CCA}">
  <sheetPr>
    <tabColor indexed="30"/>
    <pageSetUpPr fitToPage="1"/>
  </sheetPr>
  <dimension ref="A1:H23"/>
  <sheetViews>
    <sheetView zoomScaleNormal="100" workbookViewId="0">
      <selection activeCell="E7" sqref="E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#9505.00'!B1</f>
        <v>DOC FDCF Sally Port Operator Replacement</v>
      </c>
      <c r="B1" s="3"/>
      <c r="C1" s="3"/>
      <c r="D1" s="3"/>
      <c r="E1" s="4"/>
      <c r="F1" s="4"/>
      <c r="G1" s="4"/>
      <c r="H1" s="33"/>
    </row>
    <row r="2" spans="1:8" ht="15.75" x14ac:dyDescent="0.25">
      <c r="A2" s="6" t="str">
        <f>'RECAP #9505.00'!B2</f>
        <v>Project # 9505.00</v>
      </c>
      <c r="B2" s="5"/>
      <c r="C2" s="5"/>
      <c r="D2" s="5"/>
      <c r="E2" s="4"/>
      <c r="F2" s="4"/>
      <c r="G2" s="4"/>
      <c r="H2" s="33"/>
    </row>
    <row r="3" spans="1:8" ht="15.75" x14ac:dyDescent="0.25">
      <c r="A3" s="7" t="str">
        <f>'RECAP #9505.00'!B3</f>
        <v>Program code 950500</v>
      </c>
      <c r="B3" s="5"/>
      <c r="C3" s="5"/>
      <c r="D3" s="5"/>
      <c r="E3" s="8" t="str">
        <f>'RECAP #9505.00'!E3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316</v>
      </c>
      <c r="F6" s="41"/>
      <c r="G6" s="44"/>
      <c r="H6" s="45"/>
    </row>
    <row r="7" spans="1:8" ht="15.75" x14ac:dyDescent="0.25">
      <c r="A7" s="13" t="str">
        <f>'RECAP #9505.00'!B6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5">
      <c r="A9" s="296"/>
      <c r="B9" s="287"/>
      <c r="C9" s="319"/>
      <c r="D9" s="319"/>
      <c r="E9" s="320"/>
      <c r="F9" s="321"/>
      <c r="G9" s="322"/>
      <c r="H9" s="322">
        <f>G9</f>
        <v>0</v>
      </c>
    </row>
    <row r="10" spans="1:8" s="275" customFormat="1" ht="12.75" customHeight="1" x14ac:dyDescent="0.25">
      <c r="A10" s="323"/>
      <c r="B10" s="287"/>
      <c r="C10" s="297"/>
      <c r="D10" s="297"/>
      <c r="E10" s="318"/>
      <c r="F10" s="309"/>
      <c r="G10" s="322"/>
      <c r="H10" s="322">
        <f>H9+G10</f>
        <v>0</v>
      </c>
    </row>
    <row r="11" spans="1:8" s="275" customFormat="1" ht="12.75" customHeight="1" x14ac:dyDescent="0.25">
      <c r="A11" s="323"/>
      <c r="B11" s="287"/>
      <c r="C11" s="287"/>
      <c r="D11" s="287"/>
      <c r="E11" s="318"/>
      <c r="F11" s="309"/>
      <c r="G11" s="322"/>
      <c r="H11" s="322">
        <f t="shared" ref="H11:H20" si="0">H10+G11</f>
        <v>0</v>
      </c>
    </row>
    <row r="12" spans="1:8" s="275" customFormat="1" ht="12.75" customHeight="1" x14ac:dyDescent="0.25">
      <c r="A12" s="323" t="s">
        <v>2</v>
      </c>
      <c r="B12" s="287" t="s">
        <v>2</v>
      </c>
      <c r="C12" s="287"/>
      <c r="D12" s="287"/>
      <c r="E12" s="318" t="s">
        <v>2</v>
      </c>
      <c r="F12" s="309"/>
      <c r="G12" s="322"/>
      <c r="H12" s="322">
        <f t="shared" si="0"/>
        <v>0</v>
      </c>
    </row>
    <row r="13" spans="1:8" s="275" customFormat="1" ht="12.75" customHeight="1" x14ac:dyDescent="0.25">
      <c r="A13" s="323" t="s">
        <v>2</v>
      </c>
      <c r="B13" s="287" t="s">
        <v>2</v>
      </c>
      <c r="C13" s="287"/>
      <c r="D13" s="287"/>
      <c r="E13" s="318" t="s">
        <v>2</v>
      </c>
      <c r="F13" s="309"/>
      <c r="G13" s="322"/>
      <c r="H13" s="322">
        <f t="shared" si="0"/>
        <v>0</v>
      </c>
    </row>
    <row r="14" spans="1:8" s="275" customFormat="1" ht="12.75" customHeight="1" x14ac:dyDescent="0.25">
      <c r="A14" s="323"/>
      <c r="B14" s="287"/>
      <c r="C14" s="287"/>
      <c r="D14" s="287"/>
      <c r="E14" s="318"/>
      <c r="F14" s="309"/>
      <c r="G14" s="322"/>
      <c r="H14" s="322">
        <f t="shared" si="0"/>
        <v>0</v>
      </c>
    </row>
    <row r="15" spans="1:8" s="275" customFormat="1" ht="12.75" customHeight="1" x14ac:dyDescent="0.25">
      <c r="A15" s="323"/>
      <c r="B15" s="287"/>
      <c r="C15" s="287"/>
      <c r="D15" s="287"/>
      <c r="E15" s="324"/>
      <c r="F15" s="309"/>
      <c r="G15" s="322"/>
      <c r="H15" s="322">
        <f t="shared" si="0"/>
        <v>0</v>
      </c>
    </row>
    <row r="16" spans="1:8" s="275" customFormat="1" ht="12.75" customHeight="1" x14ac:dyDescent="0.25">
      <c r="A16" s="323"/>
      <c r="B16" s="287"/>
      <c r="C16" s="287"/>
      <c r="D16" s="287"/>
      <c r="E16" s="318"/>
      <c r="F16" s="309"/>
      <c r="G16" s="322"/>
      <c r="H16" s="322">
        <f t="shared" si="0"/>
        <v>0</v>
      </c>
    </row>
    <row r="17" spans="1:8" s="275" customFormat="1" ht="12.75" customHeight="1" x14ac:dyDescent="0.25">
      <c r="A17" s="319"/>
      <c r="B17" s="287"/>
      <c r="C17" s="287"/>
      <c r="D17" s="287"/>
      <c r="E17" s="318"/>
      <c r="F17" s="309"/>
      <c r="G17" s="322"/>
      <c r="H17" s="322">
        <f t="shared" si="0"/>
        <v>0</v>
      </c>
    </row>
    <row r="18" spans="1:8" s="275" customFormat="1" ht="12.75" customHeight="1" x14ac:dyDescent="0.25">
      <c r="A18" s="319"/>
      <c r="B18" s="287"/>
      <c r="C18" s="287"/>
      <c r="D18" s="287"/>
      <c r="E18" s="318"/>
      <c r="F18" s="309"/>
      <c r="G18" s="322"/>
      <c r="H18" s="322">
        <f t="shared" si="0"/>
        <v>0</v>
      </c>
    </row>
    <row r="19" spans="1:8" s="275" customFormat="1" ht="12.75" customHeight="1" x14ac:dyDescent="0.25">
      <c r="A19" s="319"/>
      <c r="B19" s="287"/>
      <c r="C19" s="287"/>
      <c r="D19" s="287"/>
      <c r="E19" s="318"/>
      <c r="F19" s="309"/>
      <c r="G19" s="322"/>
      <c r="H19" s="322">
        <f t="shared" si="0"/>
        <v>0</v>
      </c>
    </row>
    <row r="20" spans="1:8" s="275" customFormat="1" ht="12.75" customHeight="1" x14ac:dyDescent="0.25">
      <c r="A20" s="319"/>
      <c r="B20" s="287"/>
      <c r="C20" s="287"/>
      <c r="D20" s="287"/>
      <c r="E20" s="318"/>
      <c r="F20" s="309"/>
      <c r="G20" s="322"/>
      <c r="H20" s="322">
        <f t="shared" si="0"/>
        <v>0</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0</v>
      </c>
      <c r="H22" s="328"/>
    </row>
    <row r="23" spans="1:8" s="275"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3E5E-161E-4259-A872-FD6D822FAFFA}">
  <sheetPr>
    <pageSetUpPr fitToPage="1"/>
  </sheetPr>
  <dimension ref="A1:I29"/>
  <sheetViews>
    <sheetView zoomScaleNormal="100" workbookViewId="0">
      <selection activeCell="F31" sqref="F31"/>
    </sheetView>
  </sheetViews>
  <sheetFormatPr defaultColWidth="11.42578125" defaultRowHeight="15" customHeight="1" x14ac:dyDescent="0.25"/>
  <cols>
    <col min="1" max="1" width="24.5703125" customWidth="1"/>
    <col min="2" max="2" width="9.42578125" customWidth="1"/>
    <col min="3" max="3" width="13.5703125" bestFit="1" customWidth="1"/>
    <col min="4" max="4" width="14.42578125" customWidth="1"/>
    <col min="5" max="5" width="13.5703125" customWidth="1"/>
    <col min="6" max="6" width="12.42578125" customWidth="1"/>
    <col min="7" max="7" width="10.5703125" customWidth="1"/>
    <col min="8" max="8" width="14.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#9505.00'!B1</f>
        <v>DOC FDCF Sally Port Operator Replacement</v>
      </c>
      <c r="B1" s="3"/>
      <c r="C1" s="4"/>
      <c r="D1" s="4"/>
      <c r="E1" s="4"/>
      <c r="F1" s="33"/>
      <c r="G1" s="33"/>
      <c r="H1" s="34"/>
      <c r="I1" s="34"/>
    </row>
    <row r="2" spans="1:9" ht="15.75" x14ac:dyDescent="0.25">
      <c r="A2" s="6" t="str">
        <f>'RECAP #9505.00'!B2</f>
        <v>Project # 9505.00</v>
      </c>
      <c r="B2" s="5"/>
      <c r="C2" s="4"/>
      <c r="D2" s="4"/>
      <c r="E2" s="4"/>
      <c r="F2" s="33"/>
      <c r="G2" s="33"/>
      <c r="H2" s="34"/>
      <c r="I2" s="34"/>
    </row>
    <row r="3" spans="1:9" ht="15.75" x14ac:dyDescent="0.25">
      <c r="A3" s="7" t="str">
        <f>'RECAP #9505.00'!B3</f>
        <v>Program code 950500</v>
      </c>
      <c r="B3" s="5"/>
      <c r="C3" s="4"/>
      <c r="D3" s="8" t="str">
        <f>'RECAP #9505.00'!E3</f>
        <v>Major Program 4E01</v>
      </c>
      <c r="E3" s="4"/>
      <c r="F3" s="33"/>
      <c r="G3" s="33"/>
      <c r="H3" s="34"/>
      <c r="I3" s="34"/>
    </row>
    <row r="4" spans="1:9" ht="15.75" x14ac:dyDescent="0.25">
      <c r="A4" s="35" t="s">
        <v>359</v>
      </c>
      <c r="B4" s="36"/>
      <c r="C4" s="37"/>
      <c r="D4" s="38" t="s">
        <v>360</v>
      </c>
      <c r="E4" s="39"/>
      <c r="F4" s="33"/>
      <c r="G4" s="33"/>
      <c r="H4" s="34"/>
      <c r="I4" s="34"/>
    </row>
    <row r="5" spans="1:9" ht="15.75" x14ac:dyDescent="0.25">
      <c r="A5" s="40" t="s">
        <v>106</v>
      </c>
      <c r="B5" s="41"/>
      <c r="C5" s="42"/>
      <c r="D5" s="43" t="s">
        <v>419</v>
      </c>
      <c r="E5" s="44"/>
      <c r="F5" s="45"/>
      <c r="G5" s="46"/>
      <c r="H5" s="41"/>
      <c r="I5" s="34"/>
    </row>
    <row r="6" spans="1:9" ht="15.75" x14ac:dyDescent="0.25">
      <c r="A6" s="13" t="str">
        <f>'RECAP #9505.00'!B6</f>
        <v>Project Manager - Jennie 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447</v>
      </c>
      <c r="B9" s="287">
        <v>46042</v>
      </c>
      <c r="C9" s="288" t="s">
        <v>111</v>
      </c>
      <c r="D9" s="289">
        <v>17836.71</v>
      </c>
      <c r="E9" s="290">
        <f>D9</f>
        <v>17836.71</v>
      </c>
      <c r="F9" s="291"/>
      <c r="G9" s="291"/>
      <c r="H9" s="291">
        <f>E9</f>
        <v>17836.71</v>
      </c>
      <c r="I9" s="292"/>
    </row>
    <row r="10" spans="1:9" s="275" customFormat="1" ht="12.75" customHeight="1" x14ac:dyDescent="0.25">
      <c r="A10" s="286" t="s">
        <v>495</v>
      </c>
      <c r="B10" s="293">
        <v>46052</v>
      </c>
      <c r="C10" s="288" t="s">
        <v>496</v>
      </c>
      <c r="D10" s="290"/>
      <c r="E10" s="290">
        <f t="shared" ref="E10:E21" si="0">E9+D10</f>
        <v>17836.71</v>
      </c>
      <c r="F10" s="294">
        <v>5544.32</v>
      </c>
      <c r="G10" s="291">
        <f t="shared" ref="G10:G21" si="1">G9+F10</f>
        <v>5544.32</v>
      </c>
      <c r="H10" s="291">
        <f t="shared" ref="H10:H21" si="2">H9-F10+D10</f>
        <v>12292.39</v>
      </c>
      <c r="I10" s="292"/>
    </row>
    <row r="11" spans="1:9" s="275" customFormat="1" ht="12.75" customHeight="1" x14ac:dyDescent="0.25">
      <c r="A11" s="286" t="s">
        <v>555</v>
      </c>
      <c r="B11" s="287">
        <v>46059</v>
      </c>
      <c r="C11" s="288" t="s">
        <v>556</v>
      </c>
      <c r="D11" s="290"/>
      <c r="E11" s="290">
        <f t="shared" si="0"/>
        <v>17836.71</v>
      </c>
      <c r="F11" s="294">
        <v>1630.1</v>
      </c>
      <c r="G11" s="291">
        <f t="shared" si="1"/>
        <v>7174.42</v>
      </c>
      <c r="H11" s="291">
        <f t="shared" si="2"/>
        <v>10662.289999999999</v>
      </c>
      <c r="I11" s="292"/>
    </row>
    <row r="12" spans="1:9" s="275" customFormat="1" ht="12.75" customHeight="1" x14ac:dyDescent="0.25">
      <c r="A12" s="286" t="s">
        <v>681</v>
      </c>
      <c r="B12" s="287">
        <v>46099</v>
      </c>
      <c r="C12" s="288" t="s">
        <v>682</v>
      </c>
      <c r="D12" s="290"/>
      <c r="E12" s="290">
        <f t="shared" si="0"/>
        <v>17836.71</v>
      </c>
      <c r="F12" s="294">
        <v>4842.1099999999997</v>
      </c>
      <c r="G12" s="291">
        <f t="shared" si="1"/>
        <v>12016.529999999999</v>
      </c>
      <c r="H12" s="291">
        <f t="shared" si="2"/>
        <v>5820.1799999999994</v>
      </c>
      <c r="I12" s="292"/>
    </row>
    <row r="13" spans="1:9" s="275" customFormat="1" ht="12.75" customHeight="1" x14ac:dyDescent="0.25">
      <c r="A13" s="286"/>
      <c r="B13" s="287"/>
      <c r="C13" s="288"/>
      <c r="D13" s="290"/>
      <c r="E13" s="290">
        <f t="shared" si="0"/>
        <v>17836.71</v>
      </c>
      <c r="F13" s="295"/>
      <c r="G13" s="291">
        <f t="shared" si="1"/>
        <v>12016.529999999999</v>
      </c>
      <c r="H13" s="291">
        <f t="shared" si="2"/>
        <v>5820.1799999999994</v>
      </c>
      <c r="I13" s="292"/>
    </row>
    <row r="14" spans="1:9" s="275" customFormat="1" ht="12.75" customHeight="1" x14ac:dyDescent="0.25">
      <c r="A14" s="286"/>
      <c r="B14" s="287"/>
      <c r="C14" s="288"/>
      <c r="D14" s="290"/>
      <c r="E14" s="290">
        <f t="shared" si="0"/>
        <v>17836.71</v>
      </c>
      <c r="F14" s="291"/>
      <c r="G14" s="291">
        <f t="shared" si="1"/>
        <v>12016.529999999999</v>
      </c>
      <c r="H14" s="291">
        <f t="shared" si="2"/>
        <v>5820.1799999999994</v>
      </c>
      <c r="I14" s="292"/>
    </row>
    <row r="15" spans="1:9" s="275" customFormat="1" ht="12.75" customHeight="1" x14ac:dyDescent="0.25">
      <c r="A15" s="286"/>
      <c r="B15" s="287"/>
      <c r="C15" s="288"/>
      <c r="D15" s="290"/>
      <c r="E15" s="290">
        <f t="shared" si="0"/>
        <v>17836.71</v>
      </c>
      <c r="F15" s="295"/>
      <c r="G15" s="291">
        <f t="shared" si="1"/>
        <v>12016.529999999999</v>
      </c>
      <c r="H15" s="291">
        <f t="shared" si="2"/>
        <v>5820.1799999999994</v>
      </c>
      <c r="I15" s="292"/>
    </row>
    <row r="16" spans="1:9" s="275" customFormat="1" ht="12.75" customHeight="1" x14ac:dyDescent="0.25">
      <c r="A16" s="286"/>
      <c r="B16" s="287"/>
      <c r="C16" s="288"/>
      <c r="D16" s="290"/>
      <c r="E16" s="290">
        <f t="shared" si="0"/>
        <v>17836.71</v>
      </c>
      <c r="F16" s="295"/>
      <c r="G16" s="291">
        <f t="shared" si="1"/>
        <v>12016.529999999999</v>
      </c>
      <c r="H16" s="291">
        <f t="shared" si="2"/>
        <v>5820.1799999999994</v>
      </c>
      <c r="I16" s="292"/>
    </row>
    <row r="17" spans="1:9" s="275" customFormat="1" ht="12.75" customHeight="1" x14ac:dyDescent="0.25">
      <c r="A17" s="286"/>
      <c r="B17" s="287"/>
      <c r="C17" s="288"/>
      <c r="D17" s="290"/>
      <c r="E17" s="290">
        <f t="shared" si="0"/>
        <v>17836.71</v>
      </c>
      <c r="F17" s="295"/>
      <c r="G17" s="291">
        <f t="shared" si="1"/>
        <v>12016.529999999999</v>
      </c>
      <c r="H17" s="291">
        <f t="shared" si="2"/>
        <v>5820.1799999999994</v>
      </c>
      <c r="I17" s="292"/>
    </row>
    <row r="18" spans="1:9" s="275" customFormat="1" ht="12.75" customHeight="1" x14ac:dyDescent="0.25">
      <c r="A18" s="286"/>
      <c r="B18" s="287"/>
      <c r="C18" s="288"/>
      <c r="D18" s="290"/>
      <c r="E18" s="290">
        <f t="shared" si="0"/>
        <v>17836.71</v>
      </c>
      <c r="F18" s="295"/>
      <c r="G18" s="291">
        <f t="shared" si="1"/>
        <v>12016.529999999999</v>
      </c>
      <c r="H18" s="291">
        <f t="shared" si="2"/>
        <v>5820.1799999999994</v>
      </c>
      <c r="I18" s="292"/>
    </row>
    <row r="19" spans="1:9" s="275" customFormat="1" ht="12.75" customHeight="1" x14ac:dyDescent="0.25">
      <c r="A19" s="286"/>
      <c r="B19" s="287"/>
      <c r="C19" s="288"/>
      <c r="D19" s="290"/>
      <c r="E19" s="290">
        <f t="shared" si="0"/>
        <v>17836.71</v>
      </c>
      <c r="F19" s="291"/>
      <c r="G19" s="291">
        <f t="shared" si="1"/>
        <v>12016.529999999999</v>
      </c>
      <c r="H19" s="291">
        <f t="shared" si="2"/>
        <v>5820.1799999999994</v>
      </c>
      <c r="I19" s="292"/>
    </row>
    <row r="20" spans="1:9" s="275" customFormat="1" ht="12.75" customHeight="1" x14ac:dyDescent="0.25">
      <c r="A20" s="286"/>
      <c r="B20" s="287"/>
      <c r="C20" s="288"/>
      <c r="D20" s="290"/>
      <c r="E20" s="290">
        <f t="shared" si="0"/>
        <v>17836.71</v>
      </c>
      <c r="F20" s="291"/>
      <c r="G20" s="291">
        <f t="shared" si="1"/>
        <v>12016.529999999999</v>
      </c>
      <c r="H20" s="291">
        <f t="shared" si="2"/>
        <v>5820.1799999999994</v>
      </c>
      <c r="I20" s="292"/>
    </row>
    <row r="21" spans="1:9" s="275" customFormat="1" ht="12.75" customHeight="1" x14ac:dyDescent="0.25">
      <c r="A21" s="286"/>
      <c r="B21" s="287"/>
      <c r="C21" s="296"/>
      <c r="D21" s="290"/>
      <c r="E21" s="290">
        <f t="shared" si="0"/>
        <v>17836.71</v>
      </c>
      <c r="F21" s="291"/>
      <c r="G21" s="291">
        <f t="shared" si="1"/>
        <v>12016.529999999999</v>
      </c>
      <c r="H21" s="291">
        <f t="shared" si="2"/>
        <v>5820.1799999999994</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17836.71</v>
      </c>
      <c r="E23" s="302"/>
      <c r="F23" s="302">
        <f>SUM(F9:F22)</f>
        <v>12016.529999999999</v>
      </c>
      <c r="G23" s="302"/>
      <c r="H23" s="302">
        <f>D23-F23</f>
        <v>5820.18</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297" t="s">
        <v>112</v>
      </c>
      <c r="D26" s="291">
        <v>17516.71</v>
      </c>
      <c r="E26" s="291"/>
      <c r="F26" s="291">
        <f>5466.32+1552.1+4764.11</f>
        <v>11782.529999999999</v>
      </c>
      <c r="G26" s="291"/>
      <c r="H26" s="291">
        <f>D26-F26</f>
        <v>5734.18</v>
      </c>
      <c r="I26" s="292"/>
    </row>
    <row r="27" spans="1:9" s="275" customFormat="1" ht="12.75" customHeight="1" x14ac:dyDescent="0.25">
      <c r="A27" s="286"/>
      <c r="B27" s="288"/>
      <c r="C27" s="297" t="s">
        <v>113</v>
      </c>
      <c r="D27" s="291">
        <v>320</v>
      </c>
      <c r="E27" s="291"/>
      <c r="F27" s="291">
        <f>78+78+78</f>
        <v>234</v>
      </c>
      <c r="G27" s="291"/>
      <c r="H27" s="291">
        <f t="shared" ref="H27" si="3">D27-F27</f>
        <v>86</v>
      </c>
      <c r="I27" s="292"/>
    </row>
    <row r="28" spans="1:9" s="275" customFormat="1" ht="12.75" customHeight="1" thickBot="1" x14ac:dyDescent="0.3">
      <c r="A28" s="286"/>
      <c r="B28" s="288"/>
      <c r="C28" s="314" t="s">
        <v>67</v>
      </c>
      <c r="D28" s="315">
        <f>SUM(D26:D27)</f>
        <v>17836.71</v>
      </c>
      <c r="E28" s="316"/>
      <c r="F28" s="315">
        <f>SUM(F26:F27)</f>
        <v>12016.529999999999</v>
      </c>
      <c r="G28" s="316"/>
      <c r="H28" s="315">
        <f>SUM(H26:H27)</f>
        <v>5820.18</v>
      </c>
      <c r="I28" s="292"/>
    </row>
    <row r="29" spans="1:9" s="275" customFormat="1" ht="12.75" customHeight="1" thickTop="1" x14ac:dyDescent="0.25"/>
  </sheetData>
  <conditionalFormatting sqref="I8:I23">
    <cfRule type="cellIs" dxfId="22" priority="1" operator="greaterThan">
      <formula>$H$23</formula>
    </cfRule>
  </conditionalFormatting>
  <pageMargins left="0.25" right="0.25" top="0.95" bottom="0.75" header="0.09" footer="0.3"/>
  <pageSetup scale="8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DBB7-4183-4B7E-B9A5-1B722BBABBFB}">
  <sheetPr>
    <pageSetUpPr fitToPage="1"/>
  </sheetPr>
  <dimension ref="A1:G16"/>
  <sheetViews>
    <sheetView topLeftCell="A3" zoomScaleNormal="100" workbookViewId="0">
      <selection activeCell="E21" sqref="E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178</v>
      </c>
      <c r="C1" s="3"/>
      <c r="D1" s="4"/>
      <c r="E1" s="4"/>
      <c r="F1" s="4"/>
      <c r="G1" s="4"/>
    </row>
    <row r="2" spans="1:7" ht="15.75" x14ac:dyDescent="0.25">
      <c r="A2" s="1"/>
      <c r="B2" s="6" t="s">
        <v>216</v>
      </c>
      <c r="C2" s="5"/>
      <c r="D2" s="4"/>
      <c r="E2" s="4"/>
      <c r="F2" s="4"/>
      <c r="G2" s="4"/>
    </row>
    <row r="3" spans="1:7" ht="15.75" x14ac:dyDescent="0.25">
      <c r="A3" s="1"/>
      <c r="B3" s="7" t="s">
        <v>217</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202</v>
      </c>
      <c r="C6" s="14"/>
      <c r="D6" s="15" t="s">
        <v>2</v>
      </c>
      <c r="E6" s="16"/>
      <c r="F6" s="16"/>
      <c r="G6" s="16"/>
    </row>
    <row r="7" spans="1:7" ht="38.25" customHeight="1" thickBot="1" x14ac:dyDescent="0.3">
      <c r="A7" s="1"/>
      <c r="B7" s="18" t="s">
        <v>2</v>
      </c>
      <c r="C7" s="19" t="s">
        <v>3</v>
      </c>
      <c r="D7" s="20" t="s">
        <v>4</v>
      </c>
      <c r="E7" s="21" t="s">
        <v>5</v>
      </c>
      <c r="F7" s="22" t="s">
        <v>6</v>
      </c>
      <c r="G7" s="22" t="s">
        <v>7</v>
      </c>
    </row>
    <row r="8" spans="1:7" ht="28.35" customHeight="1" x14ac:dyDescent="0.25">
      <c r="A8" s="1"/>
      <c r="B8" s="1" t="s">
        <v>8</v>
      </c>
      <c r="C8" s="23">
        <f>FINANCIAL!G33</f>
        <v>1680747</v>
      </c>
      <c r="D8" s="24"/>
      <c r="E8" s="24"/>
      <c r="F8" s="24"/>
      <c r="G8" s="25"/>
    </row>
    <row r="9" spans="1:7" x14ac:dyDescent="0.25">
      <c r="A9" s="1"/>
      <c r="B9" s="5"/>
      <c r="C9" s="26"/>
      <c r="D9" s="27"/>
      <c r="E9" s="27"/>
      <c r="F9" s="27"/>
      <c r="G9" s="25"/>
    </row>
    <row r="10" spans="1:7" s="275" customFormat="1" ht="12.75" customHeight="1" x14ac:dyDescent="0.25">
      <c r="A10" s="303"/>
      <c r="B10" s="304" t="s">
        <v>261</v>
      </c>
      <c r="C10" s="305"/>
      <c r="D10" s="308">
        <f>'#9506.00 McGough Construction'!D23</f>
        <v>14731.62</v>
      </c>
      <c r="E10" s="308">
        <f>'#9506.00 McGough Construction'!F23</f>
        <v>2997.7200000000003</v>
      </c>
      <c r="F10" s="308">
        <f>'#9506.00 McGough Construction'!H23</f>
        <v>11733.900000000001</v>
      </c>
      <c r="G10" s="307"/>
    </row>
    <row r="11" spans="1:7" s="275" customFormat="1" ht="12.75" customHeight="1" x14ac:dyDescent="0.25">
      <c r="A11" s="303"/>
      <c r="B11" s="304" t="s">
        <v>10</v>
      </c>
      <c r="C11" s="305"/>
      <c r="D11" s="308">
        <f>'#9506.00 PM TIME'!E26</f>
        <v>18000</v>
      </c>
      <c r="E11" s="308">
        <f>'#9506.00 PM TIME'!G26</f>
        <v>6161.01</v>
      </c>
      <c r="F11" s="308">
        <f>'#9506.00 PM TIME'!I26</f>
        <v>11838.99</v>
      </c>
      <c r="G11" s="307"/>
    </row>
    <row r="12" spans="1:7" s="275" customFormat="1" ht="12.75" customHeight="1" x14ac:dyDescent="0.25">
      <c r="A12" s="303"/>
      <c r="B12" s="304" t="s">
        <v>11</v>
      </c>
      <c r="C12" s="306"/>
      <c r="D12" s="309">
        <f>'#9506.00 Misc'!G22</f>
        <v>13.5</v>
      </c>
      <c r="E12" s="309">
        <f>'#9506.00 Misc'!G22</f>
        <v>13.5</v>
      </c>
      <c r="F12" s="308">
        <f>D12-E12</f>
        <v>0</v>
      </c>
      <c r="G12" s="307"/>
    </row>
    <row r="13" spans="1:7" s="275" customFormat="1" ht="12.75" customHeight="1" x14ac:dyDescent="0.25">
      <c r="A13" s="303"/>
      <c r="B13" s="304" t="s">
        <v>547</v>
      </c>
      <c r="C13" s="306"/>
      <c r="D13" s="309">
        <f>'#9506.00 Bolton and Menk'!D23</f>
        <v>152244</v>
      </c>
      <c r="E13" s="309">
        <f>'#9506.00 Bolton and Menk'!F23</f>
        <v>0</v>
      </c>
      <c r="F13" s="308">
        <f>'#9506.00 Bolton and Menk'!H23</f>
        <v>152244</v>
      </c>
      <c r="G13" s="307"/>
    </row>
    <row r="14" spans="1:7" s="275" customFormat="1" ht="12.75" customHeight="1" x14ac:dyDescent="0.25">
      <c r="A14" s="310"/>
      <c r="B14" s="304"/>
      <c r="C14" s="306"/>
      <c r="D14" s="309"/>
      <c r="E14" s="309"/>
      <c r="F14" s="308"/>
      <c r="G14" s="311"/>
    </row>
    <row r="15" spans="1:7" ht="24" customHeight="1" thickBot="1" x14ac:dyDescent="0.3">
      <c r="A15" s="30"/>
      <c r="B15" s="31" t="s">
        <v>12</v>
      </c>
      <c r="C15" s="32">
        <f>SUM(C8:C14)</f>
        <v>1680747</v>
      </c>
      <c r="D15" s="32">
        <f>SUM(D8:D14)</f>
        <v>184989.12</v>
      </c>
      <c r="E15" s="32">
        <f>SUM(E8:E14)</f>
        <v>9172.23</v>
      </c>
      <c r="F15" s="32">
        <f>SUM(D15-E15)</f>
        <v>175816.88999999998</v>
      </c>
      <c r="G15" s="32">
        <f>C8-D15</f>
        <v>1495757.88</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072A-3C92-4DA5-9A52-F9216E1E7504}">
  <sheetPr>
    <pageSetUpPr fitToPage="1"/>
  </sheetPr>
  <dimension ref="A1:I29"/>
  <sheetViews>
    <sheetView zoomScaleNormal="100" workbookViewId="0">
      <selection activeCell="M20" sqref="M20"/>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1.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#9506.00'!B1</f>
        <v>DOC MPCF Perimeter Fence and Wagon Gates</v>
      </c>
      <c r="B1" s="3"/>
      <c r="C1" s="4"/>
      <c r="D1" s="4"/>
      <c r="E1" s="4"/>
      <c r="F1" s="33"/>
      <c r="G1" s="33"/>
      <c r="H1" s="34"/>
      <c r="I1" s="34"/>
    </row>
    <row r="2" spans="1:9" ht="15.75" x14ac:dyDescent="0.25">
      <c r="A2" s="6" t="str">
        <f>'RECAP #9506.00'!B2</f>
        <v>Project # 9506.00</v>
      </c>
      <c r="B2" s="5"/>
      <c r="C2" s="4"/>
      <c r="D2" s="4"/>
      <c r="E2" s="4"/>
      <c r="F2" s="33"/>
      <c r="G2" s="33"/>
      <c r="H2" s="34"/>
      <c r="I2" s="34"/>
    </row>
    <row r="3" spans="1:9" ht="15.75" x14ac:dyDescent="0.25">
      <c r="A3" s="7" t="str">
        <f>'RECAP #9506.00'!B3</f>
        <v>Program code 950600</v>
      </c>
      <c r="B3" s="5"/>
      <c r="C3" s="4"/>
      <c r="D3" s="8" t="str">
        <f>'RECAP #9506.00'!E3</f>
        <v>Major Program 4E01</v>
      </c>
      <c r="E3" s="4"/>
      <c r="F3" s="33"/>
      <c r="G3" s="33"/>
      <c r="H3" s="34"/>
      <c r="I3" s="34"/>
    </row>
    <row r="4" spans="1:9" ht="15.75" x14ac:dyDescent="0.25">
      <c r="A4" s="35" t="s">
        <v>261</v>
      </c>
      <c r="B4" s="36"/>
      <c r="C4" s="37"/>
      <c r="D4" s="38" t="s">
        <v>262</v>
      </c>
      <c r="E4" s="39"/>
      <c r="F4" s="33"/>
      <c r="G4" s="33"/>
      <c r="H4" s="34"/>
      <c r="I4" s="34"/>
    </row>
    <row r="5" spans="1:9" ht="15.75" x14ac:dyDescent="0.25">
      <c r="A5" s="40" t="s">
        <v>330</v>
      </c>
      <c r="B5" s="41"/>
      <c r="C5" s="42"/>
      <c r="D5" s="43" t="s">
        <v>263</v>
      </c>
      <c r="E5" s="44"/>
      <c r="F5" s="45"/>
      <c r="G5" s="46"/>
      <c r="H5" s="41"/>
      <c r="I5" s="34"/>
    </row>
    <row r="6" spans="1:9" ht="15.75" x14ac:dyDescent="0.25">
      <c r="A6" s="13" t="str">
        <f>'RECAP #9506.00'!B6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5" customFormat="1" ht="12.75" customHeight="1" x14ac:dyDescent="0.25">
      <c r="A9" s="286" t="s">
        <v>331</v>
      </c>
      <c r="B9" s="287">
        <v>45980</v>
      </c>
      <c r="C9" s="288" t="s">
        <v>111</v>
      </c>
      <c r="D9" s="289">
        <v>14731.62</v>
      </c>
      <c r="E9" s="290">
        <f>D9</f>
        <v>14731.62</v>
      </c>
      <c r="F9" s="291"/>
      <c r="G9" s="291"/>
      <c r="H9" s="291">
        <f>E9</f>
        <v>14731.62</v>
      </c>
      <c r="I9" s="292"/>
    </row>
    <row r="10" spans="1:9" s="275" customFormat="1" ht="12.75" customHeight="1" x14ac:dyDescent="0.25">
      <c r="A10" s="286" t="s">
        <v>568</v>
      </c>
      <c r="B10" s="293">
        <v>46069</v>
      </c>
      <c r="C10" s="288" t="s">
        <v>569</v>
      </c>
      <c r="D10" s="290"/>
      <c r="E10" s="290">
        <f t="shared" ref="E10:E21" si="0">E9+D10</f>
        <v>14731.62</v>
      </c>
      <c r="F10" s="294">
        <v>2109</v>
      </c>
      <c r="G10" s="291">
        <f t="shared" ref="G10:G21" si="1">G9+F10</f>
        <v>2109</v>
      </c>
      <c r="H10" s="291">
        <f t="shared" ref="H10:H21" si="2">H9-F10+D10</f>
        <v>12622.62</v>
      </c>
      <c r="I10" s="292"/>
    </row>
    <row r="11" spans="1:9" s="275" customFormat="1" ht="12.75" customHeight="1" x14ac:dyDescent="0.25">
      <c r="A11" s="286" t="s">
        <v>686</v>
      </c>
      <c r="B11" s="287">
        <v>46100</v>
      </c>
      <c r="C11" s="288" t="s">
        <v>687</v>
      </c>
      <c r="D11" s="290"/>
      <c r="E11" s="290">
        <f t="shared" si="0"/>
        <v>14731.62</v>
      </c>
      <c r="F11" s="294">
        <v>888.72</v>
      </c>
      <c r="G11" s="291">
        <f t="shared" si="1"/>
        <v>2997.7200000000003</v>
      </c>
      <c r="H11" s="291">
        <f t="shared" si="2"/>
        <v>11733.900000000001</v>
      </c>
      <c r="I11" s="292"/>
    </row>
    <row r="12" spans="1:9" s="275" customFormat="1" ht="12.75" customHeight="1" x14ac:dyDescent="0.25">
      <c r="A12" s="286"/>
      <c r="B12" s="287"/>
      <c r="C12" s="288"/>
      <c r="D12" s="290"/>
      <c r="E12" s="290">
        <f t="shared" si="0"/>
        <v>14731.62</v>
      </c>
      <c r="F12" s="295"/>
      <c r="G12" s="291">
        <f t="shared" si="1"/>
        <v>2997.7200000000003</v>
      </c>
      <c r="H12" s="291">
        <f t="shared" si="2"/>
        <v>11733.900000000001</v>
      </c>
      <c r="I12" s="292"/>
    </row>
    <row r="13" spans="1:9" s="275" customFormat="1" ht="12.75" customHeight="1" x14ac:dyDescent="0.25">
      <c r="A13" s="286"/>
      <c r="B13" s="287"/>
      <c r="C13" s="288"/>
      <c r="D13" s="290"/>
      <c r="E13" s="290">
        <f t="shared" si="0"/>
        <v>14731.62</v>
      </c>
      <c r="F13" s="295"/>
      <c r="G13" s="291">
        <f t="shared" si="1"/>
        <v>2997.7200000000003</v>
      </c>
      <c r="H13" s="291">
        <f t="shared" si="2"/>
        <v>11733.900000000001</v>
      </c>
      <c r="I13" s="292"/>
    </row>
    <row r="14" spans="1:9" s="275" customFormat="1" ht="12.75" customHeight="1" x14ac:dyDescent="0.25">
      <c r="A14" s="286"/>
      <c r="B14" s="287"/>
      <c r="C14" s="288"/>
      <c r="D14" s="290"/>
      <c r="E14" s="290">
        <f t="shared" si="0"/>
        <v>14731.62</v>
      </c>
      <c r="F14" s="291"/>
      <c r="G14" s="291">
        <f t="shared" si="1"/>
        <v>2997.7200000000003</v>
      </c>
      <c r="H14" s="291">
        <f t="shared" si="2"/>
        <v>11733.900000000001</v>
      </c>
      <c r="I14" s="292"/>
    </row>
    <row r="15" spans="1:9" s="275" customFormat="1" ht="12.75" customHeight="1" x14ac:dyDescent="0.25">
      <c r="A15" s="286"/>
      <c r="B15" s="287"/>
      <c r="C15" s="288"/>
      <c r="D15" s="290"/>
      <c r="E15" s="290">
        <f t="shared" si="0"/>
        <v>14731.62</v>
      </c>
      <c r="F15" s="295"/>
      <c r="G15" s="291">
        <f t="shared" si="1"/>
        <v>2997.7200000000003</v>
      </c>
      <c r="H15" s="291">
        <f t="shared" si="2"/>
        <v>11733.900000000001</v>
      </c>
      <c r="I15" s="292"/>
    </row>
    <row r="16" spans="1:9" s="275" customFormat="1" ht="12.75" customHeight="1" x14ac:dyDescent="0.25">
      <c r="A16" s="286"/>
      <c r="B16" s="287"/>
      <c r="C16" s="288"/>
      <c r="D16" s="290"/>
      <c r="E16" s="290">
        <f t="shared" si="0"/>
        <v>14731.62</v>
      </c>
      <c r="F16" s="295"/>
      <c r="G16" s="291">
        <f t="shared" si="1"/>
        <v>2997.7200000000003</v>
      </c>
      <c r="H16" s="291">
        <f t="shared" si="2"/>
        <v>11733.900000000001</v>
      </c>
      <c r="I16" s="292"/>
    </row>
    <row r="17" spans="1:9" s="275" customFormat="1" ht="12.75" customHeight="1" x14ac:dyDescent="0.25">
      <c r="A17" s="286"/>
      <c r="B17" s="287"/>
      <c r="C17" s="288"/>
      <c r="D17" s="290"/>
      <c r="E17" s="290">
        <f t="shared" si="0"/>
        <v>14731.62</v>
      </c>
      <c r="F17" s="295"/>
      <c r="G17" s="291">
        <f t="shared" si="1"/>
        <v>2997.7200000000003</v>
      </c>
      <c r="H17" s="291">
        <f t="shared" si="2"/>
        <v>11733.900000000001</v>
      </c>
      <c r="I17" s="292"/>
    </row>
    <row r="18" spans="1:9" s="275" customFormat="1" ht="12.75" customHeight="1" x14ac:dyDescent="0.25">
      <c r="A18" s="286"/>
      <c r="B18" s="287"/>
      <c r="C18" s="288"/>
      <c r="D18" s="290"/>
      <c r="E18" s="290">
        <f t="shared" si="0"/>
        <v>14731.62</v>
      </c>
      <c r="F18" s="295"/>
      <c r="G18" s="291">
        <f t="shared" si="1"/>
        <v>2997.7200000000003</v>
      </c>
      <c r="H18" s="291">
        <f t="shared" si="2"/>
        <v>11733.900000000001</v>
      </c>
      <c r="I18" s="292"/>
    </row>
    <row r="19" spans="1:9" s="275" customFormat="1" ht="12.75" customHeight="1" x14ac:dyDescent="0.25">
      <c r="A19" s="286"/>
      <c r="B19" s="287"/>
      <c r="C19" s="288"/>
      <c r="D19" s="290"/>
      <c r="E19" s="290">
        <f t="shared" si="0"/>
        <v>14731.62</v>
      </c>
      <c r="F19" s="291"/>
      <c r="G19" s="291">
        <f t="shared" si="1"/>
        <v>2997.7200000000003</v>
      </c>
      <c r="H19" s="291">
        <f t="shared" si="2"/>
        <v>11733.900000000001</v>
      </c>
      <c r="I19" s="292"/>
    </row>
    <row r="20" spans="1:9" s="275" customFormat="1" ht="12.75" customHeight="1" x14ac:dyDescent="0.25">
      <c r="A20" s="286"/>
      <c r="B20" s="287"/>
      <c r="C20" s="288"/>
      <c r="D20" s="290"/>
      <c r="E20" s="290">
        <f t="shared" si="0"/>
        <v>14731.62</v>
      </c>
      <c r="F20" s="291"/>
      <c r="G20" s="291">
        <f t="shared" si="1"/>
        <v>2997.7200000000003</v>
      </c>
      <c r="H20" s="291">
        <f t="shared" si="2"/>
        <v>11733.900000000001</v>
      </c>
      <c r="I20" s="292"/>
    </row>
    <row r="21" spans="1:9" s="275" customFormat="1" ht="12.75" customHeight="1" x14ac:dyDescent="0.25">
      <c r="A21" s="286"/>
      <c r="B21" s="287"/>
      <c r="C21" s="296"/>
      <c r="D21" s="290"/>
      <c r="E21" s="290">
        <f t="shared" si="0"/>
        <v>14731.62</v>
      </c>
      <c r="F21" s="291"/>
      <c r="G21" s="291">
        <f t="shared" si="1"/>
        <v>2997.7200000000003</v>
      </c>
      <c r="H21" s="291">
        <f t="shared" si="2"/>
        <v>11733.900000000001</v>
      </c>
      <c r="I21" s="292"/>
    </row>
    <row r="22" spans="1:9" s="275" customFormat="1" ht="12.75" customHeight="1" x14ac:dyDescent="0.25">
      <c r="A22" s="286"/>
      <c r="B22" s="288"/>
      <c r="C22" s="297"/>
      <c r="D22" s="291"/>
      <c r="E22" s="291"/>
      <c r="F22" s="291"/>
      <c r="G22" s="291"/>
      <c r="H22" s="291"/>
      <c r="I22" s="292"/>
    </row>
    <row r="23" spans="1:9" s="275" customFormat="1" ht="12.75" customHeight="1" thickBot="1" x14ac:dyDescent="0.3">
      <c r="A23" s="286"/>
      <c r="B23" s="300"/>
      <c r="C23" s="301" t="s">
        <v>24</v>
      </c>
      <c r="D23" s="302">
        <f>SUM(D9:D22)</f>
        <v>14731.62</v>
      </c>
      <c r="E23" s="302"/>
      <c r="F23" s="302">
        <f>SUM(F9:F22)</f>
        <v>2997.7200000000003</v>
      </c>
      <c r="G23" s="302"/>
      <c r="H23" s="302">
        <f>D23-F23</f>
        <v>11733.900000000001</v>
      </c>
      <c r="I23" s="292"/>
    </row>
    <row r="24" spans="1:9" s="275" customFormat="1" ht="12.75" customHeight="1" thickTop="1" x14ac:dyDescent="0.25">
      <c r="A24" s="286"/>
      <c r="B24" s="288"/>
      <c r="C24" s="297"/>
      <c r="D24" s="291"/>
      <c r="E24" s="291"/>
      <c r="F24" s="291"/>
      <c r="G24" s="291"/>
      <c r="H24" s="291"/>
      <c r="I24" s="292"/>
    </row>
    <row r="25" spans="1:9" s="275" customFormat="1" ht="12.75" customHeight="1" x14ac:dyDescent="0.25">
      <c r="A25" s="286"/>
      <c r="B25" s="288"/>
      <c r="C25" s="297"/>
      <c r="D25" s="291"/>
      <c r="E25" s="291"/>
      <c r="F25" s="291"/>
      <c r="G25" s="291"/>
      <c r="H25" s="291"/>
      <c r="I25" s="292"/>
    </row>
    <row r="26" spans="1:9" s="275" customFormat="1" ht="12.75" customHeight="1" x14ac:dyDescent="0.25">
      <c r="A26" s="286"/>
      <c r="B26" s="288"/>
      <c r="C26" s="312" t="s">
        <v>112</v>
      </c>
      <c r="D26" s="313">
        <v>14311.62</v>
      </c>
      <c r="E26" s="313"/>
      <c r="F26" s="313">
        <f>2062.5+875.22</f>
        <v>2937.7200000000003</v>
      </c>
      <c r="G26" s="313"/>
      <c r="H26" s="313">
        <f>D26-F26</f>
        <v>11373.900000000001</v>
      </c>
      <c r="I26" s="292"/>
    </row>
    <row r="27" spans="1:9" s="275" customFormat="1" ht="12.75" customHeight="1" x14ac:dyDescent="0.25">
      <c r="A27" s="286"/>
      <c r="B27" s="288"/>
      <c r="C27" s="312" t="s">
        <v>113</v>
      </c>
      <c r="D27" s="313">
        <v>420</v>
      </c>
      <c r="E27" s="313"/>
      <c r="F27" s="313">
        <f>46.5+13.5</f>
        <v>60</v>
      </c>
      <c r="G27" s="313"/>
      <c r="H27" s="313">
        <f>D27-F27</f>
        <v>360</v>
      </c>
      <c r="I27" s="292"/>
    </row>
    <row r="28" spans="1:9" s="275" customFormat="1" ht="12.75" customHeight="1" thickBot="1" x14ac:dyDescent="0.3">
      <c r="A28" s="286"/>
      <c r="B28" s="288"/>
      <c r="C28" s="314" t="s">
        <v>67</v>
      </c>
      <c r="D28" s="315">
        <f>SUM(D26:D27)</f>
        <v>14731.62</v>
      </c>
      <c r="E28" s="316"/>
      <c r="F28" s="315">
        <f>SUM(F26:F27)</f>
        <v>2997.7200000000003</v>
      </c>
      <c r="G28" s="316"/>
      <c r="H28" s="315">
        <f>SUM(H26:H27)</f>
        <v>11733.900000000001</v>
      </c>
      <c r="I28" s="292"/>
    </row>
    <row r="29" spans="1:9" s="275" customFormat="1" ht="12.75" customHeight="1" thickTop="1" x14ac:dyDescent="0.25"/>
  </sheetData>
  <conditionalFormatting sqref="I8:I23">
    <cfRule type="cellIs" dxfId="21"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8935-B0E3-40CA-9BED-66B339E6BA93}">
  <sheetPr>
    <pageSetUpPr fitToPage="1"/>
  </sheetPr>
  <dimension ref="A1:J27"/>
  <sheetViews>
    <sheetView zoomScaleNormal="100" workbookViewId="0">
      <selection activeCell="N22" sqref="N22"/>
    </sheetView>
  </sheetViews>
  <sheetFormatPr defaultColWidth="11.42578125" defaultRowHeight="15" customHeight="1" x14ac:dyDescent="0.25"/>
  <cols>
    <col min="1" max="1" width="24.5703125" customWidth="1"/>
    <col min="2" max="3" width="9.42578125" customWidth="1"/>
    <col min="4" max="4" width="37.28515625" customWidth="1"/>
    <col min="5" max="5" width="12.5703125" customWidth="1"/>
    <col min="6" max="6" width="13.5703125" customWidth="1"/>
    <col min="7" max="7" width="12.42578125" customWidth="1"/>
    <col min="8" max="8" width="10.5703125" customWidth="1"/>
    <col min="9" max="9" width="13.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#9506.00'!B1</f>
        <v>DOC MPCF Perimeter Fence and Wagon Gates</v>
      </c>
      <c r="B1" s="3"/>
      <c r="C1" s="3"/>
      <c r="D1" s="4"/>
      <c r="E1" s="4"/>
      <c r="F1" s="4"/>
      <c r="G1" s="33"/>
      <c r="H1" s="33"/>
      <c r="I1" s="34"/>
      <c r="J1" s="34"/>
    </row>
    <row r="2" spans="1:10" ht="15.75" x14ac:dyDescent="0.25">
      <c r="A2" s="6" t="str">
        <f>'RECAP #9506.00'!B2</f>
        <v>Project # 9506.00</v>
      </c>
      <c r="B2" s="5"/>
      <c r="C2" s="5"/>
      <c r="D2" s="4"/>
      <c r="E2" s="4"/>
      <c r="F2" s="4"/>
      <c r="G2" s="33"/>
      <c r="H2" s="33"/>
      <c r="I2" s="34"/>
      <c r="J2" s="34"/>
    </row>
    <row r="3" spans="1:10" ht="15.75" x14ac:dyDescent="0.25">
      <c r="A3" s="7" t="str">
        <f>'RECAP #9506.00'!B3</f>
        <v>Program code 950600</v>
      </c>
      <c r="B3" s="5"/>
      <c r="C3" s="5"/>
      <c r="D3" s="4"/>
      <c r="E3" s="8" t="str">
        <f>'RECAP #9506.00'!E3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250</v>
      </c>
      <c r="F6" s="49"/>
      <c r="G6" s="50"/>
      <c r="H6" s="46"/>
      <c r="I6" s="41"/>
      <c r="J6" s="34"/>
    </row>
    <row r="7" spans="1:10" ht="15.75" x14ac:dyDescent="0.25">
      <c r="A7" s="13" t="str">
        <f>'RECAP #9506.00'!B6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5" customFormat="1" ht="12.75" customHeight="1" x14ac:dyDescent="0.25">
      <c r="A9" s="298"/>
      <c r="B9" s="287"/>
      <c r="C9" s="287"/>
      <c r="D9" s="297" t="s">
        <v>29</v>
      </c>
      <c r="E9" s="289">
        <v>18000</v>
      </c>
      <c r="F9" s="290">
        <f>E9</f>
        <v>18000</v>
      </c>
      <c r="G9" s="291"/>
      <c r="H9" s="291"/>
      <c r="I9" s="291">
        <f>F9</f>
        <v>18000</v>
      </c>
      <c r="J9" s="292"/>
    </row>
    <row r="10" spans="1:10" s="275" customFormat="1" ht="12.75" customHeight="1" x14ac:dyDescent="0.25">
      <c r="A10" s="220" t="s">
        <v>268</v>
      </c>
      <c r="B10" s="221">
        <v>45937</v>
      </c>
      <c r="C10" s="329" t="s">
        <v>269</v>
      </c>
      <c r="D10" s="179" t="s">
        <v>270</v>
      </c>
      <c r="E10" s="290"/>
      <c r="F10" s="290">
        <f t="shared" ref="F10:F24" si="0">F9+E10</f>
        <v>18000</v>
      </c>
      <c r="G10" s="294">
        <v>44.41</v>
      </c>
      <c r="H10" s="291">
        <f t="shared" ref="H10:H24" si="1">H9+G10</f>
        <v>44.41</v>
      </c>
      <c r="I10" s="291">
        <f t="shared" ref="I10:I24" si="2">I9-G10+E10</f>
        <v>17955.59</v>
      </c>
      <c r="J10" s="292"/>
    </row>
    <row r="11" spans="1:10" s="275" customFormat="1" ht="12.75" customHeight="1" x14ac:dyDescent="0.25">
      <c r="A11" s="220" t="s">
        <v>268</v>
      </c>
      <c r="B11" s="221">
        <v>45937</v>
      </c>
      <c r="C11" s="329">
        <v>9500</v>
      </c>
      <c r="D11" s="222" t="s">
        <v>271</v>
      </c>
      <c r="E11" s="290"/>
      <c r="F11" s="290">
        <f t="shared" si="0"/>
        <v>18000</v>
      </c>
      <c r="G11" s="294">
        <v>229.2</v>
      </c>
      <c r="H11" s="291">
        <f t="shared" si="1"/>
        <v>273.61</v>
      </c>
      <c r="I11" s="291">
        <f t="shared" si="2"/>
        <v>17726.39</v>
      </c>
      <c r="J11" s="292"/>
    </row>
    <row r="12" spans="1:10" s="275" customFormat="1" ht="12.75" customHeight="1" x14ac:dyDescent="0.25">
      <c r="A12" s="220" t="s">
        <v>322</v>
      </c>
      <c r="B12" s="221">
        <v>45968</v>
      </c>
      <c r="C12" s="329" t="s">
        <v>269</v>
      </c>
      <c r="D12" s="179" t="s">
        <v>323</v>
      </c>
      <c r="E12" s="290"/>
      <c r="F12" s="290">
        <f t="shared" si="0"/>
        <v>18000</v>
      </c>
      <c r="G12" s="294">
        <v>49.36</v>
      </c>
      <c r="H12" s="291">
        <f t="shared" si="1"/>
        <v>322.97000000000003</v>
      </c>
      <c r="I12" s="291">
        <f t="shared" si="2"/>
        <v>17677.03</v>
      </c>
      <c r="J12" s="292"/>
    </row>
    <row r="13" spans="1:10" s="275" customFormat="1" ht="12.75" customHeight="1" x14ac:dyDescent="0.25">
      <c r="A13" s="220" t="s">
        <v>322</v>
      </c>
      <c r="B13" s="221">
        <v>45968</v>
      </c>
      <c r="C13" s="329">
        <v>9500</v>
      </c>
      <c r="D13" s="222" t="s">
        <v>324</v>
      </c>
      <c r="E13" s="290"/>
      <c r="F13" s="290">
        <f t="shared" si="0"/>
        <v>18000</v>
      </c>
      <c r="G13" s="294">
        <v>487.3</v>
      </c>
      <c r="H13" s="291">
        <f t="shared" si="1"/>
        <v>810.27</v>
      </c>
      <c r="I13" s="291">
        <f t="shared" si="2"/>
        <v>17189.73</v>
      </c>
      <c r="J13" s="292"/>
    </row>
    <row r="14" spans="1:10" s="275" customFormat="1" ht="12.75" customHeight="1" x14ac:dyDescent="0.2">
      <c r="A14" s="213" t="s">
        <v>373</v>
      </c>
      <c r="B14" s="214">
        <v>45996</v>
      </c>
      <c r="C14" s="332" t="s">
        <v>269</v>
      </c>
      <c r="D14" s="175" t="s">
        <v>374</v>
      </c>
      <c r="E14" s="290"/>
      <c r="F14" s="290">
        <f t="shared" si="0"/>
        <v>18000</v>
      </c>
      <c r="G14" s="294">
        <v>66.42</v>
      </c>
      <c r="H14" s="291">
        <f t="shared" si="1"/>
        <v>876.68999999999994</v>
      </c>
      <c r="I14" s="291">
        <f t="shared" si="2"/>
        <v>17123.310000000001</v>
      </c>
      <c r="J14" s="292"/>
    </row>
    <row r="15" spans="1:10" s="275" customFormat="1" ht="12.75" customHeight="1" x14ac:dyDescent="0.2">
      <c r="A15" s="213" t="s">
        <v>373</v>
      </c>
      <c r="B15" s="214">
        <v>45996</v>
      </c>
      <c r="C15" s="333">
        <v>9500</v>
      </c>
      <c r="D15" s="78" t="s">
        <v>375</v>
      </c>
      <c r="E15" s="290"/>
      <c r="F15" s="290">
        <f t="shared" si="0"/>
        <v>18000</v>
      </c>
      <c r="G15" s="294">
        <v>423.8</v>
      </c>
      <c r="H15" s="291">
        <f t="shared" si="1"/>
        <v>1300.49</v>
      </c>
      <c r="I15" s="291">
        <f t="shared" si="2"/>
        <v>16699.510000000002</v>
      </c>
      <c r="J15" s="292"/>
    </row>
    <row r="16" spans="1:10" s="275" customFormat="1" ht="12.75" customHeight="1" x14ac:dyDescent="0.2">
      <c r="A16" s="213" t="s">
        <v>433</v>
      </c>
      <c r="B16" s="214">
        <v>46030</v>
      </c>
      <c r="C16" s="332" t="s">
        <v>269</v>
      </c>
      <c r="D16" s="175" t="s">
        <v>434</v>
      </c>
      <c r="E16" s="290"/>
      <c r="F16" s="290">
        <f t="shared" si="0"/>
        <v>18000</v>
      </c>
      <c r="G16" s="294">
        <v>157.03</v>
      </c>
      <c r="H16" s="291">
        <f t="shared" si="1"/>
        <v>1457.52</v>
      </c>
      <c r="I16" s="291">
        <f t="shared" si="2"/>
        <v>16542.480000000003</v>
      </c>
      <c r="J16" s="292"/>
    </row>
    <row r="17" spans="1:10" s="275" customFormat="1" ht="12.75" customHeight="1" x14ac:dyDescent="0.2">
      <c r="A17" s="213" t="s">
        <v>433</v>
      </c>
      <c r="B17" s="214">
        <v>46030</v>
      </c>
      <c r="C17" s="333">
        <v>9500</v>
      </c>
      <c r="D17" s="78" t="s">
        <v>435</v>
      </c>
      <c r="E17" s="290"/>
      <c r="F17" s="290">
        <f t="shared" si="0"/>
        <v>18000</v>
      </c>
      <c r="G17" s="294">
        <v>1779.1</v>
      </c>
      <c r="H17" s="291">
        <f t="shared" si="1"/>
        <v>3236.62</v>
      </c>
      <c r="I17" s="291">
        <f t="shared" si="2"/>
        <v>14763.380000000003</v>
      </c>
      <c r="J17" s="292"/>
    </row>
    <row r="18" spans="1:10" s="275" customFormat="1" ht="12.75" customHeight="1" x14ac:dyDescent="0.2">
      <c r="A18" s="213" t="s">
        <v>559</v>
      </c>
      <c r="B18" s="214">
        <v>46062</v>
      </c>
      <c r="C18" s="332" t="s">
        <v>269</v>
      </c>
      <c r="D18" s="175" t="s">
        <v>560</v>
      </c>
      <c r="E18" s="290"/>
      <c r="F18" s="290">
        <f t="shared" si="0"/>
        <v>18000</v>
      </c>
      <c r="G18" s="294">
        <v>108.95</v>
      </c>
      <c r="H18" s="291">
        <f t="shared" si="1"/>
        <v>3345.5699999999997</v>
      </c>
      <c r="I18" s="291">
        <f t="shared" si="2"/>
        <v>14654.430000000002</v>
      </c>
      <c r="J18" s="292"/>
    </row>
    <row r="19" spans="1:10" s="275" customFormat="1" ht="12.75" customHeight="1" x14ac:dyDescent="0.2">
      <c r="A19" s="213" t="s">
        <v>559</v>
      </c>
      <c r="B19" s="214">
        <v>46062</v>
      </c>
      <c r="C19" s="333">
        <v>9500</v>
      </c>
      <c r="D19" s="78" t="s">
        <v>561</v>
      </c>
      <c r="E19" s="290"/>
      <c r="F19" s="290">
        <f t="shared" si="0"/>
        <v>18000</v>
      </c>
      <c r="G19" s="294">
        <v>1353.8</v>
      </c>
      <c r="H19" s="291">
        <f t="shared" si="1"/>
        <v>4699.37</v>
      </c>
      <c r="I19" s="291">
        <f t="shared" si="2"/>
        <v>13300.630000000003</v>
      </c>
      <c r="J19" s="292"/>
    </row>
    <row r="20" spans="1:10" s="275" customFormat="1" ht="12.75" customHeight="1" x14ac:dyDescent="0.2">
      <c r="A20" s="213" t="s">
        <v>663</v>
      </c>
      <c r="B20" s="214">
        <v>46090</v>
      </c>
      <c r="C20" s="332" t="s">
        <v>269</v>
      </c>
      <c r="D20" s="175" t="s">
        <v>664</v>
      </c>
      <c r="E20" s="290"/>
      <c r="F20" s="290">
        <f t="shared" si="0"/>
        <v>18000</v>
      </c>
      <c r="G20" s="294">
        <v>116.64</v>
      </c>
      <c r="H20" s="291">
        <f t="shared" si="1"/>
        <v>4816.01</v>
      </c>
      <c r="I20" s="291">
        <f t="shared" si="2"/>
        <v>13183.990000000003</v>
      </c>
      <c r="J20" s="292"/>
    </row>
    <row r="21" spans="1:10" s="275" customFormat="1" ht="12.75" customHeight="1" x14ac:dyDescent="0.2">
      <c r="A21" s="213" t="s">
        <v>663</v>
      </c>
      <c r="B21" s="214">
        <v>46090</v>
      </c>
      <c r="C21" s="333">
        <v>9500</v>
      </c>
      <c r="D21" s="78" t="s">
        <v>665</v>
      </c>
      <c r="E21" s="290"/>
      <c r="F21" s="290">
        <f t="shared" si="0"/>
        <v>18000</v>
      </c>
      <c r="G21" s="294">
        <v>1345</v>
      </c>
      <c r="H21" s="291">
        <f t="shared" si="1"/>
        <v>6161.01</v>
      </c>
      <c r="I21" s="291">
        <f t="shared" si="2"/>
        <v>11838.990000000003</v>
      </c>
      <c r="J21" s="292"/>
    </row>
    <row r="22" spans="1:10" s="275" customFormat="1" ht="12.75" customHeight="1" x14ac:dyDescent="0.2">
      <c r="A22" s="213"/>
      <c r="B22" s="214"/>
      <c r="C22" s="333"/>
      <c r="D22" s="78"/>
      <c r="E22" s="290"/>
      <c r="F22" s="290">
        <f t="shared" si="0"/>
        <v>18000</v>
      </c>
      <c r="G22" s="295"/>
      <c r="H22" s="291">
        <f t="shared" si="1"/>
        <v>6161.01</v>
      </c>
      <c r="I22" s="291">
        <f t="shared" si="2"/>
        <v>11838.990000000003</v>
      </c>
      <c r="J22" s="292"/>
    </row>
    <row r="23" spans="1:10" s="275" customFormat="1" ht="12.75" customHeight="1" x14ac:dyDescent="0.2">
      <c r="A23" s="213"/>
      <c r="B23" s="214"/>
      <c r="C23" s="333"/>
      <c r="D23" s="78"/>
      <c r="E23" s="290"/>
      <c r="F23" s="290">
        <f t="shared" si="0"/>
        <v>18000</v>
      </c>
      <c r="G23" s="295"/>
      <c r="H23" s="291">
        <f t="shared" si="1"/>
        <v>6161.01</v>
      </c>
      <c r="I23" s="291">
        <f t="shared" si="2"/>
        <v>11838.990000000003</v>
      </c>
      <c r="J23" s="292"/>
    </row>
    <row r="24" spans="1:10" s="275" customFormat="1" ht="12.75" customHeight="1" x14ac:dyDescent="0.2">
      <c r="A24" s="213"/>
      <c r="B24" s="214"/>
      <c r="C24" s="333"/>
      <c r="D24" s="78"/>
      <c r="E24" s="290"/>
      <c r="F24" s="290">
        <f t="shared" si="0"/>
        <v>18000</v>
      </c>
      <c r="G24" s="295"/>
      <c r="H24" s="291">
        <f t="shared" si="1"/>
        <v>6161.01</v>
      </c>
      <c r="I24" s="291">
        <f t="shared" si="2"/>
        <v>11838.990000000003</v>
      </c>
      <c r="J24" s="292"/>
    </row>
    <row r="25" spans="1:10" s="275" customFormat="1" ht="12.75" customHeight="1" x14ac:dyDescent="0.25">
      <c r="A25" s="286"/>
      <c r="B25" s="288"/>
      <c r="C25" s="329"/>
      <c r="D25" s="297"/>
      <c r="E25" s="291"/>
      <c r="F25" s="291"/>
      <c r="G25" s="291"/>
      <c r="H25" s="291"/>
      <c r="I25" s="291"/>
      <c r="J25" s="292"/>
    </row>
    <row r="26" spans="1:10" s="275" customFormat="1" ht="12.75" customHeight="1" thickBot="1" x14ac:dyDescent="0.3">
      <c r="A26" s="286"/>
      <c r="B26" s="300"/>
      <c r="C26" s="329"/>
      <c r="D26" s="301" t="s">
        <v>24</v>
      </c>
      <c r="E26" s="302">
        <f>SUM(E9:E25)</f>
        <v>18000</v>
      </c>
      <c r="F26" s="302"/>
      <c r="G26" s="302">
        <f>SUM(G9:G25)</f>
        <v>6161.01</v>
      </c>
      <c r="H26" s="302"/>
      <c r="I26" s="302">
        <f>E26-G26</f>
        <v>11838.99</v>
      </c>
      <c r="J26" s="292"/>
    </row>
    <row r="27" spans="1:10" s="275" customFormat="1" ht="12.75" customHeight="1" thickTop="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E49B8-811E-4614-96FF-2B692728C4F8}">
  <sheetPr>
    <pageSetUpPr fitToPage="1"/>
  </sheetPr>
  <dimension ref="A1:H23"/>
  <sheetViews>
    <sheetView zoomScaleNormal="100" workbookViewId="0">
      <selection activeCell="F26" sqref="F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9" customWidth="1"/>
    <col min="6" max="6" width="13.42578125"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#9506.00'!B1</f>
        <v>DOC MPCF Perimeter Fence and Wagon Gates</v>
      </c>
      <c r="B1" s="3"/>
      <c r="C1" s="3"/>
      <c r="D1" s="3"/>
      <c r="E1" s="4"/>
      <c r="F1" s="4"/>
      <c r="G1" s="4"/>
      <c r="H1" s="33"/>
    </row>
    <row r="2" spans="1:8" ht="15.75" x14ac:dyDescent="0.25">
      <c r="A2" s="6" t="str">
        <f>'RECAP #9506.00'!B2</f>
        <v>Project # 9506.00</v>
      </c>
      <c r="B2" s="5"/>
      <c r="C2" s="5"/>
      <c r="D2" s="5"/>
      <c r="E2" s="4"/>
      <c r="F2" s="4"/>
      <c r="G2" s="4"/>
      <c r="H2" s="33"/>
    </row>
    <row r="3" spans="1:8" ht="15.75" x14ac:dyDescent="0.25">
      <c r="A3" s="7" t="str">
        <f>'RECAP #9506.00'!B3</f>
        <v>Program code 950600</v>
      </c>
      <c r="B3" s="5"/>
      <c r="C3" s="5"/>
      <c r="D3" s="5"/>
      <c r="E3" s="8" t="str">
        <f>'RECAP #9506.00'!E3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345</v>
      </c>
      <c r="F6" s="41"/>
      <c r="G6" s="44"/>
      <c r="H6" s="45"/>
    </row>
    <row r="7" spans="1:8" ht="15.75" x14ac:dyDescent="0.25">
      <c r="A7" s="13" t="str">
        <f>'RECAP #9506.00'!B6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5" customFormat="1" ht="12.75" customHeight="1" x14ac:dyDescent="0.2">
      <c r="A9" s="296" t="s">
        <v>545</v>
      </c>
      <c r="B9" s="287">
        <v>46057</v>
      </c>
      <c r="C9" s="323" t="s">
        <v>370</v>
      </c>
      <c r="D9" s="323" t="s">
        <v>371</v>
      </c>
      <c r="E9" s="213" t="s">
        <v>368</v>
      </c>
      <c r="F9" s="321" t="s">
        <v>544</v>
      </c>
      <c r="G9" s="294">
        <v>13.5</v>
      </c>
      <c r="H9" s="322">
        <f>G9</f>
        <v>13.5</v>
      </c>
    </row>
    <row r="10" spans="1:8" s="275" customFormat="1" ht="12.75" customHeight="1" x14ac:dyDescent="0.25">
      <c r="A10" s="323"/>
      <c r="B10" s="287"/>
      <c r="C10" s="297"/>
      <c r="D10" s="297"/>
      <c r="E10" s="318"/>
      <c r="F10" s="309"/>
      <c r="G10" s="322"/>
      <c r="H10" s="322">
        <f>H9+G10</f>
        <v>13.5</v>
      </c>
    </row>
    <row r="11" spans="1:8" s="275" customFormat="1" ht="12.75" customHeight="1" x14ac:dyDescent="0.25">
      <c r="A11" s="323"/>
      <c r="B11" s="287"/>
      <c r="C11" s="287"/>
      <c r="D11" s="287"/>
      <c r="E11" s="318"/>
      <c r="F11" s="309"/>
      <c r="G11" s="322"/>
      <c r="H11" s="322">
        <f t="shared" ref="H11:H20" si="0">H10+G11</f>
        <v>13.5</v>
      </c>
    </row>
    <row r="12" spans="1:8" s="275" customFormat="1" ht="12.75" customHeight="1" x14ac:dyDescent="0.25">
      <c r="A12" s="323" t="s">
        <v>2</v>
      </c>
      <c r="B12" s="287" t="s">
        <v>2</v>
      </c>
      <c r="C12" s="287"/>
      <c r="D12" s="287"/>
      <c r="E12" s="318" t="s">
        <v>2</v>
      </c>
      <c r="F12" s="309"/>
      <c r="G12" s="322"/>
      <c r="H12" s="322">
        <f t="shared" si="0"/>
        <v>13.5</v>
      </c>
    </row>
    <row r="13" spans="1:8" s="275" customFormat="1" ht="12.75" customHeight="1" x14ac:dyDescent="0.25">
      <c r="A13" s="323" t="s">
        <v>2</v>
      </c>
      <c r="B13" s="287" t="s">
        <v>2</v>
      </c>
      <c r="C13" s="287"/>
      <c r="D13" s="287"/>
      <c r="E13" s="318" t="s">
        <v>2</v>
      </c>
      <c r="F13" s="309"/>
      <c r="G13" s="322"/>
      <c r="H13" s="322">
        <f t="shared" si="0"/>
        <v>13.5</v>
      </c>
    </row>
    <row r="14" spans="1:8" s="275" customFormat="1" ht="12.75" customHeight="1" x14ac:dyDescent="0.25">
      <c r="A14" s="323"/>
      <c r="B14" s="287"/>
      <c r="C14" s="287"/>
      <c r="D14" s="287"/>
      <c r="E14" s="318"/>
      <c r="F14" s="309"/>
      <c r="G14" s="322"/>
      <c r="H14" s="322">
        <f t="shared" si="0"/>
        <v>13.5</v>
      </c>
    </row>
    <row r="15" spans="1:8" s="275" customFormat="1" ht="12.75" customHeight="1" x14ac:dyDescent="0.25">
      <c r="A15" s="323"/>
      <c r="B15" s="287"/>
      <c r="C15" s="287"/>
      <c r="D15" s="287"/>
      <c r="E15" s="324"/>
      <c r="F15" s="309"/>
      <c r="G15" s="322"/>
      <c r="H15" s="322">
        <f t="shared" si="0"/>
        <v>13.5</v>
      </c>
    </row>
    <row r="16" spans="1:8" s="275" customFormat="1" ht="12.75" customHeight="1" x14ac:dyDescent="0.25">
      <c r="A16" s="323"/>
      <c r="B16" s="287"/>
      <c r="C16" s="287"/>
      <c r="D16" s="287"/>
      <c r="E16" s="318"/>
      <c r="F16" s="309"/>
      <c r="G16" s="322"/>
      <c r="H16" s="322">
        <f t="shared" si="0"/>
        <v>13.5</v>
      </c>
    </row>
    <row r="17" spans="1:8" s="275" customFormat="1" ht="12.75" customHeight="1" x14ac:dyDescent="0.25">
      <c r="A17" s="319"/>
      <c r="B17" s="287"/>
      <c r="C17" s="287"/>
      <c r="D17" s="287"/>
      <c r="E17" s="318"/>
      <c r="F17" s="309"/>
      <c r="G17" s="322"/>
      <c r="H17" s="322">
        <f t="shared" si="0"/>
        <v>13.5</v>
      </c>
    </row>
    <row r="18" spans="1:8" s="275" customFormat="1" ht="12.75" customHeight="1" x14ac:dyDescent="0.25">
      <c r="A18" s="319"/>
      <c r="B18" s="287"/>
      <c r="C18" s="287"/>
      <c r="D18" s="287"/>
      <c r="E18" s="318"/>
      <c r="F18" s="309"/>
      <c r="G18" s="322"/>
      <c r="H18" s="322">
        <f t="shared" si="0"/>
        <v>13.5</v>
      </c>
    </row>
    <row r="19" spans="1:8" s="275" customFormat="1" ht="12.75" customHeight="1" x14ac:dyDescent="0.25">
      <c r="A19" s="319"/>
      <c r="B19" s="287"/>
      <c r="C19" s="287"/>
      <c r="D19" s="287"/>
      <c r="E19" s="318"/>
      <c r="F19" s="309"/>
      <c r="G19" s="322"/>
      <c r="H19" s="322">
        <f t="shared" si="0"/>
        <v>13.5</v>
      </c>
    </row>
    <row r="20" spans="1:8" s="275" customFormat="1" ht="12.75" customHeight="1" x14ac:dyDescent="0.25">
      <c r="A20" s="319"/>
      <c r="B20" s="287"/>
      <c r="C20" s="287"/>
      <c r="D20" s="287"/>
      <c r="E20" s="318"/>
      <c r="F20" s="309"/>
      <c r="G20" s="322"/>
      <c r="H20" s="322">
        <f t="shared" si="0"/>
        <v>13.5</v>
      </c>
    </row>
    <row r="21" spans="1:8" s="275" customFormat="1" ht="12.75" customHeight="1" x14ac:dyDescent="0.25">
      <c r="A21" s="319"/>
      <c r="B21" s="297"/>
      <c r="C21" s="297"/>
      <c r="D21" s="297"/>
      <c r="E21" s="318"/>
      <c r="F21" s="322"/>
      <c r="G21" s="318"/>
      <c r="H21" s="322"/>
    </row>
    <row r="22" spans="1:8" s="275" customFormat="1" ht="12.75" customHeight="1" thickBot="1" x14ac:dyDescent="0.3">
      <c r="A22" s="325"/>
      <c r="B22" s="326"/>
      <c r="C22" s="326"/>
      <c r="D22" s="326"/>
      <c r="E22" s="327" t="s">
        <v>24</v>
      </c>
      <c r="F22" s="328"/>
      <c r="G22" s="302">
        <f>SUM(G9:G21)</f>
        <v>13.5</v>
      </c>
      <c r="H22" s="328"/>
    </row>
    <row r="23" spans="1:8" s="275" customFormat="1" ht="12.75" customHeight="1" thickTop="1" x14ac:dyDescent="0.25"/>
  </sheetData>
  <pageMargins left="0.25" right="0.25" top="0.95" bottom="0.75" header="0.09" footer="0.3"/>
  <pageSetup scale="82" orientation="portrait" r:id="rId1"/>
  <headerFooter alignWithMargins="0">
    <oddHeader>&amp;CDepartment of Administrative Services
Major Maintenance 
MM26
&amp;A
&amp;D</oddHeader>
    <oddFooter>&amp;LAcct Codes 0017-335-MM26
Reversion 6/30/2029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165</vt:i4>
      </vt:variant>
      <vt:variant>
        <vt:lpstr>Named Ranges</vt:lpstr>
      </vt:variant>
      <vt:variant>
        <vt:i4>4</vt:i4>
      </vt:variant>
    </vt:vector>
  </HeadingPairs>
  <TitlesOfParts>
    <vt:vector size="169" baseType="lpstr">
      <vt:lpstr>Language</vt:lpstr>
      <vt:lpstr>FINANCIAL</vt:lpstr>
      <vt:lpstr>RECAP #9997.26</vt:lpstr>
      <vt:lpstr>#9997.26 PM TIME </vt:lpstr>
      <vt:lpstr>RECAP #9440.01</vt:lpstr>
      <vt:lpstr>#9440.01 DCI Group</vt:lpstr>
      <vt:lpstr>#9440.01 PM TIME </vt:lpstr>
      <vt:lpstr>#9440.01 Misc </vt:lpstr>
      <vt:lpstr>#9440.01 OPN Architects</vt:lpstr>
      <vt:lpstr>RECAP #9455.00</vt:lpstr>
      <vt:lpstr>#9455.00 McKinnis Roofing</vt:lpstr>
      <vt:lpstr>#9455.00 PM TIME </vt:lpstr>
      <vt:lpstr>#9455.00 Misc</vt:lpstr>
      <vt:lpstr>#9455.00 Samuels Group</vt:lpstr>
      <vt:lpstr>RECAP #9483.00</vt:lpstr>
      <vt:lpstr>#9483.00 DCI Group</vt:lpstr>
      <vt:lpstr>#9483.00 PM TIME</vt:lpstr>
      <vt:lpstr>#9483.00 Misc</vt:lpstr>
      <vt:lpstr>#9483.00 Genesis Architectural</vt:lpstr>
      <vt:lpstr>RECAP #9484.00</vt:lpstr>
      <vt:lpstr>#9484.00 DCI Group</vt:lpstr>
      <vt:lpstr>#9484.00 PM TIME</vt:lpstr>
      <vt:lpstr>#9484.00 Misc</vt:lpstr>
      <vt:lpstr>#9484.00 OPN Architects</vt:lpstr>
      <vt:lpstr>#9484.00 GTG Construction</vt:lpstr>
      <vt:lpstr>#9484.00 Schumacher Elevator</vt:lpstr>
      <vt:lpstr>#9484.00 DCI Group (2)</vt:lpstr>
      <vt:lpstr>RECAP #9491.00</vt:lpstr>
      <vt:lpstr>#9491.00 DCI Group</vt:lpstr>
      <vt:lpstr>#9491.00 PM TIME </vt:lpstr>
      <vt:lpstr>#9491.00 Misc </vt:lpstr>
      <vt:lpstr>#9491.00 KCL Engineering</vt:lpstr>
      <vt:lpstr>#9491.00 Modern Piping Service</vt:lpstr>
      <vt:lpstr>RECAP #9494.00</vt:lpstr>
      <vt:lpstr>#9494.00 Vendor A </vt:lpstr>
      <vt:lpstr>#9494.00 PM TIME</vt:lpstr>
      <vt:lpstr>#9494.00 Misc </vt:lpstr>
      <vt:lpstr>RECAP #9495.00</vt:lpstr>
      <vt:lpstr>#9495.00 Vendor A </vt:lpstr>
      <vt:lpstr>#9495.00 PM TIME </vt:lpstr>
      <vt:lpstr>#9495.00 Misc</vt:lpstr>
      <vt:lpstr>RECAP #9496.00</vt:lpstr>
      <vt:lpstr>#9496.00 McGough Construction</vt:lpstr>
      <vt:lpstr>#9496.00 PM TIME</vt:lpstr>
      <vt:lpstr>#9496.00 Misc</vt:lpstr>
      <vt:lpstr>#9496.00 CMB Architects</vt:lpstr>
      <vt:lpstr>RECAP #9497.00</vt:lpstr>
      <vt:lpstr>#9497.00 Story Construction</vt:lpstr>
      <vt:lpstr>#9497.00 PM TIME</vt:lpstr>
      <vt:lpstr>#9497.00 Misc</vt:lpstr>
      <vt:lpstr>#9497.00 ECS Midwest</vt:lpstr>
      <vt:lpstr>RECAP #9498.00</vt:lpstr>
      <vt:lpstr>#9498.00 DCI Group</vt:lpstr>
      <vt:lpstr>#9498.00 PM TIME</vt:lpstr>
      <vt:lpstr>#9498.00 Misc</vt:lpstr>
      <vt:lpstr>#9498.00 OPN Architects</vt:lpstr>
      <vt:lpstr>RECAP #9499.00</vt:lpstr>
      <vt:lpstr>#9499.00 Boyd Jones</vt:lpstr>
      <vt:lpstr>#9499.00 PM TIME </vt:lpstr>
      <vt:lpstr>#9499.00 Misc </vt:lpstr>
      <vt:lpstr>#9499.00 Larson Engineering</vt:lpstr>
      <vt:lpstr>#9499.00 Boyd Jones (2)</vt:lpstr>
      <vt:lpstr>RECAP #9500.00</vt:lpstr>
      <vt:lpstr>#9500.00 McGough Construction</vt:lpstr>
      <vt:lpstr>#9500.00 PM TIME</vt:lpstr>
      <vt:lpstr>#9500.00 Misc</vt:lpstr>
      <vt:lpstr>#9500.00 KCL Engineering</vt:lpstr>
      <vt:lpstr>#9500.00 Terracon Consultants</vt:lpstr>
      <vt:lpstr>RECAP #9501.00</vt:lpstr>
      <vt:lpstr>#9501.00 McGough Construction</vt:lpstr>
      <vt:lpstr>#9501.00 PM TIME</vt:lpstr>
      <vt:lpstr>#9501.00 Misc</vt:lpstr>
      <vt:lpstr>#9501.00 IMEG Corp</vt:lpstr>
      <vt:lpstr>RECAP #9502.00</vt:lpstr>
      <vt:lpstr>#9502.00 McGough Construction</vt:lpstr>
      <vt:lpstr>#9502.00 PM TIME</vt:lpstr>
      <vt:lpstr>#9502.00 Misc </vt:lpstr>
      <vt:lpstr>#9502.00 Modus Engineering</vt:lpstr>
      <vt:lpstr>#9502.00 McGough Constructi (2)</vt:lpstr>
      <vt:lpstr>#9502.00 Modern Companies</vt:lpstr>
      <vt:lpstr>RECAP #9503.00</vt:lpstr>
      <vt:lpstr>#9503.00 Story Construction</vt:lpstr>
      <vt:lpstr>#9503.00 PM TIME </vt:lpstr>
      <vt:lpstr>#9503.00 Misc</vt:lpstr>
      <vt:lpstr>#9503.00 SystemWorks</vt:lpstr>
      <vt:lpstr>RECAP #9504.00</vt:lpstr>
      <vt:lpstr>#9504.00 Story Construction</vt:lpstr>
      <vt:lpstr>#9504.00 PM TIME</vt:lpstr>
      <vt:lpstr>#9504.00 Misc</vt:lpstr>
      <vt:lpstr>#9504.00 OPN Architects</vt:lpstr>
      <vt:lpstr>RECAP #9505.00</vt:lpstr>
      <vt:lpstr>#9505.00 Shive Hattery</vt:lpstr>
      <vt:lpstr>#9505.00 PM TIME</vt:lpstr>
      <vt:lpstr>#9505.00 Misc</vt:lpstr>
      <vt:lpstr>#9505.00 Boyd Jones</vt:lpstr>
      <vt:lpstr>RECAP #9506.00</vt:lpstr>
      <vt:lpstr>#9506.00 McGough Construction</vt:lpstr>
      <vt:lpstr>#9506.00 PM TIME</vt:lpstr>
      <vt:lpstr>#9506.00 Misc</vt:lpstr>
      <vt:lpstr>#9506.00 Bolton and Menk</vt:lpstr>
      <vt:lpstr>RECAP #9507.00</vt:lpstr>
      <vt:lpstr>#9507.00 Vendor A</vt:lpstr>
      <vt:lpstr>#9507.00 PM TIME</vt:lpstr>
      <vt:lpstr>#9507.00 Misc</vt:lpstr>
      <vt:lpstr>RECAP #9508.00</vt:lpstr>
      <vt:lpstr>#9508.00 Story Construction</vt:lpstr>
      <vt:lpstr>#9508.00 PM TIME</vt:lpstr>
      <vt:lpstr>#9508.00 Misc </vt:lpstr>
      <vt:lpstr>#9508.00 CMB Architects</vt:lpstr>
      <vt:lpstr>RECAP #9509.00</vt:lpstr>
      <vt:lpstr>#9509.00 Vendor A</vt:lpstr>
      <vt:lpstr>#9509.00 PM TIME</vt:lpstr>
      <vt:lpstr>#9509.00 Misc</vt:lpstr>
      <vt:lpstr>RECAP #9510.00</vt:lpstr>
      <vt:lpstr>#9510.00 Vendor A</vt:lpstr>
      <vt:lpstr>#9510.00 PM TIME</vt:lpstr>
      <vt:lpstr>#9510.00 Misc</vt:lpstr>
      <vt:lpstr>RECAP #9511.00</vt:lpstr>
      <vt:lpstr>#9511.00 McGough Construction</vt:lpstr>
      <vt:lpstr>#9511.00 PM TIME</vt:lpstr>
      <vt:lpstr>#9511.00 Misc</vt:lpstr>
      <vt:lpstr>#9511.00 Bolton and Menk</vt:lpstr>
      <vt:lpstr>#9511.00 Terracon Consultants</vt:lpstr>
      <vt:lpstr>RECAP #9512.00</vt:lpstr>
      <vt:lpstr>#9512.00 Larson Engineering</vt:lpstr>
      <vt:lpstr>#9512.00 PM TIME</vt:lpstr>
      <vt:lpstr>#9512.00 Misc</vt:lpstr>
      <vt:lpstr>#9512.00 Boyd Jones</vt:lpstr>
      <vt:lpstr>RECAP #9513.00</vt:lpstr>
      <vt:lpstr>#9513.00 DCI Group</vt:lpstr>
      <vt:lpstr>#9513.00 PM TIME</vt:lpstr>
      <vt:lpstr>#9513.00 Misc</vt:lpstr>
      <vt:lpstr>#9513.00 Kezlo Group</vt:lpstr>
      <vt:lpstr>RECAP #9514.00</vt:lpstr>
      <vt:lpstr>#9514.00 Horizon Architecture</vt:lpstr>
      <vt:lpstr>#9514.00 PM TIME </vt:lpstr>
      <vt:lpstr>#9514.00 Misc </vt:lpstr>
      <vt:lpstr>RECAP #9519.00</vt:lpstr>
      <vt:lpstr>#9519.00 Vendor A </vt:lpstr>
      <vt:lpstr>#9519.00 PM TIME</vt:lpstr>
      <vt:lpstr>#9519.00 Misc</vt:lpstr>
      <vt:lpstr>RECAP #9521.00</vt:lpstr>
      <vt:lpstr>#9521.00 Boyd Jones</vt:lpstr>
      <vt:lpstr>#9521.00 PM TIME </vt:lpstr>
      <vt:lpstr>#9521.00 Misc</vt:lpstr>
      <vt:lpstr>RECAP #9524.00</vt:lpstr>
      <vt:lpstr>#9524.00 Vendor A </vt:lpstr>
      <vt:lpstr>#9524.00 PM TIME</vt:lpstr>
      <vt:lpstr>#9524.00 Misc </vt:lpstr>
      <vt:lpstr>RECAP #9527.00</vt:lpstr>
      <vt:lpstr>#9527.00 Vendor A </vt:lpstr>
      <vt:lpstr>#9527.00 PM TIME</vt:lpstr>
      <vt:lpstr>#9527.00 Misc</vt:lpstr>
      <vt:lpstr>RECAP #9529.00</vt:lpstr>
      <vt:lpstr>#9529.00 Vendor A </vt:lpstr>
      <vt:lpstr>#9529.00 PM TIME</vt:lpstr>
      <vt:lpstr>#9529.00 Misc </vt:lpstr>
      <vt:lpstr>RECAP #9530.00</vt:lpstr>
      <vt:lpstr>#9530.00 Story Construction</vt:lpstr>
      <vt:lpstr>#9530.00 PM TIME</vt:lpstr>
      <vt:lpstr>#9530.00 Misc</vt:lpstr>
      <vt:lpstr>RECAP #XXXX.XX </vt:lpstr>
      <vt:lpstr>#XXXX.XX Vendor A</vt:lpstr>
      <vt:lpstr>#XXXX.XX PM TIME</vt:lpstr>
      <vt:lpstr>#XXXX.XX Misc</vt:lpstr>
      <vt:lpstr>'#9491.00 DCI Group'!Print_Area</vt:lpstr>
      <vt:lpstr>'#9491.00 KCL Engineering'!Print_Area</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Huggins, Joni [DAS]</dc:creator>
  <cp:lastModifiedBy>Huggins, Joni</cp:lastModifiedBy>
  <cp:lastPrinted>2026-04-01T15:03:18Z</cp:lastPrinted>
  <dcterms:created xsi:type="dcterms:W3CDTF">2015-06-05T18:17:20Z</dcterms:created>
  <dcterms:modified xsi:type="dcterms:W3CDTF">2026-04-01T15:18:22Z</dcterms:modified>
</cp:coreProperties>
</file>