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threadedComments/threadedComment2.xml" ContentType="application/vnd.ms-excel.threaded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AS Shared Perm\GSE Infrastructure\MM FY26 0017-MM26\"/>
    </mc:Choice>
  </mc:AlternateContent>
  <xr:revisionPtr revIDLastSave="0" documentId="13_ncr:1_{D9778D6B-5920-412A-BD77-3017865B520F}" xr6:coauthVersionLast="47" xr6:coauthVersionMax="47" xr10:uidLastSave="{00000000-0000-0000-0000-000000000000}"/>
  <bookViews>
    <workbookView xWindow="-28920" yWindow="-120" windowWidth="29040" windowHeight="15720" tabRatio="896" firstSheet="1" activeTab="1" xr2:uid="{00000000-000D-0000-FFFF-FFFF00000000}"/>
  </bookViews>
  <sheets>
    <sheet name="Language" sheetId="17" r:id="rId1"/>
    <sheet name="FINANCIAL" sheetId="6" r:id="rId2"/>
    <sheet name="RECAP #9997.26" sheetId="7" r:id="rId3"/>
    <sheet name="#9997.26 PM TIME " sheetId="8" r:id="rId4"/>
    <sheet name="RECAP #9440.01" sheetId="126" r:id="rId5"/>
    <sheet name="#9440.01 DCI Group" sheetId="127" r:id="rId6"/>
    <sheet name="#9440.01 PM TIME " sheetId="128" r:id="rId7"/>
    <sheet name="#9440.01 Misc " sheetId="129" r:id="rId8"/>
    <sheet name="#9440.01 OPN Architects" sheetId="159" r:id="rId9"/>
    <sheet name="#9440.01 DCI Group (2)" sheetId="202" r:id="rId10"/>
    <sheet name="#9440.01 Bergstrom Construction" sheetId="203" r:id="rId11"/>
    <sheet name="#9440.01 VanMaanen Electric" sheetId="204" r:id="rId12"/>
    <sheet name="#9440.01 Schumacher Elevator" sheetId="207" r:id="rId13"/>
    <sheet name="RECAP #9455.00" sheetId="112" r:id="rId14"/>
    <sheet name="#9455.00 McKinnis Roofing" sheetId="113" r:id="rId15"/>
    <sheet name="#9455.00 PM TIME " sheetId="114" r:id="rId16"/>
    <sheet name="#9455.00 Misc" sheetId="115" r:id="rId17"/>
    <sheet name="#9455.00 Samuels Group" sheetId="125" r:id="rId18"/>
    <sheet name="RECAP #9483.00" sheetId="9" r:id="rId19"/>
    <sheet name="#9483.00 DCI Group" sheetId="10" r:id="rId20"/>
    <sheet name="#9483.00 PM TIME" sheetId="11" r:id="rId21"/>
    <sheet name="#9483.00 Misc" sheetId="12" r:id="rId22"/>
    <sheet name="#9483.00 Genesis Architectural" sheetId="110" r:id="rId23"/>
    <sheet name="#9483.00 Academy Roofing" sheetId="176" r:id="rId24"/>
    <sheet name="#9483.00 DCI Group (2)" sheetId="180" r:id="rId25"/>
    <sheet name="RECAP #9484.00" sheetId="2" r:id="rId26"/>
    <sheet name="#9484.00 DCI Group" sheetId="3" r:id="rId27"/>
    <sheet name="#9484.00 PM TIME" sheetId="4" r:id="rId28"/>
    <sheet name="#9484.00 Misc" sheetId="5" r:id="rId29"/>
    <sheet name="#9484.00 OPN Architects" sheetId="22" r:id="rId30"/>
    <sheet name="#9484.00 GTG Construction" sheetId="117" r:id="rId31"/>
    <sheet name="#9484.00 Schumacher Elevator" sheetId="120" r:id="rId32"/>
    <sheet name="#9484.00 DCI Group (2)" sheetId="154" r:id="rId33"/>
    <sheet name="#9484.00 J.Pettiecord" sheetId="190" r:id="rId34"/>
    <sheet name="RECAP #9491.00" sheetId="18" r:id="rId35"/>
    <sheet name="#9491.00 DCI Group" sheetId="109" r:id="rId36"/>
    <sheet name="#9491.00 PM TIME " sheetId="20" r:id="rId37"/>
    <sheet name="#9491.00 Misc " sheetId="21" r:id="rId38"/>
    <sheet name="#9491.00 KCL Engineering" sheetId="19" r:id="rId39"/>
    <sheet name="#9491.00 Modern Piping Service" sheetId="158" r:id="rId40"/>
    <sheet name="#9491.00 DCI Group (2)" sheetId="191" r:id="rId41"/>
    <sheet name="RECAP #9494.00" sheetId="23" r:id="rId42"/>
    <sheet name="#9494.00 Vendor A " sheetId="24" r:id="rId43"/>
    <sheet name="#9494.00 PM TIME" sheetId="25" r:id="rId44"/>
    <sheet name="#9494.00 Misc " sheetId="26" r:id="rId45"/>
    <sheet name="RECAP #9495.00" sheetId="27" r:id="rId46"/>
    <sheet name="#9495.00 Vendor A " sheetId="28" r:id="rId47"/>
    <sheet name="#9495.00 PM TIME " sheetId="29" r:id="rId48"/>
    <sheet name="#9495.00 Misc" sheetId="30" r:id="rId49"/>
    <sheet name="RECAP #9496.00" sheetId="31" r:id="rId50"/>
    <sheet name="#9496.00 McGough Construction" sheetId="32" r:id="rId51"/>
    <sheet name="#9496.00 PM TIME" sheetId="33" r:id="rId52"/>
    <sheet name="#9496.00 Misc" sheetId="34" r:id="rId53"/>
    <sheet name="#9496.00 CMB Architects" sheetId="161" r:id="rId54"/>
    <sheet name="#9496.00 McGough Constructi (2)" sheetId="195" r:id="rId55"/>
    <sheet name="#9496.00 Timekey Enterprise" sheetId="199" r:id="rId56"/>
    <sheet name="RECAP #9497.00" sheetId="35" r:id="rId57"/>
    <sheet name="#9497.00 Story Construction" sheetId="36" r:id="rId58"/>
    <sheet name="#9497.00 PM TIME" sheetId="37" r:id="rId59"/>
    <sheet name="#9497.00 Misc" sheetId="38" r:id="rId60"/>
    <sheet name="#9497.00 ECS Midwest" sheetId="122" r:id="rId61"/>
    <sheet name="#9497.00 Story Construction (2)" sheetId="175" r:id="rId62"/>
    <sheet name="#9497.00 Service Roofing" sheetId="182" r:id="rId63"/>
    <sheet name="#9497.00 Advanced Environmental" sheetId="192" r:id="rId64"/>
    <sheet name="RECAP #9498.00" sheetId="39" r:id="rId65"/>
    <sheet name="#9498.00 DCI Group" sheetId="40" r:id="rId66"/>
    <sheet name="#9498.00 PM TIME" sheetId="41" r:id="rId67"/>
    <sheet name="#9498.00 Misc" sheetId="42" r:id="rId68"/>
    <sheet name="#9498.00 OPN Architects" sheetId="111" r:id="rId69"/>
    <sheet name="#9498.00 MB Lawn Care" sheetId="208" r:id="rId70"/>
    <sheet name="#9498.00 DCI Group (2)" sheetId="209" r:id="rId71"/>
    <sheet name="#9498.00 Concrete Connections" sheetId="210" r:id="rId72"/>
    <sheet name="RECAP #9499.00" sheetId="43" r:id="rId73"/>
    <sheet name="#9499.00 Boyd Jones" sheetId="44" r:id="rId74"/>
    <sheet name="#9499.00 PM TIME " sheetId="45" r:id="rId75"/>
    <sheet name="#9499.00 Misc " sheetId="46" r:id="rId76"/>
    <sheet name="#9499.00 Larson Engineering" sheetId="121" r:id="rId77"/>
    <sheet name="#9499.00 Boyd Jones (2)" sheetId="167" r:id="rId78"/>
    <sheet name="#9499.00 Core Construction" sheetId="171" r:id="rId79"/>
    <sheet name="RECAP #9500.00" sheetId="47" r:id="rId80"/>
    <sheet name="#9500.00 McGough Construction" sheetId="48" r:id="rId81"/>
    <sheet name="#9500.00 PM TIME" sheetId="49" r:id="rId82"/>
    <sheet name="#9500.00 Misc" sheetId="50" r:id="rId83"/>
    <sheet name="#9500.00 KCL Engineering" sheetId="156" r:id="rId84"/>
    <sheet name="#9500.00 Terracon Consultants" sheetId="157" r:id="rId85"/>
    <sheet name="#9500.00 McGough Constructi (2)" sheetId="196" r:id="rId86"/>
    <sheet name="#9500.00 Acterra Group" sheetId="201" r:id="rId87"/>
    <sheet name="RECAP #9501.00" sheetId="51" r:id="rId88"/>
    <sheet name="#9501.00 McGough Construction" sheetId="52" r:id="rId89"/>
    <sheet name="#9501.00 PM TIME" sheetId="53" r:id="rId90"/>
    <sheet name="#9501.00 Misc" sheetId="54" r:id="rId91"/>
    <sheet name="#9501.00 IMEG Corp" sheetId="165" r:id="rId92"/>
    <sheet name="#9501.00 McGough Constructi (2)" sheetId="194" r:id="rId93"/>
    <sheet name="#9501.00 Winger Contracting" sheetId="198" r:id="rId94"/>
    <sheet name="RECAP #9502.00" sheetId="55" r:id="rId95"/>
    <sheet name="#9502.00 McGough Construction" sheetId="56" r:id="rId96"/>
    <sheet name="#9502.00 PM TIME" sheetId="57" r:id="rId97"/>
    <sheet name="#9502.00 Misc " sheetId="58" r:id="rId98"/>
    <sheet name="#9502.00 Modus Engineering" sheetId="116" r:id="rId99"/>
    <sheet name="#9502.00 McGough Constructi (2)" sheetId="162" r:id="rId100"/>
    <sheet name="#9502.00 Modern Piping" sheetId="164" r:id="rId101"/>
    <sheet name="RECAP #9503.00" sheetId="59" r:id="rId102"/>
    <sheet name="#9503.00 Story Construction" sheetId="60" r:id="rId103"/>
    <sheet name="#9503.00 PM TIME " sheetId="61" r:id="rId104"/>
    <sheet name="#9503.00 Misc" sheetId="62" r:id="rId105"/>
    <sheet name="#9503.00 SystemWorks" sheetId="108" r:id="rId106"/>
    <sheet name="#9503.00 10Fold Architecture" sheetId="170" r:id="rId107"/>
    <sheet name="#9503.00 Story Construction (2)" sheetId="186" r:id="rId108"/>
    <sheet name="#9503.00 ForSureRoofing" sheetId="214" r:id="rId109"/>
    <sheet name="RECAP #9504.00" sheetId="63" r:id="rId110"/>
    <sheet name="#9504.00 Story Construction" sheetId="64" r:id="rId111"/>
    <sheet name="#9504.00 PM TIME" sheetId="65" r:id="rId112"/>
    <sheet name="#9504.00 Misc" sheetId="66" r:id="rId113"/>
    <sheet name="#9504.00 OPN Architects" sheetId="166" r:id="rId114"/>
    <sheet name="#9504.00 Story Construction (2)" sheetId="211" r:id="rId115"/>
    <sheet name="#9504.00 Schumacher Elevator" sheetId="213" r:id="rId116"/>
    <sheet name="RECAP #9505.00" sheetId="67" r:id="rId117"/>
    <sheet name="#9505.00 Shive Hattery" sheetId="68" r:id="rId118"/>
    <sheet name="#9505.00 PM TIME" sheetId="69" r:id="rId119"/>
    <sheet name="#9505.00 Misc" sheetId="70" r:id="rId120"/>
    <sheet name="#9505.00 Boyd Jones" sheetId="123" r:id="rId121"/>
    <sheet name="#9505.00 Midwest Fence &amp; Gate" sheetId="174" r:id="rId122"/>
    <sheet name="#9505.00 Boyd Jones (2)" sheetId="178" r:id="rId123"/>
    <sheet name="RECAP #9506.00" sheetId="71" r:id="rId124"/>
    <sheet name="#9506.00 McGough Construction" sheetId="72" r:id="rId125"/>
    <sheet name="#9506.00 PM TIME" sheetId="73" r:id="rId126"/>
    <sheet name="#9506.00 Misc" sheetId="74" r:id="rId127"/>
    <sheet name="#9506.00 Bolton and Menk" sheetId="163" r:id="rId128"/>
    <sheet name="#9506.00 Terracon" sheetId="172" r:id="rId129"/>
    <sheet name="RECAP #9507.00" sheetId="75" r:id="rId130"/>
    <sheet name="#9507.00 SYSKool" sheetId="76" r:id="rId131"/>
    <sheet name="#9507.00 PM TIME" sheetId="77" r:id="rId132"/>
    <sheet name="#9507.00 Misc" sheetId="78" r:id="rId133"/>
    <sheet name="RECAP #9508.00" sheetId="79" r:id="rId134"/>
    <sheet name="#9508.00 Story Construction" sheetId="80" r:id="rId135"/>
    <sheet name="#9508.00 PM TIME" sheetId="81" r:id="rId136"/>
    <sheet name="#9508.00 Misc " sheetId="82" r:id="rId137"/>
    <sheet name="#9508.00 CMB Architects" sheetId="118" r:id="rId138"/>
    <sheet name="#9508.00 Story Construction (2)" sheetId="183" r:id="rId139"/>
    <sheet name="#9508.00 White Castle Roofing" sheetId="185" r:id="rId140"/>
    <sheet name="RECAP #9509.00" sheetId="83" r:id="rId141"/>
    <sheet name="#9509.00 Vendor A" sheetId="84" r:id="rId142"/>
    <sheet name="#9509.00 PM TIME" sheetId="85" r:id="rId143"/>
    <sheet name="#9509.00 Misc" sheetId="86" r:id="rId144"/>
    <sheet name="RECAP #9510.00" sheetId="87" r:id="rId145"/>
    <sheet name="#9510.00 Vendor A" sheetId="88" r:id="rId146"/>
    <sheet name="#9510.00 PM TIME" sheetId="89" r:id="rId147"/>
    <sheet name="#9510.00 Misc" sheetId="90" r:id="rId148"/>
    <sheet name="RECAP #9511.00" sheetId="91" r:id="rId149"/>
    <sheet name="#9511.00 McGough Construction" sheetId="189" r:id="rId150"/>
    <sheet name="#9511.00 PM TIME" sheetId="93" r:id="rId151"/>
    <sheet name="#9511.00 Misc" sheetId="94" r:id="rId152"/>
    <sheet name="#9511.00 Bolton and Menk" sheetId="155" r:id="rId153"/>
    <sheet name="#9511.00 Terracon Consultants" sheetId="160" r:id="rId154"/>
    <sheet name="#9511.00 McGough Construction 2" sheetId="92" r:id="rId155"/>
    <sheet name="#9511.00 Jones Contracting" sheetId="188" r:id="rId156"/>
    <sheet name="RECAP #9512.00" sheetId="96" r:id="rId157"/>
    <sheet name="#9512.00 Larson Engineering" sheetId="168" r:id="rId158"/>
    <sheet name="#9512.00 PM TIME" sheetId="98" r:id="rId159"/>
    <sheet name="#9512.00 Misc" sheetId="99" r:id="rId160"/>
    <sheet name="#9512.00 Boyd Jones" sheetId="124" r:id="rId161"/>
    <sheet name="#9512.00 Boyd Jones (2)" sheetId="177" r:id="rId162"/>
    <sheet name="RECAP #9513.00" sheetId="100" r:id="rId163"/>
    <sheet name="#9513.00 DCI Group" sheetId="101" r:id="rId164"/>
    <sheet name="#9513.00 PM TIME" sheetId="102" r:id="rId165"/>
    <sheet name="#9513.00 Misc" sheetId="103" r:id="rId166"/>
    <sheet name="#9513.00 Kezlo Group" sheetId="119" r:id="rId167"/>
    <sheet name="#9513.00 Bi-State Masonry" sheetId="206" r:id="rId168"/>
    <sheet name="#9513.00 DCI Group (2)" sheetId="212" r:id="rId169"/>
    <sheet name="RECAP #9514.00" sheetId="13" r:id="rId170"/>
    <sheet name="#9514.00 Horizon Architecture" sheetId="14" r:id="rId171"/>
    <sheet name="#9514.00 PM TIME " sheetId="15" r:id="rId172"/>
    <sheet name="#9514.00 Misc " sheetId="16" r:id="rId173"/>
    <sheet name="RECAP #9519.00" sheetId="104" r:id="rId174"/>
    <sheet name="#9519.00 Story Construction" sheetId="105" r:id="rId175"/>
    <sheet name="#9519.00 PM TIME" sheetId="106" r:id="rId176"/>
    <sheet name="#9519.00 Misc" sheetId="107" r:id="rId177"/>
    <sheet name="#9519.00 10Fold Architecture" sheetId="187" r:id="rId178"/>
    <sheet name="#9519.00 Story Construction (2)" sheetId="215" r:id="rId179"/>
    <sheet name="#9519.00 Advanced Environmental" sheetId="216" r:id="rId180"/>
    <sheet name="RECAP #9521.00" sheetId="130" r:id="rId181"/>
    <sheet name="#9521.00 Boyd Jones" sheetId="131" r:id="rId182"/>
    <sheet name="#9521.00 PM TIME " sheetId="132" r:id="rId183"/>
    <sheet name="#9521.00 Misc" sheetId="133" r:id="rId184"/>
    <sheet name="#9521.00 Genesis Architectural" sheetId="169" r:id="rId185"/>
    <sheet name="#9521.00 Academy Roofing" sheetId="193" r:id="rId186"/>
    <sheet name="#9521.00 Boyd Jones (2)" sheetId="200" r:id="rId187"/>
    <sheet name="#9521.00 McGough Construction" sheetId="217" r:id="rId188"/>
    <sheet name="RECAP #9524.00" sheetId="138" r:id="rId189"/>
    <sheet name="#9524.00 McGough Construction" sheetId="139" r:id="rId190"/>
    <sheet name="#9524.00 PM TIME" sheetId="140" r:id="rId191"/>
    <sheet name="#9524.00 Misc " sheetId="141" r:id="rId192"/>
    <sheet name="#9524.00 Shive Hattery" sheetId="205" r:id="rId193"/>
    <sheet name="RECAP #9527.00" sheetId="134" r:id="rId194"/>
    <sheet name="#9527.00 DCI Group" sheetId="135" r:id="rId195"/>
    <sheet name="#9527.00 PM TIME" sheetId="136" r:id="rId196"/>
    <sheet name="#9527.00 Misc" sheetId="137" r:id="rId197"/>
    <sheet name="#9527.00 CMBA Architects" sheetId="181" r:id="rId198"/>
    <sheet name="RECAP #9529.00" sheetId="146" r:id="rId199"/>
    <sheet name="#9529.00 DCI Group" sheetId="147" r:id="rId200"/>
    <sheet name="#9529.00 PM TIME" sheetId="148" r:id="rId201"/>
    <sheet name="#9529.00 Misc " sheetId="149" r:id="rId202"/>
    <sheet name="#9529.00 CMB Architects" sheetId="179" r:id="rId203"/>
    <sheet name="RECAP #9530.00" sheetId="150" r:id="rId204"/>
    <sheet name="#9530.00 Story Construction" sheetId="151" r:id="rId205"/>
    <sheet name="#9530.00 PM TIME" sheetId="152" r:id="rId206"/>
    <sheet name="#9530.00 Misc" sheetId="153" r:id="rId207"/>
    <sheet name="#9530.00 10Fold Architecture" sheetId="184" r:id="rId208"/>
    <sheet name="RECAP #XXXX.XX " sheetId="142" r:id="rId209"/>
    <sheet name="#XXXX.XX Vendor A" sheetId="143" r:id="rId210"/>
    <sheet name="#XXXX.XX PM TIME" sheetId="144" r:id="rId211"/>
    <sheet name="#XXXX.XX Misc" sheetId="145" r:id="rId212"/>
  </sheets>
  <externalReferences>
    <externalReference r:id="rId213"/>
    <externalReference r:id="rId214"/>
  </externalReferences>
  <definedNames>
    <definedName name="_xlnm._FilterDatabase" localSheetId="1" hidden="1">FINANCIAL!$A$9:$K$9</definedName>
    <definedName name="_xlnm.Print_Area" localSheetId="35">'#9491.00 DCI Group'!$A$1:$I$52</definedName>
    <definedName name="_xlnm.Print_Area" localSheetId="40">'#9491.00 DCI Group (2)'!$A$1:$I$52</definedName>
    <definedName name="_xlnm.Print_Area" localSheetId="38">'#9491.00 KCL Engineering'!$A$1:$I$48</definedName>
    <definedName name="_xlnm.Print_Area" localSheetId="1">FINANCIAL!$A$1:$K$51</definedName>
    <definedName name="_xlnm.Print_Titles" localSheetId="1">FINANCIAL!$1:$1</definedName>
    <definedName name="Z_B4E4B686_422E_4CA5_83DF_67B3403136B9_.wvu.FilterData" localSheetId="1" hidden="1">FINANCIAL!$A$9:$K$9</definedName>
    <definedName name="Z_B4E4B686_422E_4CA5_83DF_67B3403136B9_.wvu.PrintArea" localSheetId="1" hidden="1">FINANCIAL!$A$1:$K$52</definedName>
    <definedName name="Z_B4E4B686_422E_4CA5_83DF_67B3403136B9_.wvu.PrintTitles" localSheetId="1" hidden="1">FINANCIAL!$1:$1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120" l="1"/>
  <c r="E43" i="6"/>
  <c r="I14" i="176"/>
  <c r="F33" i="45" l="1"/>
  <c r="F34" i="45"/>
  <c r="F35" i="45"/>
  <c r="I29" i="140"/>
  <c r="I30" i="140" s="1"/>
  <c r="I31" i="140" s="1"/>
  <c r="H29" i="140"/>
  <c r="H30" i="140" s="1"/>
  <c r="H31" i="140" s="1"/>
  <c r="F29" i="140"/>
  <c r="F30" i="140" s="1"/>
  <c r="F31" i="140" s="1"/>
  <c r="F25" i="132"/>
  <c r="F26" i="132" s="1"/>
  <c r="F27" i="132" s="1"/>
  <c r="F33" i="102"/>
  <c r="F34" i="102" s="1"/>
  <c r="F35" i="102" s="1"/>
  <c r="F33" i="81"/>
  <c r="F34" i="81"/>
  <c r="F35" i="81" s="1"/>
  <c r="I33" i="69"/>
  <c r="I34" i="69" s="1"/>
  <c r="I35" i="69" s="1"/>
  <c r="H33" i="69"/>
  <c r="H34" i="69" s="1"/>
  <c r="H35" i="69" s="1"/>
  <c r="F33" i="69"/>
  <c r="F34" i="69" s="1"/>
  <c r="F35" i="69" s="1"/>
  <c r="F31" i="61"/>
  <c r="F32" i="61" s="1"/>
  <c r="F33" i="61" s="1"/>
  <c r="F31" i="33"/>
  <c r="F32" i="33" s="1"/>
  <c r="F33" i="33" s="1"/>
  <c r="E22" i="22"/>
  <c r="F39" i="4"/>
  <c r="F40" i="4"/>
  <c r="F41" i="4"/>
  <c r="F39" i="11"/>
  <c r="F40" i="11" s="1"/>
  <c r="F41" i="11" s="1"/>
  <c r="F25" i="128"/>
  <c r="F26" i="128"/>
  <c r="F27" i="128" s="1"/>
  <c r="F29" i="64"/>
  <c r="H29" i="64"/>
  <c r="H27" i="64"/>
  <c r="H28" i="64"/>
  <c r="D29" i="64"/>
  <c r="F26" i="151"/>
  <c r="F28" i="183"/>
  <c r="F27" i="183"/>
  <c r="F26" i="183"/>
  <c r="I10" i="201" l="1"/>
  <c r="D26" i="105"/>
  <c r="F27" i="105"/>
  <c r="F26" i="105"/>
  <c r="F27" i="175" l="1"/>
  <c r="F26" i="175"/>
  <c r="F27" i="60"/>
  <c r="F26" i="60"/>
  <c r="F26" i="135"/>
  <c r="F30" i="205" l="1"/>
  <c r="F29" i="156"/>
  <c r="F26" i="205"/>
  <c r="F28" i="162"/>
  <c r="F27" i="162"/>
  <c r="F26" i="162"/>
  <c r="F26" i="92"/>
  <c r="F26" i="139"/>
  <c r="F26" i="196" l="1"/>
  <c r="F29" i="161"/>
  <c r="D29" i="217" l="1"/>
  <c r="F29" i="217"/>
  <c r="H27" i="217"/>
  <c r="H26" i="217"/>
  <c r="F23" i="217"/>
  <c r="E16" i="130" s="1"/>
  <c r="D23" i="217"/>
  <c r="D16" i="130" s="1"/>
  <c r="G10" i="217"/>
  <c r="G11" i="217" s="1"/>
  <c r="G12" i="217" s="1"/>
  <c r="G13" i="217" s="1"/>
  <c r="G14" i="217" s="1"/>
  <c r="G15" i="217" s="1"/>
  <c r="G16" i="217" s="1"/>
  <c r="G17" i="217" s="1"/>
  <c r="G18" i="217" s="1"/>
  <c r="G19" i="217" s="1"/>
  <c r="G20" i="217" s="1"/>
  <c r="G21" i="217" s="1"/>
  <c r="E9" i="217"/>
  <c r="E10" i="217" s="1"/>
  <c r="E11" i="217" s="1"/>
  <c r="E12" i="217" s="1"/>
  <c r="E13" i="217" s="1"/>
  <c r="E14" i="217" s="1"/>
  <c r="E15" i="217" s="1"/>
  <c r="E16" i="217" s="1"/>
  <c r="E17" i="217" s="1"/>
  <c r="E18" i="217" s="1"/>
  <c r="E19" i="217" s="1"/>
  <c r="E20" i="217" s="1"/>
  <c r="E21" i="217" s="1"/>
  <c r="A6" i="217"/>
  <c r="D3" i="217"/>
  <c r="A3" i="217"/>
  <c r="A2" i="217"/>
  <c r="A1" i="217"/>
  <c r="H23" i="217" l="1"/>
  <c r="F16" i="130" s="1"/>
  <c r="H28" i="217"/>
  <c r="H29" i="217" s="1"/>
  <c r="H9" i="217"/>
  <c r="H10" i="217" s="1"/>
  <c r="H11" i="217" s="1"/>
  <c r="H12" i="217" s="1"/>
  <c r="H13" i="217" s="1"/>
  <c r="H14" i="217" s="1"/>
  <c r="H15" i="217" s="1"/>
  <c r="H16" i="217" s="1"/>
  <c r="H17" i="217" s="1"/>
  <c r="H18" i="217" s="1"/>
  <c r="H19" i="217" s="1"/>
  <c r="H20" i="217" s="1"/>
  <c r="H21" i="217" s="1"/>
  <c r="F27" i="166" l="1"/>
  <c r="F28" i="180" l="1"/>
  <c r="F27" i="180"/>
  <c r="F26" i="180"/>
  <c r="F28" i="118"/>
  <c r="D29" i="216"/>
  <c r="H27" i="216"/>
  <c r="H28" i="216"/>
  <c r="F29" i="216"/>
  <c r="H26" i="216"/>
  <c r="F23" i="216"/>
  <c r="E15" i="104" s="1"/>
  <c r="D23" i="216"/>
  <c r="D15" i="104" s="1"/>
  <c r="G10" i="216"/>
  <c r="G11" i="216" s="1"/>
  <c r="G12" i="216" s="1"/>
  <c r="G13" i="216" s="1"/>
  <c r="G14" i="216" s="1"/>
  <c r="G15" i="216" s="1"/>
  <c r="G16" i="216" s="1"/>
  <c r="G17" i="216" s="1"/>
  <c r="G18" i="216" s="1"/>
  <c r="G19" i="216" s="1"/>
  <c r="G20" i="216" s="1"/>
  <c r="G21" i="216" s="1"/>
  <c r="E9" i="216"/>
  <c r="E10" i="216" s="1"/>
  <c r="E11" i="216" s="1"/>
  <c r="E12" i="216" s="1"/>
  <c r="E13" i="216" s="1"/>
  <c r="E14" i="216" s="1"/>
  <c r="E15" i="216" s="1"/>
  <c r="E16" i="216" s="1"/>
  <c r="E17" i="216" s="1"/>
  <c r="E18" i="216" s="1"/>
  <c r="E19" i="216" s="1"/>
  <c r="E20" i="216" s="1"/>
  <c r="E21" i="216" s="1"/>
  <c r="A6" i="216"/>
  <c r="D3" i="216"/>
  <c r="A3" i="216"/>
  <c r="A2" i="216"/>
  <c r="A1" i="216"/>
  <c r="H23" i="216" l="1"/>
  <c r="F15" i="104" s="1"/>
  <c r="H29" i="216"/>
  <c r="H9" i="216"/>
  <c r="H10" i="216" s="1"/>
  <c r="H11" i="216" s="1"/>
  <c r="H12" i="216" s="1"/>
  <c r="H13" i="216" s="1"/>
  <c r="H14" i="216" s="1"/>
  <c r="H15" i="216" s="1"/>
  <c r="H16" i="216" s="1"/>
  <c r="H17" i="216" s="1"/>
  <c r="H18" i="216" s="1"/>
  <c r="H19" i="216" s="1"/>
  <c r="H20" i="216" s="1"/>
  <c r="H21" i="216" s="1"/>
  <c r="F27" i="181"/>
  <c r="F26" i="181"/>
  <c r="I12" i="185" l="1"/>
  <c r="F26" i="195"/>
  <c r="F26" i="194"/>
  <c r="F26" i="167" l="1"/>
  <c r="E9" i="45"/>
  <c r="F29" i="110"/>
  <c r="F25" i="209" l="1"/>
  <c r="G39" i="20"/>
  <c r="H29" i="116"/>
  <c r="D30" i="116"/>
  <c r="F27" i="184"/>
  <c r="F26" i="184"/>
  <c r="F27" i="170"/>
  <c r="F27" i="187" l="1"/>
  <c r="E9" i="65"/>
  <c r="E9" i="61"/>
  <c r="F28" i="215"/>
  <c r="D28" i="215"/>
  <c r="H27" i="215"/>
  <c r="H26" i="215"/>
  <c r="F23" i="215"/>
  <c r="E14" i="104" s="1"/>
  <c r="D23" i="215"/>
  <c r="D14" i="104" s="1"/>
  <c r="G10" i="215"/>
  <c r="G11" i="215" s="1"/>
  <c r="G12" i="215" s="1"/>
  <c r="G13" i="215" s="1"/>
  <c r="G14" i="215" s="1"/>
  <c r="G15" i="215" s="1"/>
  <c r="G16" i="215" s="1"/>
  <c r="G17" i="215" s="1"/>
  <c r="G18" i="215" s="1"/>
  <c r="G19" i="215" s="1"/>
  <c r="G20" i="215" s="1"/>
  <c r="G21" i="215" s="1"/>
  <c r="E9" i="215"/>
  <c r="E10" i="215" s="1"/>
  <c r="E11" i="215" s="1"/>
  <c r="E12" i="215" s="1"/>
  <c r="E13" i="215" s="1"/>
  <c r="E14" i="215" s="1"/>
  <c r="E15" i="215" s="1"/>
  <c r="E16" i="215" s="1"/>
  <c r="E17" i="215" s="1"/>
  <c r="E18" i="215" s="1"/>
  <c r="E19" i="215" s="1"/>
  <c r="E20" i="215" s="1"/>
  <c r="E21" i="215" s="1"/>
  <c r="A6" i="215"/>
  <c r="D3" i="215"/>
  <c r="A3" i="215"/>
  <c r="A2" i="215"/>
  <c r="A1" i="215"/>
  <c r="H23" i="215" l="1"/>
  <c r="F14" i="104" s="1"/>
  <c r="H28" i="215"/>
  <c r="H9" i="215"/>
  <c r="H10" i="215" s="1"/>
  <c r="H11" i="215" s="1"/>
  <c r="H12" i="215" s="1"/>
  <c r="H13" i="215" s="1"/>
  <c r="H14" i="215" s="1"/>
  <c r="H15" i="215" s="1"/>
  <c r="H16" i="215" s="1"/>
  <c r="H17" i="215" s="1"/>
  <c r="H18" i="215" s="1"/>
  <c r="H19" i="215" s="1"/>
  <c r="H20" i="215" s="1"/>
  <c r="H21" i="215" s="1"/>
  <c r="F28" i="212" l="1"/>
  <c r="F26" i="212"/>
  <c r="F26" i="147"/>
  <c r="F26" i="178"/>
  <c r="D26" i="127" l="1"/>
  <c r="D27" i="127"/>
  <c r="F26" i="127"/>
  <c r="F26" i="154"/>
  <c r="F30" i="22"/>
  <c r="D28" i="200" l="1"/>
  <c r="D27" i="200"/>
  <c r="D26" i="200"/>
  <c r="F26" i="200"/>
  <c r="F23" i="214"/>
  <c r="E16" i="59" s="1"/>
  <c r="D23" i="214"/>
  <c r="D16" i="59" s="1"/>
  <c r="G10" i="214"/>
  <c r="G11" i="214" s="1"/>
  <c r="G12" i="214" s="1"/>
  <c r="G13" i="214" s="1"/>
  <c r="G14" i="214" s="1"/>
  <c r="G15" i="214" s="1"/>
  <c r="G16" i="214" s="1"/>
  <c r="G17" i="214" s="1"/>
  <c r="G18" i="214" s="1"/>
  <c r="G19" i="214" s="1"/>
  <c r="G20" i="214" s="1"/>
  <c r="G21" i="214" s="1"/>
  <c r="E9" i="214"/>
  <c r="E10" i="214" s="1"/>
  <c r="E11" i="214" s="1"/>
  <c r="E12" i="214" s="1"/>
  <c r="E13" i="214" s="1"/>
  <c r="E14" i="214" s="1"/>
  <c r="E15" i="214" s="1"/>
  <c r="E16" i="214" s="1"/>
  <c r="E17" i="214" s="1"/>
  <c r="E18" i="214" s="1"/>
  <c r="E19" i="214" s="1"/>
  <c r="E20" i="214" s="1"/>
  <c r="E21" i="214" s="1"/>
  <c r="A6" i="214"/>
  <c r="D3" i="214"/>
  <c r="A3" i="214"/>
  <c r="A2" i="214"/>
  <c r="A1" i="214"/>
  <c r="F47" i="159"/>
  <c r="F39" i="159"/>
  <c r="F30" i="159"/>
  <c r="H23" i="214" l="1"/>
  <c r="F16" i="59" s="1"/>
  <c r="H9" i="214"/>
  <c r="H10" i="214" s="1"/>
  <c r="H11" i="214" s="1"/>
  <c r="H12" i="214" s="1"/>
  <c r="H13" i="214" s="1"/>
  <c r="H14" i="214" s="1"/>
  <c r="H15" i="214" s="1"/>
  <c r="H16" i="214" s="1"/>
  <c r="H17" i="214" s="1"/>
  <c r="H18" i="214" s="1"/>
  <c r="H19" i="214" s="1"/>
  <c r="H20" i="214" s="1"/>
  <c r="H21" i="214" s="1"/>
  <c r="F23" i="213"/>
  <c r="E15" i="63" s="1"/>
  <c r="D23" i="213"/>
  <c r="G10" i="213"/>
  <c r="G11" i="213" s="1"/>
  <c r="G12" i="213" s="1"/>
  <c r="G13" i="213" s="1"/>
  <c r="G14" i="213" s="1"/>
  <c r="G15" i="213" s="1"/>
  <c r="G16" i="213" s="1"/>
  <c r="G17" i="213" s="1"/>
  <c r="G18" i="213" s="1"/>
  <c r="G19" i="213" s="1"/>
  <c r="G20" i="213" s="1"/>
  <c r="G21" i="213" s="1"/>
  <c r="E9" i="213"/>
  <c r="H9" i="213" s="1"/>
  <c r="H10" i="213" s="1"/>
  <c r="H11" i="213" s="1"/>
  <c r="H12" i="213" s="1"/>
  <c r="H13" i="213" s="1"/>
  <c r="H14" i="213" s="1"/>
  <c r="H15" i="213" s="1"/>
  <c r="H16" i="213" s="1"/>
  <c r="H17" i="213" s="1"/>
  <c r="H18" i="213" s="1"/>
  <c r="H19" i="213" s="1"/>
  <c r="H20" i="213" s="1"/>
  <c r="H21" i="213" s="1"/>
  <c r="A6" i="213"/>
  <c r="D3" i="213"/>
  <c r="A3" i="213"/>
  <c r="A2" i="213"/>
  <c r="A1" i="213"/>
  <c r="I12" i="176"/>
  <c r="H28" i="162"/>
  <c r="H27" i="162"/>
  <c r="H26" i="162"/>
  <c r="H23" i="213" l="1"/>
  <c r="F15" i="63" s="1"/>
  <c r="D15" i="63"/>
  <c r="E10" i="213"/>
  <c r="E11" i="213" s="1"/>
  <c r="E12" i="213" s="1"/>
  <c r="E13" i="213" s="1"/>
  <c r="E14" i="213" s="1"/>
  <c r="E15" i="213" s="1"/>
  <c r="E16" i="213" s="1"/>
  <c r="E17" i="213" s="1"/>
  <c r="E18" i="213" s="1"/>
  <c r="E19" i="213" s="1"/>
  <c r="E20" i="213" s="1"/>
  <c r="E21" i="213" s="1"/>
  <c r="F29" i="162"/>
  <c r="H29" i="162"/>
  <c r="E9" i="57" l="1"/>
  <c r="F29" i="169"/>
  <c r="F29" i="155" l="1"/>
  <c r="F28" i="116"/>
  <c r="F26" i="72"/>
  <c r="F29" i="212"/>
  <c r="D29" i="212"/>
  <c r="H26" i="212"/>
  <c r="H27" i="212"/>
  <c r="F23" i="212"/>
  <c r="E15" i="100" s="1"/>
  <c r="D23" i="212"/>
  <c r="D15" i="100" s="1"/>
  <c r="G10" i="212"/>
  <c r="G11" i="212" s="1"/>
  <c r="G12" i="212" s="1"/>
  <c r="G13" i="212" s="1"/>
  <c r="G14" i="212" s="1"/>
  <c r="G15" i="212" s="1"/>
  <c r="G16" i="212" s="1"/>
  <c r="G17" i="212" s="1"/>
  <c r="G18" i="212" s="1"/>
  <c r="G19" i="212" s="1"/>
  <c r="G20" i="212" s="1"/>
  <c r="G21" i="212" s="1"/>
  <c r="E9" i="212"/>
  <c r="H9" i="212" s="1"/>
  <c r="H10" i="212" s="1"/>
  <c r="H11" i="212" s="1"/>
  <c r="H12" i="212" s="1"/>
  <c r="H13" i="212" s="1"/>
  <c r="H14" i="212" s="1"/>
  <c r="H15" i="212" s="1"/>
  <c r="H16" i="212" s="1"/>
  <c r="H17" i="212" s="1"/>
  <c r="H18" i="212" s="1"/>
  <c r="H19" i="212" s="1"/>
  <c r="H20" i="212" s="1"/>
  <c r="H21" i="212" s="1"/>
  <c r="A6" i="212"/>
  <c r="D3" i="212"/>
  <c r="A3" i="212"/>
  <c r="A2" i="212"/>
  <c r="A1" i="212"/>
  <c r="F28" i="211"/>
  <c r="D28" i="211"/>
  <c r="H27" i="211"/>
  <c r="H26" i="211"/>
  <c r="F23" i="211"/>
  <c r="E14" i="63" s="1"/>
  <c r="D23" i="211"/>
  <c r="G10" i="211"/>
  <c r="G11" i="211" s="1"/>
  <c r="G12" i="211" s="1"/>
  <c r="G13" i="211" s="1"/>
  <c r="G14" i="211" s="1"/>
  <c r="G15" i="211" s="1"/>
  <c r="G16" i="211" s="1"/>
  <c r="G17" i="211" s="1"/>
  <c r="G18" i="211" s="1"/>
  <c r="G19" i="211" s="1"/>
  <c r="G20" i="211" s="1"/>
  <c r="G21" i="211" s="1"/>
  <c r="E9" i="211"/>
  <c r="E10" i="211" s="1"/>
  <c r="E11" i="211" s="1"/>
  <c r="E12" i="211" s="1"/>
  <c r="E13" i="211" s="1"/>
  <c r="E14" i="211" s="1"/>
  <c r="E15" i="211" s="1"/>
  <c r="E16" i="211" s="1"/>
  <c r="E17" i="211" s="1"/>
  <c r="E18" i="211" s="1"/>
  <c r="E19" i="211" s="1"/>
  <c r="E20" i="211" s="1"/>
  <c r="E21" i="211" s="1"/>
  <c r="A6" i="211"/>
  <c r="D3" i="211"/>
  <c r="A3" i="211"/>
  <c r="A2" i="211"/>
  <c r="A1" i="211"/>
  <c r="F27" i="195"/>
  <c r="H23" i="211" l="1"/>
  <c r="F14" i="63" s="1"/>
  <c r="H23" i="212"/>
  <c r="F15" i="100" s="1"/>
  <c r="E10" i="212"/>
  <c r="E11" i="212" s="1"/>
  <c r="E12" i="212" s="1"/>
  <c r="E13" i="212" s="1"/>
  <c r="E14" i="212" s="1"/>
  <c r="E15" i="212" s="1"/>
  <c r="E16" i="212" s="1"/>
  <c r="E17" i="212" s="1"/>
  <c r="E18" i="212" s="1"/>
  <c r="E19" i="212" s="1"/>
  <c r="E20" i="212" s="1"/>
  <c r="E21" i="212" s="1"/>
  <c r="H28" i="212"/>
  <c r="H29" i="212" s="1"/>
  <c r="D14" i="63"/>
  <c r="H28" i="211"/>
  <c r="H9" i="211"/>
  <c r="H10" i="211" s="1"/>
  <c r="H11" i="211" s="1"/>
  <c r="H12" i="211" s="1"/>
  <c r="H13" i="211" s="1"/>
  <c r="H14" i="211" s="1"/>
  <c r="H15" i="211" s="1"/>
  <c r="H16" i="211" s="1"/>
  <c r="H17" i="211" s="1"/>
  <c r="H18" i="211" s="1"/>
  <c r="H19" i="211" s="1"/>
  <c r="H20" i="211" s="1"/>
  <c r="H21" i="211" s="1"/>
  <c r="A1" i="164"/>
  <c r="E9" i="41"/>
  <c r="E9" i="20"/>
  <c r="F23" i="210"/>
  <c r="E16" i="39" s="1"/>
  <c r="D23" i="210"/>
  <c r="D16" i="39" s="1"/>
  <c r="G10" i="210"/>
  <c r="G11" i="210" s="1"/>
  <c r="G12" i="210" s="1"/>
  <c r="G13" i="210" s="1"/>
  <c r="G14" i="210" s="1"/>
  <c r="G15" i="210" s="1"/>
  <c r="G16" i="210" s="1"/>
  <c r="G17" i="210" s="1"/>
  <c r="G18" i="210" s="1"/>
  <c r="G19" i="210" s="1"/>
  <c r="G20" i="210" s="1"/>
  <c r="G21" i="210" s="1"/>
  <c r="E9" i="210"/>
  <c r="E10" i="210" s="1"/>
  <c r="E11" i="210" s="1"/>
  <c r="E12" i="210" s="1"/>
  <c r="E13" i="210" s="1"/>
  <c r="E14" i="210" s="1"/>
  <c r="E15" i="210" s="1"/>
  <c r="E16" i="210" s="1"/>
  <c r="E17" i="210" s="1"/>
  <c r="E18" i="210" s="1"/>
  <c r="E19" i="210" s="1"/>
  <c r="E20" i="210" s="1"/>
  <c r="E21" i="210" s="1"/>
  <c r="A6" i="210"/>
  <c r="D3" i="210"/>
  <c r="A3" i="210"/>
  <c r="A2" i="210"/>
  <c r="A1" i="210"/>
  <c r="D27" i="209"/>
  <c r="D23" i="209"/>
  <c r="F23" i="209"/>
  <c r="E15" i="39" s="1"/>
  <c r="F27" i="209"/>
  <c r="H26" i="209"/>
  <c r="H25" i="209"/>
  <c r="G10" i="209"/>
  <c r="G11" i="209" s="1"/>
  <c r="G12" i="209" s="1"/>
  <c r="G13" i="209" s="1"/>
  <c r="G14" i="209" s="1"/>
  <c r="G15" i="209" s="1"/>
  <c r="G16" i="209" s="1"/>
  <c r="G17" i="209" s="1"/>
  <c r="G18" i="209" s="1"/>
  <c r="G19" i="209" s="1"/>
  <c r="G20" i="209" s="1"/>
  <c r="G21" i="209" s="1"/>
  <c r="E9" i="209"/>
  <c r="E10" i="209" s="1"/>
  <c r="E11" i="209" s="1"/>
  <c r="E12" i="209" s="1"/>
  <c r="E13" i="209" s="1"/>
  <c r="E14" i="209" s="1"/>
  <c r="E15" i="209" s="1"/>
  <c r="E16" i="209" s="1"/>
  <c r="E17" i="209" s="1"/>
  <c r="E18" i="209" s="1"/>
  <c r="E19" i="209" s="1"/>
  <c r="E20" i="209" s="1"/>
  <c r="E21" i="209" s="1"/>
  <c r="A6" i="209"/>
  <c r="D3" i="209"/>
  <c r="A3" i="209"/>
  <c r="A2" i="209"/>
  <c r="A1" i="209"/>
  <c r="F27" i="64"/>
  <c r="F26" i="64"/>
  <c r="H23" i="209" l="1"/>
  <c r="F15" i="39" s="1"/>
  <c r="H23" i="210"/>
  <c r="F16" i="39" s="1"/>
  <c r="H9" i="210"/>
  <c r="H10" i="210" s="1"/>
  <c r="H11" i="210" s="1"/>
  <c r="H12" i="210" s="1"/>
  <c r="H13" i="210" s="1"/>
  <c r="H14" i="210" s="1"/>
  <c r="H15" i="210" s="1"/>
  <c r="H16" i="210" s="1"/>
  <c r="H17" i="210" s="1"/>
  <c r="H18" i="210" s="1"/>
  <c r="H19" i="210" s="1"/>
  <c r="H20" i="210" s="1"/>
  <c r="H21" i="210" s="1"/>
  <c r="H27" i="209"/>
  <c r="D15" i="39"/>
  <c r="H9" i="209"/>
  <c r="H10" i="209" s="1"/>
  <c r="H11" i="209" l="1"/>
  <c r="H12" i="209" s="1"/>
  <c r="H13" i="209" s="1"/>
  <c r="H14" i="209" s="1"/>
  <c r="H15" i="209" s="1"/>
  <c r="H16" i="209" s="1"/>
  <c r="H17" i="209" s="1"/>
  <c r="H18" i="209" s="1"/>
  <c r="H19" i="209" s="1"/>
  <c r="H20" i="209" s="1"/>
  <c r="H21" i="209" s="1"/>
  <c r="F26" i="179" l="1"/>
  <c r="F23" i="208" l="1"/>
  <c r="E14" i="39" s="1"/>
  <c r="D23" i="208"/>
  <c r="D14" i="39" s="1"/>
  <c r="G10" i="208"/>
  <c r="G11" i="208" s="1"/>
  <c r="G12" i="208" s="1"/>
  <c r="G13" i="208" s="1"/>
  <c r="G14" i="208" s="1"/>
  <c r="G15" i="208" s="1"/>
  <c r="G16" i="208" s="1"/>
  <c r="G17" i="208" s="1"/>
  <c r="G18" i="208" s="1"/>
  <c r="G19" i="208" s="1"/>
  <c r="G20" i="208" s="1"/>
  <c r="G21" i="208" s="1"/>
  <c r="E9" i="208"/>
  <c r="H9" i="208" s="1"/>
  <c r="H10" i="208" s="1"/>
  <c r="H11" i="208" s="1"/>
  <c r="H12" i="208" s="1"/>
  <c r="H13" i="208" s="1"/>
  <c r="H14" i="208" s="1"/>
  <c r="H15" i="208" s="1"/>
  <c r="H16" i="208" s="1"/>
  <c r="H17" i="208" s="1"/>
  <c r="H18" i="208" s="1"/>
  <c r="H19" i="208" s="1"/>
  <c r="H20" i="208" s="1"/>
  <c r="H21" i="208" s="1"/>
  <c r="A6" i="208"/>
  <c r="D3" i="208"/>
  <c r="A3" i="208"/>
  <c r="A2" i="208"/>
  <c r="A1" i="208"/>
  <c r="H23" i="208" l="1"/>
  <c r="F14" i="39" s="1"/>
  <c r="E10" i="208"/>
  <c r="E11" i="208" s="1"/>
  <c r="E12" i="208" s="1"/>
  <c r="E13" i="208" s="1"/>
  <c r="E14" i="208" s="1"/>
  <c r="E15" i="208" s="1"/>
  <c r="E16" i="208" s="1"/>
  <c r="E17" i="208" s="1"/>
  <c r="E18" i="208" s="1"/>
  <c r="E19" i="208" s="1"/>
  <c r="E20" i="208" s="1"/>
  <c r="E21" i="208" s="1"/>
  <c r="F27" i="200" l="1"/>
  <c r="F26" i="187" l="1"/>
  <c r="E21" i="6" l="1"/>
  <c r="E11" i="6" l="1"/>
  <c r="E13" i="6" l="1"/>
  <c r="H26" i="113" l="1"/>
  <c r="F26" i="113"/>
  <c r="D26" i="113"/>
  <c r="F23" i="207" l="1"/>
  <c r="E17" i="126" s="1"/>
  <c r="D23" i="207"/>
  <c r="D17" i="126" s="1"/>
  <c r="G10" i="207"/>
  <c r="G11" i="207" s="1"/>
  <c r="G12" i="207" s="1"/>
  <c r="G13" i="207" s="1"/>
  <c r="G14" i="207" s="1"/>
  <c r="G15" i="207" s="1"/>
  <c r="G16" i="207" s="1"/>
  <c r="G17" i="207" s="1"/>
  <c r="G18" i="207" s="1"/>
  <c r="G19" i="207" s="1"/>
  <c r="G20" i="207" s="1"/>
  <c r="G21" i="207" s="1"/>
  <c r="E9" i="207"/>
  <c r="E10" i="207" s="1"/>
  <c r="E11" i="207" s="1"/>
  <c r="E12" i="207" s="1"/>
  <c r="E13" i="207" s="1"/>
  <c r="E14" i="207" s="1"/>
  <c r="E15" i="207" s="1"/>
  <c r="E16" i="207" s="1"/>
  <c r="E17" i="207" s="1"/>
  <c r="E18" i="207" s="1"/>
  <c r="E19" i="207" s="1"/>
  <c r="E20" i="207" s="1"/>
  <c r="E21" i="207" s="1"/>
  <c r="A6" i="207"/>
  <c r="D3" i="207"/>
  <c r="A3" i="207"/>
  <c r="A2" i="207"/>
  <c r="A1" i="207"/>
  <c r="H23" i="207" l="1"/>
  <c r="F17" i="126" s="1"/>
  <c r="H9" i="207"/>
  <c r="H10" i="207" s="1"/>
  <c r="H11" i="207" s="1"/>
  <c r="H12" i="207" s="1"/>
  <c r="H13" i="207" s="1"/>
  <c r="H14" i="207" s="1"/>
  <c r="H15" i="207" s="1"/>
  <c r="H16" i="207" s="1"/>
  <c r="H17" i="207" s="1"/>
  <c r="H18" i="207" s="1"/>
  <c r="H19" i="207" s="1"/>
  <c r="H20" i="207" s="1"/>
  <c r="H21" i="207" s="1"/>
  <c r="E9" i="8" l="1"/>
  <c r="F30" i="172"/>
  <c r="F31" i="172"/>
  <c r="F32" i="172"/>
  <c r="F33" i="172"/>
  <c r="F26" i="172"/>
  <c r="D27" i="44"/>
  <c r="D26" i="44"/>
  <c r="F23" i="206"/>
  <c r="E14" i="100" s="1"/>
  <c r="D23" i="206"/>
  <c r="D14" i="100" s="1"/>
  <c r="G10" i="206"/>
  <c r="G11" i="206" s="1"/>
  <c r="G12" i="206" s="1"/>
  <c r="G13" i="206" s="1"/>
  <c r="G14" i="206" s="1"/>
  <c r="G15" i="206" s="1"/>
  <c r="G16" i="206" s="1"/>
  <c r="G17" i="206" s="1"/>
  <c r="G18" i="206" s="1"/>
  <c r="G19" i="206" s="1"/>
  <c r="G20" i="206" s="1"/>
  <c r="G21" i="206" s="1"/>
  <c r="E9" i="206"/>
  <c r="E10" i="206" s="1"/>
  <c r="E11" i="206" s="1"/>
  <c r="E12" i="206" s="1"/>
  <c r="E13" i="206" s="1"/>
  <c r="E14" i="206" s="1"/>
  <c r="E15" i="206" s="1"/>
  <c r="E16" i="206" s="1"/>
  <c r="E17" i="206" s="1"/>
  <c r="E18" i="206" s="1"/>
  <c r="E19" i="206" s="1"/>
  <c r="E20" i="206" s="1"/>
  <c r="E21" i="206" s="1"/>
  <c r="A6" i="206"/>
  <c r="D3" i="206"/>
  <c r="A3" i="206"/>
  <c r="A2" i="206"/>
  <c r="A1" i="206"/>
  <c r="F30" i="165"/>
  <c r="F28" i="165"/>
  <c r="F27" i="165"/>
  <c r="F26" i="165"/>
  <c r="H27" i="205"/>
  <c r="H28" i="205"/>
  <c r="H29" i="205"/>
  <c r="H26" i="205"/>
  <c r="D30" i="205"/>
  <c r="F23" i="205"/>
  <c r="E13" i="138" s="1"/>
  <c r="D23" i="205"/>
  <c r="D13" i="138" s="1"/>
  <c r="G10" i="205"/>
  <c r="G11" i="205" s="1"/>
  <c r="G12" i="205" s="1"/>
  <c r="G13" i="205" s="1"/>
  <c r="G14" i="205" s="1"/>
  <c r="G15" i="205" s="1"/>
  <c r="G16" i="205" s="1"/>
  <c r="G17" i="205" s="1"/>
  <c r="G18" i="205" s="1"/>
  <c r="G19" i="205" s="1"/>
  <c r="G20" i="205" s="1"/>
  <c r="G21" i="205" s="1"/>
  <c r="E9" i="205"/>
  <c r="E10" i="205" s="1"/>
  <c r="E11" i="205" s="1"/>
  <c r="E12" i="205" s="1"/>
  <c r="E13" i="205" s="1"/>
  <c r="E14" i="205" s="1"/>
  <c r="E15" i="205" s="1"/>
  <c r="E16" i="205" s="1"/>
  <c r="E17" i="205" s="1"/>
  <c r="E18" i="205" s="1"/>
  <c r="E19" i="205" s="1"/>
  <c r="E20" i="205" s="1"/>
  <c r="E21" i="205" s="1"/>
  <c r="A6" i="205"/>
  <c r="D3" i="205"/>
  <c r="A3" i="205"/>
  <c r="A2" i="205"/>
  <c r="A1" i="205"/>
  <c r="F23" i="204"/>
  <c r="E16" i="126" s="1"/>
  <c r="D23" i="204"/>
  <c r="D16" i="126" s="1"/>
  <c r="G10" i="204"/>
  <c r="G11" i="204" s="1"/>
  <c r="G12" i="204" s="1"/>
  <c r="G13" i="204" s="1"/>
  <c r="G14" i="204" s="1"/>
  <c r="G15" i="204" s="1"/>
  <c r="G16" i="204" s="1"/>
  <c r="G17" i="204" s="1"/>
  <c r="G18" i="204" s="1"/>
  <c r="G19" i="204" s="1"/>
  <c r="G20" i="204" s="1"/>
  <c r="G21" i="204" s="1"/>
  <c r="E9" i="204"/>
  <c r="E10" i="204" s="1"/>
  <c r="E11" i="204" s="1"/>
  <c r="E12" i="204" s="1"/>
  <c r="E13" i="204" s="1"/>
  <c r="E14" i="204" s="1"/>
  <c r="E15" i="204" s="1"/>
  <c r="E16" i="204" s="1"/>
  <c r="E17" i="204" s="1"/>
  <c r="E18" i="204" s="1"/>
  <c r="E19" i="204" s="1"/>
  <c r="E20" i="204" s="1"/>
  <c r="E21" i="204" s="1"/>
  <c r="A6" i="204"/>
  <c r="D3" i="204"/>
  <c r="A3" i="204"/>
  <c r="A2" i="204"/>
  <c r="A1" i="204"/>
  <c r="H9" i="204" l="1"/>
  <c r="H10" i="204" s="1"/>
  <c r="H11" i="204" s="1"/>
  <c r="H12" i="204" s="1"/>
  <c r="H13" i="204" s="1"/>
  <c r="H14" i="204" s="1"/>
  <c r="H15" i="204" s="1"/>
  <c r="H16" i="204" s="1"/>
  <c r="H17" i="204" s="1"/>
  <c r="H18" i="204" s="1"/>
  <c r="H19" i="204" s="1"/>
  <c r="H20" i="204" s="1"/>
  <c r="H21" i="204" s="1"/>
  <c r="H30" i="205"/>
  <c r="H23" i="204"/>
  <c r="F16" i="126" s="1"/>
  <c r="H23" i="206"/>
  <c r="F14" i="100" s="1"/>
  <c r="H9" i="206"/>
  <c r="H10" i="206" s="1"/>
  <c r="H11" i="206" s="1"/>
  <c r="H12" i="206" s="1"/>
  <c r="H13" i="206" s="1"/>
  <c r="H14" i="206" s="1"/>
  <c r="H15" i="206" s="1"/>
  <c r="H16" i="206" s="1"/>
  <c r="H17" i="206" s="1"/>
  <c r="H18" i="206" s="1"/>
  <c r="H19" i="206" s="1"/>
  <c r="H20" i="206" s="1"/>
  <c r="H21" i="206" s="1"/>
  <c r="H23" i="205"/>
  <c r="F13" i="138" s="1"/>
  <c r="H9" i="205"/>
  <c r="H10" i="205" s="1"/>
  <c r="H11" i="205" s="1"/>
  <c r="H12" i="205" s="1"/>
  <c r="H13" i="205" s="1"/>
  <c r="H14" i="205" s="1"/>
  <c r="H15" i="205" s="1"/>
  <c r="H16" i="205" s="1"/>
  <c r="H17" i="205" s="1"/>
  <c r="H18" i="205" s="1"/>
  <c r="H19" i="205" s="1"/>
  <c r="H20" i="205" s="1"/>
  <c r="H21" i="205" s="1"/>
  <c r="F31" i="170"/>
  <c r="D32" i="125"/>
  <c r="H31" i="125"/>
  <c r="F23" i="203"/>
  <c r="E15" i="126" s="1"/>
  <c r="D23" i="203"/>
  <c r="G10" i="203"/>
  <c r="G11" i="203" s="1"/>
  <c r="G12" i="203" s="1"/>
  <c r="G13" i="203" s="1"/>
  <c r="G14" i="203" s="1"/>
  <c r="G15" i="203" s="1"/>
  <c r="G16" i="203" s="1"/>
  <c r="G17" i="203" s="1"/>
  <c r="G18" i="203" s="1"/>
  <c r="G19" i="203" s="1"/>
  <c r="G20" i="203" s="1"/>
  <c r="G21" i="203" s="1"/>
  <c r="E9" i="203"/>
  <c r="E10" i="203" s="1"/>
  <c r="E11" i="203" s="1"/>
  <c r="E12" i="203" s="1"/>
  <c r="E13" i="203" s="1"/>
  <c r="E14" i="203" s="1"/>
  <c r="E15" i="203" s="1"/>
  <c r="E16" i="203" s="1"/>
  <c r="E17" i="203" s="1"/>
  <c r="E18" i="203" s="1"/>
  <c r="E19" i="203" s="1"/>
  <c r="E20" i="203" s="1"/>
  <c r="E21" i="203" s="1"/>
  <c r="A6" i="203"/>
  <c r="D3" i="203"/>
  <c r="A3" i="203"/>
  <c r="A2" i="203"/>
  <c r="A1" i="203"/>
  <c r="F29" i="202"/>
  <c r="H27" i="202"/>
  <c r="H28" i="202"/>
  <c r="D29" i="202"/>
  <c r="F23" i="202"/>
  <c r="E14" i="126" s="1"/>
  <c r="D23" i="202"/>
  <c r="D14" i="126" s="1"/>
  <c r="G10" i="202"/>
  <c r="G11" i="202" s="1"/>
  <c r="G12" i="202" s="1"/>
  <c r="G13" i="202" s="1"/>
  <c r="G14" i="202" s="1"/>
  <c r="G15" i="202" s="1"/>
  <c r="G16" i="202" s="1"/>
  <c r="G17" i="202" s="1"/>
  <c r="G18" i="202" s="1"/>
  <c r="G19" i="202" s="1"/>
  <c r="G20" i="202" s="1"/>
  <c r="G21" i="202" s="1"/>
  <c r="E9" i="202"/>
  <c r="E10" i="202" s="1"/>
  <c r="E11" i="202" s="1"/>
  <c r="E12" i="202" s="1"/>
  <c r="E13" i="202" s="1"/>
  <c r="E14" i="202" s="1"/>
  <c r="E15" i="202" s="1"/>
  <c r="E16" i="202" s="1"/>
  <c r="E17" i="202" s="1"/>
  <c r="E18" i="202" s="1"/>
  <c r="E19" i="202" s="1"/>
  <c r="E20" i="202" s="1"/>
  <c r="E21" i="202" s="1"/>
  <c r="A6" i="202"/>
  <c r="D3" i="202"/>
  <c r="A3" i="202"/>
  <c r="A2" i="202"/>
  <c r="A1" i="202"/>
  <c r="H28" i="60"/>
  <c r="D29" i="60"/>
  <c r="H23" i="203" l="1"/>
  <c r="F15" i="126" s="1"/>
  <c r="D15" i="126"/>
  <c r="H9" i="203"/>
  <c r="H10" i="203" s="1"/>
  <c r="H11" i="203" s="1"/>
  <c r="H12" i="203" s="1"/>
  <c r="H13" i="203" s="1"/>
  <c r="H14" i="203" s="1"/>
  <c r="H15" i="203" s="1"/>
  <c r="H16" i="203" s="1"/>
  <c r="H17" i="203" s="1"/>
  <c r="H18" i="203" s="1"/>
  <c r="H19" i="203" s="1"/>
  <c r="H20" i="203" s="1"/>
  <c r="H21" i="203" s="1"/>
  <c r="H23" i="202"/>
  <c r="F14" i="126" s="1"/>
  <c r="H9" i="202"/>
  <c r="H10" i="202" s="1"/>
  <c r="H11" i="202" s="1"/>
  <c r="H12" i="202" s="1"/>
  <c r="H13" i="202" s="1"/>
  <c r="H14" i="202" s="1"/>
  <c r="H15" i="202" s="1"/>
  <c r="H16" i="202" s="1"/>
  <c r="H17" i="202" s="1"/>
  <c r="H18" i="202" s="1"/>
  <c r="H19" i="202" s="1"/>
  <c r="H20" i="202" s="1"/>
  <c r="H21" i="202" s="1"/>
  <c r="H26" i="202"/>
  <c r="H29" i="202" s="1"/>
  <c r="F23" i="201" l="1"/>
  <c r="E16" i="47" s="1"/>
  <c r="D23" i="201"/>
  <c r="D16" i="47" s="1"/>
  <c r="G10" i="201"/>
  <c r="G11" i="201" s="1"/>
  <c r="G12" i="201" s="1"/>
  <c r="G13" i="201" s="1"/>
  <c r="G14" i="201" s="1"/>
  <c r="G15" i="201" s="1"/>
  <c r="G16" i="201" s="1"/>
  <c r="G17" i="201" s="1"/>
  <c r="G18" i="201" s="1"/>
  <c r="G19" i="201" s="1"/>
  <c r="G20" i="201" s="1"/>
  <c r="G21" i="201" s="1"/>
  <c r="E9" i="201"/>
  <c r="E10" i="201" s="1"/>
  <c r="E11" i="201" s="1"/>
  <c r="E12" i="201" s="1"/>
  <c r="E13" i="201" s="1"/>
  <c r="E14" i="201" s="1"/>
  <c r="E15" i="201" s="1"/>
  <c r="E16" i="201" s="1"/>
  <c r="E17" i="201" s="1"/>
  <c r="E18" i="201" s="1"/>
  <c r="E19" i="201" s="1"/>
  <c r="E20" i="201" s="1"/>
  <c r="E21" i="201" s="1"/>
  <c r="A6" i="201"/>
  <c r="D3" i="201"/>
  <c r="A3" i="201"/>
  <c r="A2" i="201"/>
  <c r="A1" i="201"/>
  <c r="H23" i="201" l="1"/>
  <c r="F16" i="47" s="1"/>
  <c r="H9" i="201"/>
  <c r="H10" i="201" s="1"/>
  <c r="H11" i="201" s="1"/>
  <c r="H12" i="201" s="1"/>
  <c r="H13" i="201" s="1"/>
  <c r="H14" i="201" s="1"/>
  <c r="H15" i="201" s="1"/>
  <c r="H16" i="201" s="1"/>
  <c r="H17" i="201" s="1"/>
  <c r="H18" i="201" s="1"/>
  <c r="H19" i="201" s="1"/>
  <c r="H20" i="201" s="1"/>
  <c r="H21" i="201" s="1"/>
  <c r="H31" i="170" l="1"/>
  <c r="D32" i="170"/>
  <c r="D27" i="123" l="1"/>
  <c r="D26" i="123"/>
  <c r="F28" i="186"/>
  <c r="F27" i="186"/>
  <c r="F26" i="186"/>
  <c r="E12" i="6"/>
  <c r="E35" i="6"/>
  <c r="E9" i="98"/>
  <c r="E9" i="37"/>
  <c r="I13" i="164"/>
  <c r="I17" i="164" s="1"/>
  <c r="F27" i="154"/>
  <c r="F27" i="151" l="1"/>
  <c r="F27" i="196"/>
  <c r="F30" i="168"/>
  <c r="F46" i="159"/>
  <c r="F45" i="159"/>
  <c r="F44" i="159"/>
  <c r="F38" i="159"/>
  <c r="F37" i="159"/>
  <c r="F36" i="159"/>
  <c r="F29" i="159"/>
  <c r="F28" i="159"/>
  <c r="F27" i="159"/>
  <c r="D28" i="190"/>
  <c r="F28" i="190"/>
  <c r="F27" i="190"/>
  <c r="F26" i="190"/>
  <c r="F28" i="122" l="1"/>
  <c r="F27" i="167"/>
  <c r="F27" i="92"/>
  <c r="F31" i="121"/>
  <c r="D27" i="189"/>
  <c r="D26" i="189"/>
  <c r="F26" i="189"/>
  <c r="F27" i="139"/>
  <c r="F27" i="163"/>
  <c r="D27" i="48"/>
  <c r="D26" i="48"/>
  <c r="F26" i="48"/>
  <c r="D27" i="101" l="1"/>
  <c r="F26" i="101"/>
  <c r="D27" i="124"/>
  <c r="D26" i="124"/>
  <c r="F27" i="147"/>
  <c r="D27" i="131" l="1"/>
  <c r="D26" i="131"/>
  <c r="F27" i="131"/>
  <c r="F26" i="131"/>
  <c r="E9" i="140"/>
  <c r="E9" i="106"/>
  <c r="H27" i="200" l="1"/>
  <c r="H28" i="200"/>
  <c r="F26" i="191"/>
  <c r="F26" i="166" l="1"/>
  <c r="D27" i="177" l="1"/>
  <c r="F26" i="177"/>
  <c r="F30" i="125" l="1"/>
  <c r="H30" i="125" s="1"/>
  <c r="F29" i="125"/>
  <c r="F28" i="125"/>
  <c r="F27" i="125"/>
  <c r="F26" i="125"/>
  <c r="F32" i="125" l="1"/>
  <c r="D27" i="52"/>
  <c r="D26" i="52"/>
  <c r="F26" i="52"/>
  <c r="D27" i="32"/>
  <c r="F26" i="32"/>
  <c r="A1" i="129"/>
  <c r="D29" i="200" l="1"/>
  <c r="H26" i="200"/>
  <c r="F23" i="200"/>
  <c r="E15" i="130" s="1"/>
  <c r="D23" i="200"/>
  <c r="G10" i="200"/>
  <c r="G11" i="200" s="1"/>
  <c r="G12" i="200" s="1"/>
  <c r="G13" i="200" s="1"/>
  <c r="G14" i="200" s="1"/>
  <c r="G15" i="200" s="1"/>
  <c r="G16" i="200" s="1"/>
  <c r="G17" i="200" s="1"/>
  <c r="G18" i="200" s="1"/>
  <c r="G19" i="200" s="1"/>
  <c r="G20" i="200" s="1"/>
  <c r="G21" i="200" s="1"/>
  <c r="E9" i="200"/>
  <c r="H9" i="200" s="1"/>
  <c r="H10" i="200" s="1"/>
  <c r="H11" i="200" s="1"/>
  <c r="H12" i="200" s="1"/>
  <c r="H13" i="200" s="1"/>
  <c r="H14" i="200" s="1"/>
  <c r="H15" i="200" s="1"/>
  <c r="H16" i="200" s="1"/>
  <c r="H17" i="200" s="1"/>
  <c r="H18" i="200" s="1"/>
  <c r="H19" i="200" s="1"/>
  <c r="H20" i="200" s="1"/>
  <c r="H21" i="200" s="1"/>
  <c r="A6" i="200"/>
  <c r="D3" i="200"/>
  <c r="A3" i="200"/>
  <c r="A2" i="200"/>
  <c r="A1" i="200"/>
  <c r="F23" i="199"/>
  <c r="E15" i="31" s="1"/>
  <c r="D23" i="199"/>
  <c r="D15" i="31" s="1"/>
  <c r="G10" i="199"/>
  <c r="G11" i="199" s="1"/>
  <c r="G12" i="199" s="1"/>
  <c r="G13" i="199" s="1"/>
  <c r="G14" i="199" s="1"/>
  <c r="G15" i="199" s="1"/>
  <c r="G16" i="199" s="1"/>
  <c r="G17" i="199" s="1"/>
  <c r="G18" i="199" s="1"/>
  <c r="G19" i="199" s="1"/>
  <c r="G20" i="199" s="1"/>
  <c r="G21" i="199" s="1"/>
  <c r="E9" i="199"/>
  <c r="E10" i="199" s="1"/>
  <c r="E11" i="199" s="1"/>
  <c r="E12" i="199" s="1"/>
  <c r="E13" i="199" s="1"/>
  <c r="E14" i="199" s="1"/>
  <c r="E15" i="199" s="1"/>
  <c r="E16" i="199" s="1"/>
  <c r="E17" i="199" s="1"/>
  <c r="E18" i="199" s="1"/>
  <c r="E19" i="199" s="1"/>
  <c r="E20" i="199" s="1"/>
  <c r="E21" i="199" s="1"/>
  <c r="A6" i="199"/>
  <c r="D3" i="199"/>
  <c r="A3" i="199"/>
  <c r="A2" i="199"/>
  <c r="A1" i="199"/>
  <c r="E10" i="200" l="1"/>
  <c r="E11" i="200" s="1"/>
  <c r="E12" i="200" s="1"/>
  <c r="E13" i="200" s="1"/>
  <c r="E14" i="200" s="1"/>
  <c r="E15" i="200" s="1"/>
  <c r="E16" i="200" s="1"/>
  <c r="E17" i="200" s="1"/>
  <c r="E18" i="200" s="1"/>
  <c r="E19" i="200" s="1"/>
  <c r="E20" i="200" s="1"/>
  <c r="E21" i="200" s="1"/>
  <c r="H23" i="200"/>
  <c r="F15" i="130" s="1"/>
  <c r="D15" i="130"/>
  <c r="H29" i="200"/>
  <c r="F29" i="200"/>
  <c r="H23" i="199"/>
  <c r="F15" i="31" s="1"/>
  <c r="H9" i="199"/>
  <c r="H10" i="199" s="1"/>
  <c r="H11" i="199" s="1"/>
  <c r="H12" i="199" s="1"/>
  <c r="H13" i="199" s="1"/>
  <c r="H14" i="199" s="1"/>
  <c r="H15" i="199" s="1"/>
  <c r="H16" i="199" s="1"/>
  <c r="H17" i="199" s="1"/>
  <c r="H18" i="199" s="1"/>
  <c r="H19" i="199" s="1"/>
  <c r="H20" i="199" s="1"/>
  <c r="H21" i="199" s="1"/>
  <c r="F23" i="198"/>
  <c r="E15" i="51" s="1"/>
  <c r="D23" i="198"/>
  <c r="G10" i="198"/>
  <c r="G11" i="198" s="1"/>
  <c r="G12" i="198" s="1"/>
  <c r="G13" i="198" s="1"/>
  <c r="G14" i="198" s="1"/>
  <c r="G15" i="198" s="1"/>
  <c r="G16" i="198" s="1"/>
  <c r="G17" i="198" s="1"/>
  <c r="G18" i="198" s="1"/>
  <c r="G19" i="198" s="1"/>
  <c r="G20" i="198" s="1"/>
  <c r="G21" i="198" s="1"/>
  <c r="E9" i="198"/>
  <c r="E10" i="198" s="1"/>
  <c r="E11" i="198" s="1"/>
  <c r="E12" i="198" s="1"/>
  <c r="E13" i="198" s="1"/>
  <c r="E14" i="198" s="1"/>
  <c r="E15" i="198" s="1"/>
  <c r="E16" i="198" s="1"/>
  <c r="E17" i="198" s="1"/>
  <c r="E18" i="198" s="1"/>
  <c r="E19" i="198" s="1"/>
  <c r="E20" i="198" s="1"/>
  <c r="E21" i="198" s="1"/>
  <c r="A6" i="198"/>
  <c r="D3" i="198"/>
  <c r="A3" i="198"/>
  <c r="A2" i="198"/>
  <c r="A1" i="198"/>
  <c r="H26" i="194"/>
  <c r="H27" i="194"/>
  <c r="D28" i="194"/>
  <c r="F28" i="194"/>
  <c r="F30" i="68"/>
  <c r="H28" i="194" l="1"/>
  <c r="H23" i="198"/>
  <c r="F15" i="51" s="1"/>
  <c r="H9" i="198"/>
  <c r="H10" i="198" s="1"/>
  <c r="H11" i="198" s="1"/>
  <c r="H12" i="198" s="1"/>
  <c r="H13" i="198" s="1"/>
  <c r="H14" i="198" s="1"/>
  <c r="H15" i="198" s="1"/>
  <c r="H16" i="198" s="1"/>
  <c r="H17" i="198" s="1"/>
  <c r="H18" i="198" s="1"/>
  <c r="H19" i="198" s="1"/>
  <c r="H20" i="198" s="1"/>
  <c r="H21" i="198" s="1"/>
  <c r="D15" i="51"/>
  <c r="F28" i="196"/>
  <c r="D28" i="196"/>
  <c r="H27" i="196"/>
  <c r="H26" i="196"/>
  <c r="F23" i="196"/>
  <c r="E15" i="47" s="1"/>
  <c r="D23" i="196"/>
  <c r="D15" i="47" s="1"/>
  <c r="G10" i="196"/>
  <c r="G11" i="196" s="1"/>
  <c r="G12" i="196" s="1"/>
  <c r="G13" i="196" s="1"/>
  <c r="G14" i="196" s="1"/>
  <c r="G15" i="196" s="1"/>
  <c r="G16" i="196" s="1"/>
  <c r="G17" i="196" s="1"/>
  <c r="G18" i="196" s="1"/>
  <c r="G19" i="196" s="1"/>
  <c r="G20" i="196" s="1"/>
  <c r="G21" i="196" s="1"/>
  <c r="E9" i="196"/>
  <c r="E10" i="196" s="1"/>
  <c r="E11" i="196" s="1"/>
  <c r="E12" i="196" s="1"/>
  <c r="E13" i="196" s="1"/>
  <c r="E14" i="196" s="1"/>
  <c r="E15" i="196" s="1"/>
  <c r="E16" i="196" s="1"/>
  <c r="E17" i="196" s="1"/>
  <c r="E18" i="196" s="1"/>
  <c r="E19" i="196" s="1"/>
  <c r="E20" i="196" s="1"/>
  <c r="E21" i="196" s="1"/>
  <c r="A6" i="196"/>
  <c r="D3" i="196"/>
  <c r="A3" i="196"/>
  <c r="A2" i="196"/>
  <c r="A1" i="196"/>
  <c r="F28" i="195"/>
  <c r="D28" i="195"/>
  <c r="H27" i="195"/>
  <c r="H26" i="195"/>
  <c r="F23" i="195"/>
  <c r="E14" i="31" s="1"/>
  <c r="D23" i="195"/>
  <c r="G10" i="195"/>
  <c r="G11" i="195" s="1"/>
  <c r="G12" i="195" s="1"/>
  <c r="G13" i="195" s="1"/>
  <c r="G14" i="195" s="1"/>
  <c r="G15" i="195" s="1"/>
  <c r="G16" i="195" s="1"/>
  <c r="G17" i="195" s="1"/>
  <c r="G18" i="195" s="1"/>
  <c r="G19" i="195" s="1"/>
  <c r="G20" i="195" s="1"/>
  <c r="G21" i="195" s="1"/>
  <c r="E9" i="195"/>
  <c r="H9" i="195" s="1"/>
  <c r="H10" i="195" s="1"/>
  <c r="H11" i="195" s="1"/>
  <c r="H12" i="195" s="1"/>
  <c r="H13" i="195" s="1"/>
  <c r="H14" i="195" s="1"/>
  <c r="H15" i="195" s="1"/>
  <c r="H16" i="195" s="1"/>
  <c r="H17" i="195" s="1"/>
  <c r="H18" i="195" s="1"/>
  <c r="H19" i="195" s="1"/>
  <c r="H20" i="195" s="1"/>
  <c r="H21" i="195" s="1"/>
  <c r="A6" i="195"/>
  <c r="D3" i="195"/>
  <c r="A3" i="195"/>
  <c r="A2" i="195"/>
  <c r="A1" i="195"/>
  <c r="F23" i="194"/>
  <c r="E14" i="51" s="1"/>
  <c r="D23" i="194"/>
  <c r="D14" i="51" s="1"/>
  <c r="G10" i="194"/>
  <c r="G11" i="194" s="1"/>
  <c r="G12" i="194" s="1"/>
  <c r="G13" i="194" s="1"/>
  <c r="G14" i="194" s="1"/>
  <c r="G15" i="194" s="1"/>
  <c r="G16" i="194" s="1"/>
  <c r="G17" i="194" s="1"/>
  <c r="G18" i="194" s="1"/>
  <c r="G19" i="194" s="1"/>
  <c r="G20" i="194" s="1"/>
  <c r="G21" i="194" s="1"/>
  <c r="E9" i="194"/>
  <c r="E10" i="194" s="1"/>
  <c r="E11" i="194" s="1"/>
  <c r="E12" i="194" s="1"/>
  <c r="E13" i="194" s="1"/>
  <c r="E14" i="194" s="1"/>
  <c r="E15" i="194" s="1"/>
  <c r="E16" i="194" s="1"/>
  <c r="E17" i="194" s="1"/>
  <c r="E18" i="194" s="1"/>
  <c r="E19" i="194" s="1"/>
  <c r="E20" i="194" s="1"/>
  <c r="E21" i="194" s="1"/>
  <c r="A6" i="194"/>
  <c r="D3" i="194"/>
  <c r="A3" i="194"/>
  <c r="A2" i="194"/>
  <c r="A1" i="194"/>
  <c r="H23" i="195" l="1"/>
  <c r="F14" i="31" s="1"/>
  <c r="D14" i="31"/>
  <c r="H28" i="196"/>
  <c r="H23" i="196"/>
  <c r="F15" i="47" s="1"/>
  <c r="H9" i="196"/>
  <c r="H10" i="196" s="1"/>
  <c r="H11" i="196" s="1"/>
  <c r="H12" i="196" s="1"/>
  <c r="H13" i="196" s="1"/>
  <c r="H14" i="196" s="1"/>
  <c r="H15" i="196" s="1"/>
  <c r="H16" i="196" s="1"/>
  <c r="H17" i="196" s="1"/>
  <c r="H18" i="196" s="1"/>
  <c r="H19" i="196" s="1"/>
  <c r="H20" i="196" s="1"/>
  <c r="H21" i="196" s="1"/>
  <c r="H28" i="195"/>
  <c r="E10" i="195"/>
  <c r="E11" i="195" s="1"/>
  <c r="E12" i="195" s="1"/>
  <c r="E13" i="195" s="1"/>
  <c r="E14" i="195" s="1"/>
  <c r="E15" i="195" s="1"/>
  <c r="E16" i="195" s="1"/>
  <c r="E17" i="195" s="1"/>
  <c r="E18" i="195" s="1"/>
  <c r="E19" i="195" s="1"/>
  <c r="E20" i="195" s="1"/>
  <c r="E21" i="195" s="1"/>
  <c r="H23" i="194"/>
  <c r="F14" i="51" s="1"/>
  <c r="H9" i="194"/>
  <c r="H10" i="194" s="1"/>
  <c r="H11" i="194" s="1"/>
  <c r="H12" i="194" s="1"/>
  <c r="H13" i="194" s="1"/>
  <c r="H14" i="194" s="1"/>
  <c r="H15" i="194" s="1"/>
  <c r="H16" i="194" s="1"/>
  <c r="H17" i="194" s="1"/>
  <c r="H18" i="194" s="1"/>
  <c r="H19" i="194" s="1"/>
  <c r="H20" i="194" s="1"/>
  <c r="H21" i="194" s="1"/>
  <c r="E19" i="6" l="1"/>
  <c r="F23" i="193"/>
  <c r="E14" i="130" s="1"/>
  <c r="D23" i="193"/>
  <c r="G10" i="193"/>
  <c r="G11" i="193" s="1"/>
  <c r="G12" i="193" s="1"/>
  <c r="G13" i="193" s="1"/>
  <c r="G14" i="193" s="1"/>
  <c r="G15" i="193" s="1"/>
  <c r="G16" i="193" s="1"/>
  <c r="G17" i="193" s="1"/>
  <c r="G18" i="193" s="1"/>
  <c r="G19" i="193" s="1"/>
  <c r="G20" i="193" s="1"/>
  <c r="G21" i="193" s="1"/>
  <c r="E9" i="193"/>
  <c r="H9" i="193" s="1"/>
  <c r="H10" i="193" s="1"/>
  <c r="H11" i="193" s="1"/>
  <c r="H12" i="193" s="1"/>
  <c r="H13" i="193" s="1"/>
  <c r="H14" i="193" s="1"/>
  <c r="H15" i="193" s="1"/>
  <c r="H16" i="193" s="1"/>
  <c r="H17" i="193" s="1"/>
  <c r="H18" i="193" s="1"/>
  <c r="H19" i="193" s="1"/>
  <c r="H20" i="193" s="1"/>
  <c r="H21" i="193" s="1"/>
  <c r="A6" i="193"/>
  <c r="D3" i="193"/>
  <c r="A3" i="193"/>
  <c r="A2" i="193"/>
  <c r="A1" i="193"/>
  <c r="F30" i="192"/>
  <c r="D30" i="192"/>
  <c r="H28" i="192"/>
  <c r="H29" i="192"/>
  <c r="H27" i="192"/>
  <c r="H26" i="192"/>
  <c r="F23" i="192"/>
  <c r="E16" i="35" s="1"/>
  <c r="D23" i="192"/>
  <c r="D16" i="35" s="1"/>
  <c r="G10" i="192"/>
  <c r="G11" i="192" s="1"/>
  <c r="G12" i="192" s="1"/>
  <c r="G13" i="192" s="1"/>
  <c r="G14" i="192" s="1"/>
  <c r="G15" i="192" s="1"/>
  <c r="G16" i="192" s="1"/>
  <c r="G17" i="192" s="1"/>
  <c r="G18" i="192" s="1"/>
  <c r="G19" i="192" s="1"/>
  <c r="G20" i="192" s="1"/>
  <c r="G21" i="192" s="1"/>
  <c r="E9" i="192"/>
  <c r="E10" i="192" s="1"/>
  <c r="E11" i="192" s="1"/>
  <c r="E12" i="192" s="1"/>
  <c r="E13" i="192" s="1"/>
  <c r="E14" i="192" s="1"/>
  <c r="E15" i="192" s="1"/>
  <c r="E16" i="192" s="1"/>
  <c r="E17" i="192" s="1"/>
  <c r="E18" i="192" s="1"/>
  <c r="E19" i="192" s="1"/>
  <c r="E20" i="192" s="1"/>
  <c r="E21" i="192" s="1"/>
  <c r="A6" i="192"/>
  <c r="D3" i="192"/>
  <c r="A3" i="192"/>
  <c r="A2" i="192"/>
  <c r="A1" i="192"/>
  <c r="I11" i="171"/>
  <c r="I12" i="171" s="1"/>
  <c r="I14" i="171" s="1"/>
  <c r="I15" i="171" s="1"/>
  <c r="E23" i="6"/>
  <c r="H23" i="193" l="1"/>
  <c r="F14" i="130" s="1"/>
  <c r="H30" i="192"/>
  <c r="D14" i="130"/>
  <c r="E10" i="193"/>
  <c r="E11" i="193" s="1"/>
  <c r="E12" i="193" s="1"/>
  <c r="E13" i="193" s="1"/>
  <c r="E14" i="193" s="1"/>
  <c r="E15" i="193" s="1"/>
  <c r="E16" i="193" s="1"/>
  <c r="E17" i="193" s="1"/>
  <c r="E18" i="193" s="1"/>
  <c r="E19" i="193" s="1"/>
  <c r="E20" i="193" s="1"/>
  <c r="E21" i="193" s="1"/>
  <c r="H23" i="192"/>
  <c r="F16" i="35" s="1"/>
  <c r="H9" i="192"/>
  <c r="H10" i="192" s="1"/>
  <c r="H11" i="192" s="1"/>
  <c r="H12" i="192" s="1"/>
  <c r="H13" i="192" s="1"/>
  <c r="H14" i="192" s="1"/>
  <c r="H15" i="192" s="1"/>
  <c r="H16" i="192" s="1"/>
  <c r="H17" i="192" s="1"/>
  <c r="H18" i="192" s="1"/>
  <c r="H19" i="192" s="1"/>
  <c r="H20" i="192" s="1"/>
  <c r="H21" i="192" s="1"/>
  <c r="I12" i="164"/>
  <c r="F28" i="191" l="1"/>
  <c r="H27" i="191"/>
  <c r="D28" i="191"/>
  <c r="F23" i="191"/>
  <c r="E15" i="18" s="1"/>
  <c r="D23" i="191"/>
  <c r="D15" i="18" s="1"/>
  <c r="G10" i="191"/>
  <c r="G11" i="191" s="1"/>
  <c r="G12" i="191" s="1"/>
  <c r="G13" i="191" s="1"/>
  <c r="G14" i="191" s="1"/>
  <c r="G15" i="191" s="1"/>
  <c r="G16" i="191" s="1"/>
  <c r="G17" i="191" s="1"/>
  <c r="G18" i="191" s="1"/>
  <c r="G19" i="191" s="1"/>
  <c r="G20" i="191" s="1"/>
  <c r="G21" i="191" s="1"/>
  <c r="E9" i="191"/>
  <c r="H9" i="191" s="1"/>
  <c r="H10" i="191" s="1"/>
  <c r="H11" i="191" s="1"/>
  <c r="H12" i="191" s="1"/>
  <c r="H13" i="191" s="1"/>
  <c r="H14" i="191" s="1"/>
  <c r="H15" i="191" s="1"/>
  <c r="H16" i="191" s="1"/>
  <c r="H17" i="191" s="1"/>
  <c r="H18" i="191" s="1"/>
  <c r="H19" i="191" s="1"/>
  <c r="H20" i="191" s="1"/>
  <c r="H21" i="191" s="1"/>
  <c r="A6" i="191"/>
  <c r="D3" i="191"/>
  <c r="A3" i="191"/>
  <c r="A2" i="191"/>
  <c r="A1" i="191"/>
  <c r="E39" i="6"/>
  <c r="F28" i="161"/>
  <c r="H23" i="191" l="1"/>
  <c r="F15" i="18" s="1"/>
  <c r="E10" i="191"/>
  <c r="E11" i="191" s="1"/>
  <c r="E12" i="191" s="1"/>
  <c r="E13" i="191" s="1"/>
  <c r="E14" i="191" s="1"/>
  <c r="E15" i="191" s="1"/>
  <c r="E16" i="191" s="1"/>
  <c r="E17" i="191" s="1"/>
  <c r="E18" i="191" s="1"/>
  <c r="E19" i="191" s="1"/>
  <c r="E20" i="191" s="1"/>
  <c r="E21" i="191" s="1"/>
  <c r="H26" i="191"/>
  <c r="H28" i="191" s="1"/>
  <c r="F28" i="155"/>
  <c r="I10" i="113" l="1"/>
  <c r="D27" i="10"/>
  <c r="D26" i="10"/>
  <c r="F27" i="10"/>
  <c r="F28" i="10"/>
  <c r="E37" i="6" l="1"/>
  <c r="E9" i="15"/>
  <c r="H28" i="10" l="1"/>
  <c r="D29" i="10"/>
  <c r="F27" i="52" l="1"/>
  <c r="F27" i="32" l="1"/>
  <c r="A1" i="190" l="1"/>
  <c r="H27" i="190"/>
  <c r="H28" i="190"/>
  <c r="H26" i="190"/>
  <c r="F29" i="190"/>
  <c r="D29" i="190"/>
  <c r="F23" i="190"/>
  <c r="E17" i="2" s="1"/>
  <c r="D23" i="190"/>
  <c r="D17" i="2" s="1"/>
  <c r="G10" i="190"/>
  <c r="G11" i="190" s="1"/>
  <c r="G12" i="190" s="1"/>
  <c r="G13" i="190" s="1"/>
  <c r="G14" i="190" s="1"/>
  <c r="G15" i="190" s="1"/>
  <c r="G16" i="190" s="1"/>
  <c r="G17" i="190" s="1"/>
  <c r="G18" i="190" s="1"/>
  <c r="G19" i="190" s="1"/>
  <c r="G20" i="190" s="1"/>
  <c r="G21" i="190" s="1"/>
  <c r="E9" i="190"/>
  <c r="E10" i="190" s="1"/>
  <c r="E11" i="190" s="1"/>
  <c r="E12" i="190" s="1"/>
  <c r="E13" i="190" s="1"/>
  <c r="E14" i="190" s="1"/>
  <c r="E15" i="190" s="1"/>
  <c r="E16" i="190" s="1"/>
  <c r="E17" i="190" s="1"/>
  <c r="E18" i="190" s="1"/>
  <c r="E19" i="190" s="1"/>
  <c r="E20" i="190" s="1"/>
  <c r="E21" i="190" s="1"/>
  <c r="A6" i="190"/>
  <c r="D3" i="190"/>
  <c r="A3" i="190"/>
  <c r="A2" i="190"/>
  <c r="H29" i="190" l="1"/>
  <c r="H23" i="190"/>
  <c r="F17" i="2" s="1"/>
  <c r="H9" i="190"/>
  <c r="H10" i="190" s="1"/>
  <c r="H11" i="190" s="1"/>
  <c r="H12" i="190" s="1"/>
  <c r="H13" i="190" s="1"/>
  <c r="H14" i="190" s="1"/>
  <c r="H15" i="190" s="1"/>
  <c r="H16" i="190" s="1"/>
  <c r="H17" i="190" s="1"/>
  <c r="H18" i="190" s="1"/>
  <c r="H19" i="190" s="1"/>
  <c r="H20" i="190" s="1"/>
  <c r="H21" i="190" s="1"/>
  <c r="F27" i="189"/>
  <c r="H27" i="189" s="1"/>
  <c r="H26" i="189"/>
  <c r="D28" i="189"/>
  <c r="F23" i="189"/>
  <c r="E10" i="91" s="1"/>
  <c r="D23" i="189"/>
  <c r="D10" i="91" s="1"/>
  <c r="G10" i="189"/>
  <c r="G11" i="189" s="1"/>
  <c r="G12" i="189" s="1"/>
  <c r="G13" i="189" s="1"/>
  <c r="G14" i="189" s="1"/>
  <c r="G15" i="189" s="1"/>
  <c r="G16" i="189" s="1"/>
  <c r="G17" i="189" s="1"/>
  <c r="G18" i="189" s="1"/>
  <c r="G19" i="189" s="1"/>
  <c r="G20" i="189" s="1"/>
  <c r="G21" i="189" s="1"/>
  <c r="E9" i="189"/>
  <c r="E10" i="189" s="1"/>
  <c r="E11" i="189" s="1"/>
  <c r="E12" i="189" s="1"/>
  <c r="E13" i="189" s="1"/>
  <c r="E14" i="189" s="1"/>
  <c r="E15" i="189" s="1"/>
  <c r="E16" i="189" s="1"/>
  <c r="E17" i="189" s="1"/>
  <c r="E18" i="189" s="1"/>
  <c r="E19" i="189" s="1"/>
  <c r="E20" i="189" s="1"/>
  <c r="E21" i="189" s="1"/>
  <c r="A6" i="189"/>
  <c r="D3" i="189"/>
  <c r="A3" i="189"/>
  <c r="A2" i="189"/>
  <c r="A1" i="189"/>
  <c r="H9" i="189" l="1"/>
  <c r="H10" i="189" s="1"/>
  <c r="H11" i="189" s="1"/>
  <c r="H12" i="189" s="1"/>
  <c r="H13" i="189" s="1"/>
  <c r="H14" i="189" s="1"/>
  <c r="H15" i="189" s="1"/>
  <c r="H16" i="189" s="1"/>
  <c r="H17" i="189" s="1"/>
  <c r="H18" i="189" s="1"/>
  <c r="H19" i="189" s="1"/>
  <c r="H20" i="189" s="1"/>
  <c r="H21" i="189" s="1"/>
  <c r="H28" i="189"/>
  <c r="F28" i="189"/>
  <c r="H23" i="189"/>
  <c r="F10" i="91" s="1"/>
  <c r="E9" i="93"/>
  <c r="F30" i="179"/>
  <c r="F23" i="188" l="1"/>
  <c r="E16" i="91" s="1"/>
  <c r="D23" i="188"/>
  <c r="G10" i="188"/>
  <c r="G11" i="188" s="1"/>
  <c r="G12" i="188" s="1"/>
  <c r="G13" i="188" s="1"/>
  <c r="G14" i="188" s="1"/>
  <c r="G15" i="188" s="1"/>
  <c r="G16" i="188" s="1"/>
  <c r="G17" i="188" s="1"/>
  <c r="G18" i="188" s="1"/>
  <c r="G19" i="188" s="1"/>
  <c r="G20" i="188" s="1"/>
  <c r="G21" i="188" s="1"/>
  <c r="E9" i="188"/>
  <c r="H9" i="188" s="1"/>
  <c r="H10" i="188" s="1"/>
  <c r="H11" i="188" s="1"/>
  <c r="H12" i="188" s="1"/>
  <c r="H13" i="188" s="1"/>
  <c r="H14" i="188" s="1"/>
  <c r="H15" i="188" s="1"/>
  <c r="H16" i="188" s="1"/>
  <c r="H17" i="188" s="1"/>
  <c r="H18" i="188" s="1"/>
  <c r="H19" i="188" s="1"/>
  <c r="H20" i="188" s="1"/>
  <c r="H21" i="188" s="1"/>
  <c r="A6" i="188"/>
  <c r="D3" i="188"/>
  <c r="A3" i="188"/>
  <c r="A2" i="188"/>
  <c r="A1" i="188"/>
  <c r="H27" i="187"/>
  <c r="H28" i="187"/>
  <c r="D29" i="187"/>
  <c r="F29" i="187"/>
  <c r="F23" i="187"/>
  <c r="E13" i="104" s="1"/>
  <c r="D23" i="187"/>
  <c r="D13" i="104" s="1"/>
  <c r="G10" i="187"/>
  <c r="G11" i="187" s="1"/>
  <c r="G12" i="187" s="1"/>
  <c r="G13" i="187" s="1"/>
  <c r="G14" i="187" s="1"/>
  <c r="G15" i="187" s="1"/>
  <c r="G16" i="187" s="1"/>
  <c r="G17" i="187" s="1"/>
  <c r="G18" i="187" s="1"/>
  <c r="G19" i="187" s="1"/>
  <c r="G20" i="187" s="1"/>
  <c r="G21" i="187" s="1"/>
  <c r="E9" i="187"/>
  <c r="E10" i="187" s="1"/>
  <c r="E11" i="187" s="1"/>
  <c r="E12" i="187" s="1"/>
  <c r="E13" i="187" s="1"/>
  <c r="E14" i="187" s="1"/>
  <c r="E15" i="187" s="1"/>
  <c r="E16" i="187" s="1"/>
  <c r="E17" i="187" s="1"/>
  <c r="E18" i="187" s="1"/>
  <c r="E19" i="187" s="1"/>
  <c r="E20" i="187" s="1"/>
  <c r="E21" i="187" s="1"/>
  <c r="A6" i="187"/>
  <c r="D3" i="187"/>
  <c r="A3" i="187"/>
  <c r="A2" i="187"/>
  <c r="A1" i="187"/>
  <c r="H23" i="188" l="1"/>
  <c r="F16" i="91" s="1"/>
  <c r="D16" i="91"/>
  <c r="E10" i="188"/>
  <c r="E11" i="188" s="1"/>
  <c r="E12" i="188" s="1"/>
  <c r="E13" i="188" s="1"/>
  <c r="E14" i="188" s="1"/>
  <c r="E15" i="188" s="1"/>
  <c r="E16" i="188" s="1"/>
  <c r="E17" i="188" s="1"/>
  <c r="E18" i="188" s="1"/>
  <c r="E19" i="188" s="1"/>
  <c r="E20" i="188" s="1"/>
  <c r="E21" i="188" s="1"/>
  <c r="H23" i="187"/>
  <c r="F13" i="104" s="1"/>
  <c r="H9" i="187"/>
  <c r="H10" i="187" s="1"/>
  <c r="H11" i="187" s="1"/>
  <c r="H12" i="187" s="1"/>
  <c r="H13" i="187" s="1"/>
  <c r="H14" i="187" s="1"/>
  <c r="H15" i="187" s="1"/>
  <c r="H16" i="187" s="1"/>
  <c r="H17" i="187" s="1"/>
  <c r="H18" i="187" s="1"/>
  <c r="H19" i="187" s="1"/>
  <c r="H20" i="187" s="1"/>
  <c r="H21" i="187" s="1"/>
  <c r="H26" i="187"/>
  <c r="H29" i="187" s="1"/>
  <c r="E34" i="6" l="1"/>
  <c r="E22" i="6"/>
  <c r="F29" i="186"/>
  <c r="D29" i="186"/>
  <c r="H26" i="186"/>
  <c r="H28" i="186"/>
  <c r="H27" i="186"/>
  <c r="F23" i="186"/>
  <c r="E15" i="59" s="1"/>
  <c r="D23" i="186"/>
  <c r="D15" i="59" s="1"/>
  <c r="G10" i="186"/>
  <c r="G11" i="186" s="1"/>
  <c r="G12" i="186" s="1"/>
  <c r="G13" i="186" s="1"/>
  <c r="G14" i="186" s="1"/>
  <c r="G15" i="186" s="1"/>
  <c r="G16" i="186" s="1"/>
  <c r="G17" i="186" s="1"/>
  <c r="G18" i="186" s="1"/>
  <c r="G19" i="186" s="1"/>
  <c r="G20" i="186" s="1"/>
  <c r="G21" i="186" s="1"/>
  <c r="E9" i="186"/>
  <c r="E10" i="186" s="1"/>
  <c r="E11" i="186" s="1"/>
  <c r="E12" i="186" s="1"/>
  <c r="E13" i="186" s="1"/>
  <c r="E14" i="186" s="1"/>
  <c r="E15" i="186" s="1"/>
  <c r="E16" i="186" s="1"/>
  <c r="E17" i="186" s="1"/>
  <c r="E18" i="186" s="1"/>
  <c r="E19" i="186" s="1"/>
  <c r="E20" i="186" s="1"/>
  <c r="E21" i="186" s="1"/>
  <c r="A6" i="186"/>
  <c r="D3" i="186"/>
  <c r="A3" i="186"/>
  <c r="A2" i="186"/>
  <c r="A1" i="186"/>
  <c r="F27" i="48"/>
  <c r="F28" i="156"/>
  <c r="F30" i="170"/>
  <c r="F26" i="170"/>
  <c r="D26" i="80"/>
  <c r="F26" i="80"/>
  <c r="F23" i="185"/>
  <c r="E15" i="79" s="1"/>
  <c r="D23" i="185"/>
  <c r="D15" i="79" s="1"/>
  <c r="G10" i="185"/>
  <c r="G11" i="185" s="1"/>
  <c r="G12" i="185" s="1"/>
  <c r="G13" i="185" s="1"/>
  <c r="G14" i="185" s="1"/>
  <c r="G15" i="185" s="1"/>
  <c r="G16" i="185" s="1"/>
  <c r="G17" i="185" s="1"/>
  <c r="G18" i="185" s="1"/>
  <c r="G19" i="185" s="1"/>
  <c r="G20" i="185" s="1"/>
  <c r="G21" i="185" s="1"/>
  <c r="E9" i="185"/>
  <c r="E10" i="185" s="1"/>
  <c r="E11" i="185" s="1"/>
  <c r="E12" i="185" s="1"/>
  <c r="E13" i="185" s="1"/>
  <c r="E14" i="185" s="1"/>
  <c r="E15" i="185" s="1"/>
  <c r="E16" i="185" s="1"/>
  <c r="E17" i="185" s="1"/>
  <c r="E18" i="185" s="1"/>
  <c r="E19" i="185" s="1"/>
  <c r="E20" i="185" s="1"/>
  <c r="E21" i="185" s="1"/>
  <c r="A6" i="185"/>
  <c r="D3" i="185"/>
  <c r="A3" i="185"/>
  <c r="A2" i="185"/>
  <c r="A1" i="185"/>
  <c r="F33" i="157"/>
  <c r="F32" i="157"/>
  <c r="F31" i="157"/>
  <c r="F30" i="157"/>
  <c r="F29" i="157"/>
  <c r="F28" i="157"/>
  <c r="F27" i="157"/>
  <c r="F26" i="157"/>
  <c r="F32" i="160"/>
  <c r="F31" i="160"/>
  <c r="F30" i="160"/>
  <c r="F29" i="160"/>
  <c r="F28" i="160"/>
  <c r="F26" i="160"/>
  <c r="H27" i="184"/>
  <c r="H28" i="184"/>
  <c r="F32" i="170" l="1"/>
  <c r="H29" i="186"/>
  <c r="H23" i="186"/>
  <c r="F15" i="59" s="1"/>
  <c r="H9" i="186"/>
  <c r="H10" i="186" s="1"/>
  <c r="H11" i="186" s="1"/>
  <c r="H12" i="186" s="1"/>
  <c r="H13" i="186" s="1"/>
  <c r="H14" i="186" s="1"/>
  <c r="H15" i="186" s="1"/>
  <c r="H16" i="186" s="1"/>
  <c r="H17" i="186" s="1"/>
  <c r="H18" i="186" s="1"/>
  <c r="H19" i="186" s="1"/>
  <c r="H20" i="186" s="1"/>
  <c r="H21" i="186" s="1"/>
  <c r="H23" i="185"/>
  <c r="F15" i="79" s="1"/>
  <c r="H9" i="185"/>
  <c r="H10" i="185" s="1"/>
  <c r="H11" i="185" s="1"/>
  <c r="H12" i="185" s="1"/>
  <c r="H13" i="185" s="1"/>
  <c r="H14" i="185" s="1"/>
  <c r="H15" i="185" s="1"/>
  <c r="H16" i="185" s="1"/>
  <c r="H17" i="185" s="1"/>
  <c r="H18" i="185" s="1"/>
  <c r="H19" i="185" s="1"/>
  <c r="H20" i="185" s="1"/>
  <c r="H21" i="185" s="1"/>
  <c r="D29" i="184"/>
  <c r="F29" i="184"/>
  <c r="F23" i="184"/>
  <c r="E13" i="150" s="1"/>
  <c r="D23" i="184"/>
  <c r="D13" i="150" s="1"/>
  <c r="G10" i="184"/>
  <c r="G11" i="184" s="1"/>
  <c r="G12" i="184" s="1"/>
  <c r="G13" i="184" s="1"/>
  <c r="G14" i="184" s="1"/>
  <c r="G15" i="184" s="1"/>
  <c r="G16" i="184" s="1"/>
  <c r="G17" i="184" s="1"/>
  <c r="G18" i="184" s="1"/>
  <c r="G19" i="184" s="1"/>
  <c r="G20" i="184" s="1"/>
  <c r="G21" i="184" s="1"/>
  <c r="E9" i="184"/>
  <c r="E10" i="184" s="1"/>
  <c r="E11" i="184" s="1"/>
  <c r="E12" i="184" s="1"/>
  <c r="E13" i="184" s="1"/>
  <c r="E14" i="184" s="1"/>
  <c r="E15" i="184" s="1"/>
  <c r="E16" i="184" s="1"/>
  <c r="E17" i="184" s="1"/>
  <c r="E18" i="184" s="1"/>
  <c r="E19" i="184" s="1"/>
  <c r="E20" i="184" s="1"/>
  <c r="E21" i="184" s="1"/>
  <c r="A6" i="184"/>
  <c r="D3" i="184"/>
  <c r="A3" i="184"/>
  <c r="A2" i="184"/>
  <c r="A1" i="184"/>
  <c r="H23" i="184" l="1"/>
  <c r="F13" i="150" s="1"/>
  <c r="H9" i="184"/>
  <c r="H10" i="184" s="1"/>
  <c r="H11" i="184" s="1"/>
  <c r="H12" i="184" s="1"/>
  <c r="H13" i="184" s="1"/>
  <c r="H14" i="184" s="1"/>
  <c r="H15" i="184" s="1"/>
  <c r="H16" i="184" s="1"/>
  <c r="H17" i="184" s="1"/>
  <c r="H18" i="184" s="1"/>
  <c r="H19" i="184" s="1"/>
  <c r="H20" i="184" s="1"/>
  <c r="H21" i="184" s="1"/>
  <c r="H26" i="184"/>
  <c r="H29" i="184" s="1"/>
  <c r="F30" i="156"/>
  <c r="F27" i="156"/>
  <c r="F29" i="60"/>
  <c r="H27" i="183" l="1"/>
  <c r="H28" i="183"/>
  <c r="D29" i="183"/>
  <c r="H26" i="183"/>
  <c r="F23" i="183"/>
  <c r="E14" i="79" s="1"/>
  <c r="D23" i="183"/>
  <c r="D14" i="79" s="1"/>
  <c r="G10" i="183"/>
  <c r="G11" i="183" s="1"/>
  <c r="G12" i="183" s="1"/>
  <c r="G13" i="183" s="1"/>
  <c r="G14" i="183" s="1"/>
  <c r="G15" i="183" s="1"/>
  <c r="G16" i="183" s="1"/>
  <c r="G17" i="183" s="1"/>
  <c r="G18" i="183" s="1"/>
  <c r="G19" i="183" s="1"/>
  <c r="G20" i="183" s="1"/>
  <c r="G21" i="183" s="1"/>
  <c r="E9" i="183"/>
  <c r="E10" i="183" s="1"/>
  <c r="E11" i="183" s="1"/>
  <c r="E12" i="183" s="1"/>
  <c r="E13" i="183" s="1"/>
  <c r="E14" i="183" s="1"/>
  <c r="E15" i="183" s="1"/>
  <c r="E16" i="183" s="1"/>
  <c r="E17" i="183" s="1"/>
  <c r="E18" i="183" s="1"/>
  <c r="E19" i="183" s="1"/>
  <c r="E20" i="183" s="1"/>
  <c r="E21" i="183" s="1"/>
  <c r="A6" i="183"/>
  <c r="D3" i="183"/>
  <c r="A3" i="183"/>
  <c r="A2" i="183"/>
  <c r="A1" i="183"/>
  <c r="H29" i="183" l="1"/>
  <c r="F29" i="183"/>
  <c r="H23" i="183"/>
  <c r="F14" i="79" s="1"/>
  <c r="H9" i="183"/>
  <c r="H10" i="183" s="1"/>
  <c r="H11" i="183" s="1"/>
  <c r="H12" i="183" s="1"/>
  <c r="H13" i="183" s="1"/>
  <c r="H14" i="183" s="1"/>
  <c r="H15" i="183" s="1"/>
  <c r="H16" i="183" s="1"/>
  <c r="H17" i="183" s="1"/>
  <c r="H18" i="183" s="1"/>
  <c r="H19" i="183" s="1"/>
  <c r="H20" i="183" s="1"/>
  <c r="H21" i="183" s="1"/>
  <c r="D27" i="36" l="1"/>
  <c r="D26" i="36"/>
  <c r="F27" i="36"/>
  <c r="F26" i="36"/>
  <c r="F27" i="135" l="1"/>
  <c r="F27" i="101" l="1"/>
  <c r="F27" i="161"/>
  <c r="F27" i="122" l="1"/>
  <c r="F29" i="168" l="1"/>
  <c r="D31" i="160"/>
  <c r="D30" i="160"/>
  <c r="D29" i="160"/>
  <c r="D28" i="160"/>
  <c r="D27" i="160"/>
  <c r="F34" i="157" l="1"/>
  <c r="D33" i="157"/>
  <c r="D34" i="157" s="1"/>
  <c r="H33" i="157" l="1"/>
  <c r="F23" i="182"/>
  <c r="E15" i="35" s="1"/>
  <c r="D23" i="182"/>
  <c r="G10" i="182"/>
  <c r="G11" i="182" s="1"/>
  <c r="G12" i="182" s="1"/>
  <c r="G13" i="182" s="1"/>
  <c r="G14" i="182" s="1"/>
  <c r="G15" i="182" s="1"/>
  <c r="G16" i="182" s="1"/>
  <c r="G17" i="182" s="1"/>
  <c r="G18" i="182" s="1"/>
  <c r="G19" i="182" s="1"/>
  <c r="G20" i="182" s="1"/>
  <c r="G21" i="182" s="1"/>
  <c r="E9" i="182"/>
  <c r="E10" i="182" s="1"/>
  <c r="E11" i="182" s="1"/>
  <c r="E12" i="182" s="1"/>
  <c r="E13" i="182" s="1"/>
  <c r="E14" i="182" s="1"/>
  <c r="E15" i="182" s="1"/>
  <c r="E16" i="182" s="1"/>
  <c r="E17" i="182" s="1"/>
  <c r="E18" i="182" s="1"/>
  <c r="E19" i="182" s="1"/>
  <c r="E20" i="182" s="1"/>
  <c r="E21" i="182" s="1"/>
  <c r="A6" i="182"/>
  <c r="D3" i="182"/>
  <c r="A3" i="182"/>
  <c r="A2" i="182"/>
  <c r="A1" i="182"/>
  <c r="H27" i="181"/>
  <c r="H28" i="181"/>
  <c r="F29" i="181"/>
  <c r="D29" i="181"/>
  <c r="H26" i="181"/>
  <c r="F23" i="181"/>
  <c r="E13" i="134" s="1"/>
  <c r="D23" i="181"/>
  <c r="D13" i="134" s="1"/>
  <c r="G10" i="181"/>
  <c r="G11" i="181" s="1"/>
  <c r="G12" i="181" s="1"/>
  <c r="G13" i="181" s="1"/>
  <c r="G14" i="181" s="1"/>
  <c r="G15" i="181" s="1"/>
  <c r="G16" i="181" s="1"/>
  <c r="G17" i="181" s="1"/>
  <c r="G18" i="181" s="1"/>
  <c r="G19" i="181" s="1"/>
  <c r="G20" i="181" s="1"/>
  <c r="G21" i="181" s="1"/>
  <c r="E9" i="181"/>
  <c r="E10" i="181" s="1"/>
  <c r="E11" i="181" s="1"/>
  <c r="E12" i="181" s="1"/>
  <c r="E13" i="181" s="1"/>
  <c r="E14" i="181" s="1"/>
  <c r="E15" i="181" s="1"/>
  <c r="E16" i="181" s="1"/>
  <c r="E17" i="181" s="1"/>
  <c r="E18" i="181" s="1"/>
  <c r="E19" i="181" s="1"/>
  <c r="E20" i="181" s="1"/>
  <c r="E21" i="181" s="1"/>
  <c r="A6" i="181"/>
  <c r="D3" i="181"/>
  <c r="A3" i="181"/>
  <c r="A2" i="181"/>
  <c r="A1" i="181"/>
  <c r="H27" i="180"/>
  <c r="H28" i="180"/>
  <c r="H23" i="182" l="1"/>
  <c r="F15" i="35" s="1"/>
  <c r="D15" i="35"/>
  <c r="H9" i="182"/>
  <c r="H10" i="182" s="1"/>
  <c r="H11" i="182" s="1"/>
  <c r="H12" i="182" s="1"/>
  <c r="H13" i="182" s="1"/>
  <c r="H14" i="182" s="1"/>
  <c r="H15" i="182" s="1"/>
  <c r="H16" i="182" s="1"/>
  <c r="H17" i="182" s="1"/>
  <c r="H18" i="182" s="1"/>
  <c r="H19" i="182" s="1"/>
  <c r="H20" i="182" s="1"/>
  <c r="H21" i="182" s="1"/>
  <c r="H29" i="181"/>
  <c r="H23" i="181"/>
  <c r="F13" i="134" s="1"/>
  <c r="H9" i="181"/>
  <c r="H10" i="181" s="1"/>
  <c r="H11" i="181" s="1"/>
  <c r="H12" i="181" s="1"/>
  <c r="H13" i="181" s="1"/>
  <c r="H14" i="181" s="1"/>
  <c r="H15" i="181" s="1"/>
  <c r="H16" i="181" s="1"/>
  <c r="H17" i="181" s="1"/>
  <c r="H18" i="181" s="1"/>
  <c r="H19" i="181" s="1"/>
  <c r="H20" i="181" s="1"/>
  <c r="H21" i="181" s="1"/>
  <c r="D29" i="180"/>
  <c r="F23" i="180"/>
  <c r="E15" i="9" s="1"/>
  <c r="D23" i="180"/>
  <c r="D15" i="9" s="1"/>
  <c r="G10" i="180"/>
  <c r="G11" i="180" s="1"/>
  <c r="G12" i="180" s="1"/>
  <c r="G13" i="180" s="1"/>
  <c r="G14" i="180" s="1"/>
  <c r="G15" i="180" s="1"/>
  <c r="G16" i="180" s="1"/>
  <c r="G17" i="180" s="1"/>
  <c r="G18" i="180" s="1"/>
  <c r="G19" i="180" s="1"/>
  <c r="G20" i="180" s="1"/>
  <c r="G21" i="180" s="1"/>
  <c r="E9" i="180"/>
  <c r="E10" i="180" s="1"/>
  <c r="E11" i="180" s="1"/>
  <c r="E12" i="180" s="1"/>
  <c r="E13" i="180" s="1"/>
  <c r="E14" i="180" s="1"/>
  <c r="E15" i="180" s="1"/>
  <c r="E16" i="180" s="1"/>
  <c r="E17" i="180" s="1"/>
  <c r="E18" i="180" s="1"/>
  <c r="E19" i="180" s="1"/>
  <c r="E20" i="180" s="1"/>
  <c r="E21" i="180" s="1"/>
  <c r="A6" i="180"/>
  <c r="D3" i="180"/>
  <c r="A3" i="180"/>
  <c r="A2" i="180"/>
  <c r="A1" i="180"/>
  <c r="F29" i="180" l="1"/>
  <c r="H23" i="180"/>
  <c r="F15" i="9" s="1"/>
  <c r="H9" i="180"/>
  <c r="H10" i="180" s="1"/>
  <c r="H11" i="180" s="1"/>
  <c r="H12" i="180" s="1"/>
  <c r="H13" i="180" s="1"/>
  <c r="H14" i="180" s="1"/>
  <c r="H15" i="180" s="1"/>
  <c r="H16" i="180" s="1"/>
  <c r="H17" i="180" s="1"/>
  <c r="H18" i="180" s="1"/>
  <c r="H19" i="180" s="1"/>
  <c r="H20" i="180" s="1"/>
  <c r="H21" i="180" s="1"/>
  <c r="H26" i="180"/>
  <c r="H29" i="180" s="1"/>
  <c r="F27" i="118" l="1"/>
  <c r="F27" i="155" l="1"/>
  <c r="F26" i="163"/>
  <c r="E9" i="49" l="1"/>
  <c r="H27" i="179"/>
  <c r="H28" i="179"/>
  <c r="H29" i="179"/>
  <c r="H26" i="179"/>
  <c r="D30" i="179"/>
  <c r="F23" i="179"/>
  <c r="E13" i="146" s="1"/>
  <c r="D23" i="179"/>
  <c r="D13" i="146" s="1"/>
  <c r="G10" i="179"/>
  <c r="G11" i="179" s="1"/>
  <c r="G12" i="179" s="1"/>
  <c r="G13" i="179" s="1"/>
  <c r="G14" i="179" s="1"/>
  <c r="G15" i="179" s="1"/>
  <c r="G16" i="179" s="1"/>
  <c r="G17" i="179" s="1"/>
  <c r="G18" i="179" s="1"/>
  <c r="G19" i="179" s="1"/>
  <c r="G20" i="179" s="1"/>
  <c r="G21" i="179" s="1"/>
  <c r="E9" i="179"/>
  <c r="E10" i="179" s="1"/>
  <c r="E11" i="179" s="1"/>
  <c r="E12" i="179" s="1"/>
  <c r="E13" i="179" s="1"/>
  <c r="E14" i="179" s="1"/>
  <c r="E15" i="179" s="1"/>
  <c r="E16" i="179" s="1"/>
  <c r="E17" i="179" s="1"/>
  <c r="E18" i="179" s="1"/>
  <c r="E19" i="179" s="1"/>
  <c r="E20" i="179" s="1"/>
  <c r="E21" i="179" s="1"/>
  <c r="A6" i="179"/>
  <c r="D3" i="179"/>
  <c r="A3" i="179"/>
  <c r="A2" i="179"/>
  <c r="A1" i="179"/>
  <c r="H30" i="179" l="1"/>
  <c r="H9" i="179"/>
  <c r="H10" i="179" s="1"/>
  <c r="H11" i="179" s="1"/>
  <c r="H12" i="179" s="1"/>
  <c r="H13" i="179" s="1"/>
  <c r="H14" i="179" s="1"/>
  <c r="H15" i="179" s="1"/>
  <c r="H16" i="179" s="1"/>
  <c r="H17" i="179" s="1"/>
  <c r="H18" i="179" s="1"/>
  <c r="H19" i="179" s="1"/>
  <c r="H20" i="179" s="1"/>
  <c r="H21" i="179" s="1"/>
  <c r="H23" i="179"/>
  <c r="F13" i="146" s="1"/>
  <c r="D28" i="178"/>
  <c r="H27" i="178"/>
  <c r="F28" i="178"/>
  <c r="F23" i="178"/>
  <c r="E15" i="67" s="1"/>
  <c r="D23" i="178"/>
  <c r="D15" i="67" s="1"/>
  <c r="G10" i="178"/>
  <c r="G11" i="178" s="1"/>
  <c r="G12" i="178" s="1"/>
  <c r="G13" i="178" s="1"/>
  <c r="G14" i="178" s="1"/>
  <c r="G15" i="178" s="1"/>
  <c r="G16" i="178" s="1"/>
  <c r="G17" i="178" s="1"/>
  <c r="G18" i="178" s="1"/>
  <c r="G19" i="178" s="1"/>
  <c r="G20" i="178" s="1"/>
  <c r="G21" i="178" s="1"/>
  <c r="E9" i="178"/>
  <c r="E10" i="178" s="1"/>
  <c r="E11" i="178" s="1"/>
  <c r="E12" i="178" s="1"/>
  <c r="E13" i="178" s="1"/>
  <c r="E14" i="178" s="1"/>
  <c r="E15" i="178" s="1"/>
  <c r="E16" i="178" s="1"/>
  <c r="E17" i="178" s="1"/>
  <c r="E18" i="178" s="1"/>
  <c r="E19" i="178" s="1"/>
  <c r="E20" i="178" s="1"/>
  <c r="E21" i="178" s="1"/>
  <c r="A6" i="178"/>
  <c r="D3" i="178"/>
  <c r="A3" i="178"/>
  <c r="A2" i="178"/>
  <c r="A1" i="178"/>
  <c r="D28" i="177"/>
  <c r="H27" i="177"/>
  <c r="F28" i="177"/>
  <c r="F23" i="177"/>
  <c r="E14" i="96" s="1"/>
  <c r="D23" i="177"/>
  <c r="D14" i="96" s="1"/>
  <c r="G10" i="177"/>
  <c r="G11" i="177" s="1"/>
  <c r="G12" i="177" s="1"/>
  <c r="G13" i="177" s="1"/>
  <c r="G14" i="177" s="1"/>
  <c r="G15" i="177" s="1"/>
  <c r="G16" i="177" s="1"/>
  <c r="G17" i="177" s="1"/>
  <c r="G18" i="177" s="1"/>
  <c r="G19" i="177" s="1"/>
  <c r="G20" i="177" s="1"/>
  <c r="G21" i="177" s="1"/>
  <c r="E9" i="177"/>
  <c r="E10" i="177" s="1"/>
  <c r="E11" i="177" s="1"/>
  <c r="E12" i="177" s="1"/>
  <c r="E13" i="177" s="1"/>
  <c r="E14" i="177" s="1"/>
  <c r="E15" i="177" s="1"/>
  <c r="E16" i="177" s="1"/>
  <c r="E17" i="177" s="1"/>
  <c r="E18" i="177" s="1"/>
  <c r="E19" i="177" s="1"/>
  <c r="E20" i="177" s="1"/>
  <c r="E21" i="177" s="1"/>
  <c r="A6" i="177"/>
  <c r="D3" i="177"/>
  <c r="A3" i="177"/>
  <c r="A2" i="177"/>
  <c r="A1" i="177"/>
  <c r="F23" i="176"/>
  <c r="E14" i="9" s="1"/>
  <c r="D23" i="176"/>
  <c r="D14" i="9" s="1"/>
  <c r="G10" i="176"/>
  <c r="G11" i="176" s="1"/>
  <c r="G12" i="176" s="1"/>
  <c r="G13" i="176" s="1"/>
  <c r="G14" i="176" s="1"/>
  <c r="G15" i="176" s="1"/>
  <c r="G16" i="176" s="1"/>
  <c r="G17" i="176" s="1"/>
  <c r="G18" i="176" s="1"/>
  <c r="G19" i="176" s="1"/>
  <c r="G20" i="176" s="1"/>
  <c r="G21" i="176" s="1"/>
  <c r="E9" i="176"/>
  <c r="H9" i="176" s="1"/>
  <c r="H10" i="176" s="1"/>
  <c r="H11" i="176" s="1"/>
  <c r="H12" i="176" s="1"/>
  <c r="H13" i="176" s="1"/>
  <c r="H14" i="176" s="1"/>
  <c r="H15" i="176" s="1"/>
  <c r="H16" i="176" s="1"/>
  <c r="H17" i="176" s="1"/>
  <c r="H18" i="176" s="1"/>
  <c r="H19" i="176" s="1"/>
  <c r="H20" i="176" s="1"/>
  <c r="H21" i="176" s="1"/>
  <c r="A6" i="176"/>
  <c r="D3" i="176"/>
  <c r="A3" i="176"/>
  <c r="A2" i="176"/>
  <c r="A1" i="176"/>
  <c r="H23" i="177" l="1"/>
  <c r="F14" i="96" s="1"/>
  <c r="H23" i="178"/>
  <c r="F15" i="67" s="1"/>
  <c r="H9" i="178"/>
  <c r="H10" i="178" s="1"/>
  <c r="H11" i="178" s="1"/>
  <c r="H12" i="178" s="1"/>
  <c r="H13" i="178" s="1"/>
  <c r="H14" i="178" s="1"/>
  <c r="H15" i="178" s="1"/>
  <c r="H16" i="178" s="1"/>
  <c r="H17" i="178" s="1"/>
  <c r="H18" i="178" s="1"/>
  <c r="H19" i="178" s="1"/>
  <c r="H20" i="178" s="1"/>
  <c r="H21" i="178" s="1"/>
  <c r="H26" i="178"/>
  <c r="H28" i="178" s="1"/>
  <c r="H9" i="177"/>
  <c r="H10" i="177" s="1"/>
  <c r="H11" i="177" s="1"/>
  <c r="H12" i="177" s="1"/>
  <c r="H13" i="177" s="1"/>
  <c r="H14" i="177" s="1"/>
  <c r="H15" i="177" s="1"/>
  <c r="H16" i="177" s="1"/>
  <c r="H17" i="177" s="1"/>
  <c r="H18" i="177" s="1"/>
  <c r="H19" i="177" s="1"/>
  <c r="H20" i="177" s="1"/>
  <c r="H21" i="177" s="1"/>
  <c r="H26" i="177"/>
  <c r="H28" i="177" s="1"/>
  <c r="H23" i="176"/>
  <c r="F14" i="9" s="1"/>
  <c r="E10" i="176"/>
  <c r="E11" i="176" s="1"/>
  <c r="E12" i="176" s="1"/>
  <c r="E13" i="176" s="1"/>
  <c r="E14" i="176" s="1"/>
  <c r="E15" i="176" s="1"/>
  <c r="E16" i="176" s="1"/>
  <c r="E17" i="176" s="1"/>
  <c r="E18" i="176" s="1"/>
  <c r="E19" i="176" s="1"/>
  <c r="E20" i="176" s="1"/>
  <c r="E21" i="176" s="1"/>
  <c r="F28" i="119" l="1"/>
  <c r="E14" i="6" l="1"/>
  <c r="E15" i="6"/>
  <c r="E29" i="128"/>
  <c r="E43" i="11"/>
  <c r="E23" i="89"/>
  <c r="E29" i="106"/>
  <c r="E33" i="140"/>
  <c r="E5" i="6"/>
  <c r="E16" i="6"/>
  <c r="E17" i="6"/>
  <c r="E18" i="6"/>
  <c r="E25" i="6"/>
  <c r="E28" i="6"/>
  <c r="E31" i="6"/>
  <c r="E32" i="6"/>
  <c r="E33" i="6"/>
  <c r="E3" i="145"/>
  <c r="E3" i="144"/>
  <c r="E23" i="144"/>
  <c r="E9" i="143"/>
  <c r="E10" i="143" s="1"/>
  <c r="E11" i="143" s="1"/>
  <c r="E12" i="143" s="1"/>
  <c r="E13" i="143" s="1"/>
  <c r="E14" i="143" s="1"/>
  <c r="E15" i="143" s="1"/>
  <c r="E16" i="143" s="1"/>
  <c r="E17" i="143" s="1"/>
  <c r="E18" i="143" s="1"/>
  <c r="E19" i="143" s="1"/>
  <c r="E3" i="153"/>
  <c r="E3" i="152"/>
  <c r="E29" i="152"/>
  <c r="E9" i="151"/>
  <c r="E10" i="151" s="1"/>
  <c r="E11" i="151" s="1"/>
  <c r="E12" i="151" s="1"/>
  <c r="E13" i="151" s="1"/>
  <c r="E14" i="151" s="1"/>
  <c r="E15" i="151" s="1"/>
  <c r="E16" i="151" s="1"/>
  <c r="E17" i="151" s="1"/>
  <c r="E18" i="151" s="1"/>
  <c r="E19" i="151" s="1"/>
  <c r="E20" i="151" s="1"/>
  <c r="E21" i="151" s="1"/>
  <c r="E3" i="149"/>
  <c r="E3" i="148"/>
  <c r="E29" i="148"/>
  <c r="E9" i="147"/>
  <c r="E10" i="147" s="1"/>
  <c r="E11" i="147" s="1"/>
  <c r="E12" i="147" s="1"/>
  <c r="E13" i="147" s="1"/>
  <c r="E14" i="147" s="1"/>
  <c r="E15" i="147" s="1"/>
  <c r="E16" i="147" s="1"/>
  <c r="E17" i="147" s="1"/>
  <c r="E18" i="147" s="1"/>
  <c r="E19" i="147" s="1"/>
  <c r="E3" i="137"/>
  <c r="E3" i="136"/>
  <c r="E29" i="136"/>
  <c r="E9" i="135"/>
  <c r="E10" i="135" s="1"/>
  <c r="E11" i="135" s="1"/>
  <c r="E12" i="135" s="1"/>
  <c r="E13" i="135" s="1"/>
  <c r="E14" i="135" s="1"/>
  <c r="E15" i="135" s="1"/>
  <c r="E16" i="135" s="1"/>
  <c r="E17" i="135" s="1"/>
  <c r="E18" i="135" s="1"/>
  <c r="E3" i="141"/>
  <c r="E3" i="140"/>
  <c r="E9" i="139"/>
  <c r="E10" i="139" s="1"/>
  <c r="E11" i="139" s="1"/>
  <c r="E12" i="139" s="1"/>
  <c r="E13" i="139" s="1"/>
  <c r="E14" i="139" s="1"/>
  <c r="E15" i="139" s="1"/>
  <c r="E16" i="139" s="1"/>
  <c r="E17" i="139" s="1"/>
  <c r="E18" i="139" s="1"/>
  <c r="E19" i="139" s="1"/>
  <c r="E9" i="169"/>
  <c r="E10" i="169" s="1"/>
  <c r="E11" i="169" s="1"/>
  <c r="E12" i="169" s="1"/>
  <c r="E13" i="169" s="1"/>
  <c r="E14" i="169" s="1"/>
  <c r="E15" i="169" s="1"/>
  <c r="E16" i="169" s="1"/>
  <c r="E17" i="169" s="1"/>
  <c r="E18" i="169" s="1"/>
  <c r="E19" i="169" s="1"/>
  <c r="E3" i="133"/>
  <c r="E3" i="132"/>
  <c r="E29" i="132"/>
  <c r="E9" i="131"/>
  <c r="E10" i="131" s="1"/>
  <c r="E11" i="131" s="1"/>
  <c r="E12" i="131" s="1"/>
  <c r="E13" i="131" s="1"/>
  <c r="E14" i="131" s="1"/>
  <c r="E15" i="131" s="1"/>
  <c r="E16" i="131" s="1"/>
  <c r="E17" i="131" s="1"/>
  <c r="E18" i="131" s="1"/>
  <c r="E19" i="131" s="1"/>
  <c r="E3" i="107"/>
  <c r="E3" i="106"/>
  <c r="E9" i="105"/>
  <c r="E10" i="105" s="1"/>
  <c r="E11" i="105" s="1"/>
  <c r="E12" i="105" s="1"/>
  <c r="E13" i="105" s="1"/>
  <c r="E14" i="105" s="1"/>
  <c r="E15" i="105" s="1"/>
  <c r="E16" i="105" s="1"/>
  <c r="E17" i="105" s="1"/>
  <c r="E18" i="105" s="1"/>
  <c r="E19" i="105" s="1"/>
  <c r="E3" i="16"/>
  <c r="E3" i="15"/>
  <c r="E26" i="15"/>
  <c r="E9" i="14"/>
  <c r="E10" i="14" s="1"/>
  <c r="E11" i="14" s="1"/>
  <c r="E12" i="14" s="1"/>
  <c r="E13" i="14" s="1"/>
  <c r="E14" i="14" s="1"/>
  <c r="E15" i="14" s="1"/>
  <c r="E16" i="14" s="1"/>
  <c r="E17" i="14" s="1"/>
  <c r="E18" i="14" s="1"/>
  <c r="E19" i="14" s="1"/>
  <c r="E20" i="14" s="1"/>
  <c r="E21" i="14" s="1"/>
  <c r="E12" i="13"/>
  <c r="E9" i="119"/>
  <c r="E10" i="119" s="1"/>
  <c r="E11" i="119" s="1"/>
  <c r="E12" i="119" s="1"/>
  <c r="E13" i="119" s="1"/>
  <c r="E14" i="119" s="1"/>
  <c r="E15" i="119" s="1"/>
  <c r="E16" i="119" s="1"/>
  <c r="E17" i="119" s="1"/>
  <c r="E18" i="119" s="1"/>
  <c r="E19" i="119" s="1"/>
  <c r="E3" i="103"/>
  <c r="E3" i="102"/>
  <c r="E37" i="102"/>
  <c r="E9" i="101"/>
  <c r="E10" i="101" s="1"/>
  <c r="E11" i="101" s="1"/>
  <c r="E12" i="101" s="1"/>
  <c r="E13" i="101" s="1"/>
  <c r="E14" i="101" s="1"/>
  <c r="E15" i="101" s="1"/>
  <c r="E16" i="101" s="1"/>
  <c r="E17" i="101" s="1"/>
  <c r="E18" i="101" s="1"/>
  <c r="E19" i="101" s="1"/>
  <c r="E9" i="124"/>
  <c r="E10" i="124" s="1"/>
  <c r="E11" i="124" s="1"/>
  <c r="E12" i="124" s="1"/>
  <c r="E13" i="124" s="1"/>
  <c r="E14" i="124" s="1"/>
  <c r="E15" i="124" s="1"/>
  <c r="E16" i="124" s="1"/>
  <c r="E17" i="124" s="1"/>
  <c r="E18" i="124" s="1"/>
  <c r="E3" i="99"/>
  <c r="E3" i="98"/>
  <c r="E30" i="98"/>
  <c r="E9" i="168"/>
  <c r="E10" i="168" s="1"/>
  <c r="E11" i="168" s="1"/>
  <c r="E12" i="168" s="1"/>
  <c r="E13" i="168" s="1"/>
  <c r="E14" i="168" s="1"/>
  <c r="E15" i="168" s="1"/>
  <c r="E16" i="168" s="1"/>
  <c r="E17" i="168" s="1"/>
  <c r="E18" i="168" s="1"/>
  <c r="E12" i="96"/>
  <c r="E9" i="160"/>
  <c r="E10" i="160" s="1"/>
  <c r="E11" i="160" s="1"/>
  <c r="E12" i="160" s="1"/>
  <c r="E13" i="160" s="1"/>
  <c r="E14" i="160" s="1"/>
  <c r="E15" i="160" s="1"/>
  <c r="E16" i="160" s="1"/>
  <c r="E17" i="160" s="1"/>
  <c r="E18" i="160" s="1"/>
  <c r="E9" i="155"/>
  <c r="E10" i="155" s="1"/>
  <c r="E11" i="155" s="1"/>
  <c r="E12" i="155" s="1"/>
  <c r="E13" i="155" s="1"/>
  <c r="E14" i="155" s="1"/>
  <c r="E15" i="155" s="1"/>
  <c r="E16" i="155" s="1"/>
  <c r="E17" i="155" s="1"/>
  <c r="E18" i="155" s="1"/>
  <c r="E19" i="155" s="1"/>
  <c r="E3" i="94"/>
  <c r="E3" i="93"/>
  <c r="E39" i="93"/>
  <c r="E9" i="92"/>
  <c r="E10" i="92" s="1"/>
  <c r="E11" i="92" s="1"/>
  <c r="E12" i="92" s="1"/>
  <c r="E13" i="92" s="1"/>
  <c r="E14" i="92" s="1"/>
  <c r="E15" i="92" s="1"/>
  <c r="E16" i="92" s="1"/>
  <c r="E17" i="92" s="1"/>
  <c r="E18" i="92" s="1"/>
  <c r="E3" i="90"/>
  <c r="E3" i="89"/>
  <c r="E9" i="88"/>
  <c r="E10" i="88" s="1"/>
  <c r="E11" i="88" s="1"/>
  <c r="E12" i="88" s="1"/>
  <c r="E13" i="88" s="1"/>
  <c r="E14" i="88" s="1"/>
  <c r="E15" i="88" s="1"/>
  <c r="E16" i="88" s="1"/>
  <c r="E17" i="88" s="1"/>
  <c r="E18" i="88" s="1"/>
  <c r="E12" i="87"/>
  <c r="E3" i="86"/>
  <c r="E3" i="85"/>
  <c r="E23" i="85"/>
  <c r="E9" i="84"/>
  <c r="E10" i="84" s="1"/>
  <c r="E11" i="84" s="1"/>
  <c r="E12" i="84" s="1"/>
  <c r="E13" i="84" s="1"/>
  <c r="E14" i="84" s="1"/>
  <c r="E15" i="84" s="1"/>
  <c r="E16" i="84" s="1"/>
  <c r="E17" i="84" s="1"/>
  <c r="E18" i="84" s="1"/>
  <c r="E19" i="84" s="1"/>
  <c r="E12" i="83"/>
  <c r="E9" i="118"/>
  <c r="E10" i="118" s="1"/>
  <c r="E11" i="118" s="1"/>
  <c r="E12" i="118" s="1"/>
  <c r="E13" i="118" s="1"/>
  <c r="E14" i="118" s="1"/>
  <c r="E15" i="118" s="1"/>
  <c r="E16" i="118" s="1"/>
  <c r="E17" i="118" s="1"/>
  <c r="E18" i="118" s="1"/>
  <c r="E19" i="118" s="1"/>
  <c r="E3" i="82"/>
  <c r="E3" i="81"/>
  <c r="E9" i="81"/>
  <c r="E37" i="81" s="1"/>
  <c r="E9" i="80"/>
  <c r="E10" i="80" s="1"/>
  <c r="E11" i="80" s="1"/>
  <c r="E12" i="80" s="1"/>
  <c r="E13" i="80" s="1"/>
  <c r="E14" i="80" s="1"/>
  <c r="E15" i="80" s="1"/>
  <c r="E16" i="80" s="1"/>
  <c r="E17" i="80" s="1"/>
  <c r="E18" i="80" s="1"/>
  <c r="E19" i="80" s="1"/>
  <c r="E3" i="78"/>
  <c r="E3" i="77"/>
  <c r="E23" i="77"/>
  <c r="E9" i="76"/>
  <c r="E10" i="76" s="1"/>
  <c r="E11" i="76" s="1"/>
  <c r="E12" i="76" s="1"/>
  <c r="E13" i="76" s="1"/>
  <c r="E14" i="76" s="1"/>
  <c r="E15" i="76" s="1"/>
  <c r="E16" i="76" s="1"/>
  <c r="E17" i="76" s="1"/>
  <c r="E18" i="76" s="1"/>
  <c r="E12" i="75"/>
  <c r="E9" i="172"/>
  <c r="E10" i="172" s="1"/>
  <c r="E11" i="172" s="1"/>
  <c r="E12" i="172" s="1"/>
  <c r="E13" i="172" s="1"/>
  <c r="E14" i="172" s="1"/>
  <c r="E15" i="172" s="1"/>
  <c r="E16" i="172" s="1"/>
  <c r="E17" i="172" s="1"/>
  <c r="E18" i="172" s="1"/>
  <c r="E19" i="172" s="1"/>
  <c r="E9" i="163"/>
  <c r="E10" i="163" s="1"/>
  <c r="E11" i="163" s="1"/>
  <c r="E12" i="163" s="1"/>
  <c r="E13" i="163" s="1"/>
  <c r="E14" i="163" s="1"/>
  <c r="E15" i="163" s="1"/>
  <c r="E16" i="163" s="1"/>
  <c r="E17" i="163" s="1"/>
  <c r="E18" i="163" s="1"/>
  <c r="E19" i="163" s="1"/>
  <c r="E3" i="74"/>
  <c r="E3" i="73"/>
  <c r="E39" i="73"/>
  <c r="E9" i="72"/>
  <c r="E10" i="72" s="1"/>
  <c r="E11" i="72" s="1"/>
  <c r="E12" i="72" s="1"/>
  <c r="E13" i="72" s="1"/>
  <c r="E14" i="72" s="1"/>
  <c r="E15" i="72" s="1"/>
  <c r="E16" i="72" s="1"/>
  <c r="E17" i="72" s="1"/>
  <c r="E18" i="72" s="1"/>
  <c r="E19" i="72" s="1"/>
  <c r="E9" i="174"/>
  <c r="E10" i="174" s="1"/>
  <c r="E11" i="174" s="1"/>
  <c r="E12" i="174" s="1"/>
  <c r="E13" i="174" s="1"/>
  <c r="E14" i="174" s="1"/>
  <c r="E15" i="174" s="1"/>
  <c r="E16" i="174" s="1"/>
  <c r="E17" i="174" s="1"/>
  <c r="E18" i="174" s="1"/>
  <c r="E9" i="123"/>
  <c r="E10" i="123" s="1"/>
  <c r="E11" i="123" s="1"/>
  <c r="E12" i="123" s="1"/>
  <c r="E13" i="123" s="1"/>
  <c r="E14" i="123" s="1"/>
  <c r="E15" i="123" s="1"/>
  <c r="E16" i="123" s="1"/>
  <c r="E17" i="123" s="1"/>
  <c r="E18" i="123" s="1"/>
  <c r="E19" i="123" s="1"/>
  <c r="E3" i="70"/>
  <c r="E3" i="69"/>
  <c r="E37" i="69"/>
  <c r="E9" i="68"/>
  <c r="E10" i="68" s="1"/>
  <c r="E11" i="68" s="1"/>
  <c r="E12" i="68" s="1"/>
  <c r="E13" i="68" s="1"/>
  <c r="E14" i="68" s="1"/>
  <c r="E15" i="68" s="1"/>
  <c r="E16" i="68" s="1"/>
  <c r="E17" i="68" s="1"/>
  <c r="E18" i="68" s="1"/>
  <c r="E19" i="68" s="1"/>
  <c r="E12" i="67"/>
  <c r="E9" i="166"/>
  <c r="E10" i="166" s="1"/>
  <c r="E11" i="166" s="1"/>
  <c r="E12" i="166" s="1"/>
  <c r="E13" i="166" s="1"/>
  <c r="E14" i="166" s="1"/>
  <c r="E15" i="166" s="1"/>
  <c r="E16" i="166" s="1"/>
  <c r="E17" i="166" s="1"/>
  <c r="E18" i="166" s="1"/>
  <c r="E19" i="166" s="1"/>
  <c r="E3" i="66"/>
  <c r="E3" i="65"/>
  <c r="E35" i="65"/>
  <c r="E9" i="64"/>
  <c r="E10" i="64" s="1"/>
  <c r="E11" i="64" s="1"/>
  <c r="E12" i="64" s="1"/>
  <c r="E13" i="64" s="1"/>
  <c r="E14" i="64" s="1"/>
  <c r="E15" i="64" s="1"/>
  <c r="E16" i="64" s="1"/>
  <c r="E17" i="64" s="1"/>
  <c r="E18" i="64" s="1"/>
  <c r="E9" i="170"/>
  <c r="E10" i="170" s="1"/>
  <c r="E11" i="170" s="1"/>
  <c r="E12" i="170" s="1"/>
  <c r="E13" i="170" s="1"/>
  <c r="E14" i="170" s="1"/>
  <c r="E15" i="170" s="1"/>
  <c r="E16" i="170" s="1"/>
  <c r="E17" i="170" s="1"/>
  <c r="E18" i="170" s="1"/>
  <c r="E9" i="108"/>
  <c r="E10" i="108" s="1"/>
  <c r="E11" i="108" s="1"/>
  <c r="E12" i="108" s="1"/>
  <c r="E13" i="108" s="1"/>
  <c r="E14" i="108" s="1"/>
  <c r="E15" i="108" s="1"/>
  <c r="E16" i="108" s="1"/>
  <c r="E17" i="108" s="1"/>
  <c r="E18" i="108" s="1"/>
  <c r="E19" i="108" s="1"/>
  <c r="E3" i="62"/>
  <c r="E3" i="61"/>
  <c r="E35" i="61"/>
  <c r="E9" i="60"/>
  <c r="E10" i="60" s="1"/>
  <c r="E11" i="60" s="1"/>
  <c r="E12" i="60" s="1"/>
  <c r="E13" i="60" s="1"/>
  <c r="E14" i="60" s="1"/>
  <c r="E15" i="60" s="1"/>
  <c r="E16" i="60" s="1"/>
  <c r="E17" i="60" s="1"/>
  <c r="E18" i="60" s="1"/>
  <c r="E19" i="60" s="1"/>
  <c r="E12" i="59"/>
  <c r="E9" i="164"/>
  <c r="E10" i="164" s="1"/>
  <c r="E11" i="164" s="1"/>
  <c r="E12" i="164" s="1"/>
  <c r="E13" i="164" s="1"/>
  <c r="E14" i="164" s="1"/>
  <c r="E15" i="164" s="1"/>
  <c r="E16" i="164" s="1"/>
  <c r="E17" i="164" s="1"/>
  <c r="E18" i="164" s="1"/>
  <c r="E19" i="164" s="1"/>
  <c r="E9" i="162"/>
  <c r="E10" i="162" s="1"/>
  <c r="E11" i="162" s="1"/>
  <c r="E12" i="162" s="1"/>
  <c r="E13" i="162" s="1"/>
  <c r="E14" i="162" s="1"/>
  <c r="E15" i="162" s="1"/>
  <c r="E16" i="162" s="1"/>
  <c r="E17" i="162" s="1"/>
  <c r="E18" i="162" s="1"/>
  <c r="E19" i="162" s="1"/>
  <c r="E9" i="116"/>
  <c r="E10" i="116" s="1"/>
  <c r="E11" i="116" s="1"/>
  <c r="E12" i="116" s="1"/>
  <c r="E13" i="116" s="1"/>
  <c r="E14" i="116" s="1"/>
  <c r="E15" i="116" s="1"/>
  <c r="E16" i="116" s="1"/>
  <c r="E17" i="116" s="1"/>
  <c r="E18" i="116" s="1"/>
  <c r="E19" i="116" s="1"/>
  <c r="E3" i="58"/>
  <c r="E3" i="57"/>
  <c r="E39" i="57"/>
  <c r="E9" i="56"/>
  <c r="E10" i="56" s="1"/>
  <c r="E11" i="56" s="1"/>
  <c r="E12" i="56" s="1"/>
  <c r="E13" i="56" s="1"/>
  <c r="E14" i="56" s="1"/>
  <c r="E15" i="56" s="1"/>
  <c r="E16" i="56" s="1"/>
  <c r="E17" i="56" s="1"/>
  <c r="E18" i="56" s="1"/>
  <c r="E9" i="165"/>
  <c r="E10" i="165" s="1"/>
  <c r="E11" i="165" s="1"/>
  <c r="E12" i="165" s="1"/>
  <c r="E13" i="165" s="1"/>
  <c r="E14" i="165" s="1"/>
  <c r="E15" i="165" s="1"/>
  <c r="E16" i="165" s="1"/>
  <c r="E17" i="165" s="1"/>
  <c r="E18" i="165" s="1"/>
  <c r="E3" i="54"/>
  <c r="E3" i="53"/>
  <c r="E35" i="53"/>
  <c r="E9" i="52"/>
  <c r="E10" i="52" s="1"/>
  <c r="E11" i="52" s="1"/>
  <c r="E12" i="52" s="1"/>
  <c r="E13" i="52" s="1"/>
  <c r="E14" i="52" s="1"/>
  <c r="E15" i="52" s="1"/>
  <c r="E16" i="52" s="1"/>
  <c r="E17" i="52" s="1"/>
  <c r="E18" i="52" s="1"/>
  <c r="E19" i="52" s="1"/>
  <c r="E9" i="157"/>
  <c r="E10" i="157" s="1"/>
  <c r="E11" i="157" s="1"/>
  <c r="E12" i="157" s="1"/>
  <c r="E13" i="157" s="1"/>
  <c r="E14" i="157" s="1"/>
  <c r="E15" i="157" s="1"/>
  <c r="E16" i="157" s="1"/>
  <c r="E17" i="157" s="1"/>
  <c r="E18" i="157" s="1"/>
  <c r="E19" i="157" s="1"/>
  <c r="E9" i="156"/>
  <c r="E10" i="156" s="1"/>
  <c r="E11" i="156" s="1"/>
  <c r="E12" i="156" s="1"/>
  <c r="E13" i="156" s="1"/>
  <c r="E14" i="156" s="1"/>
  <c r="E15" i="156" s="1"/>
  <c r="E16" i="156" s="1"/>
  <c r="E17" i="156" s="1"/>
  <c r="E18" i="156" s="1"/>
  <c r="E19" i="156" s="1"/>
  <c r="E3" i="50"/>
  <c r="E3" i="49"/>
  <c r="E39" i="49"/>
  <c r="E9" i="48"/>
  <c r="E10" i="48" s="1"/>
  <c r="E11" i="48" s="1"/>
  <c r="E12" i="48" s="1"/>
  <c r="E13" i="48" s="1"/>
  <c r="E14" i="48" s="1"/>
  <c r="E15" i="48" s="1"/>
  <c r="E16" i="48" s="1"/>
  <c r="E17" i="48" s="1"/>
  <c r="E18" i="48" s="1"/>
  <c r="E19" i="48" s="1"/>
  <c r="E9" i="171"/>
  <c r="E10" i="171" s="1"/>
  <c r="E11" i="171" s="1"/>
  <c r="E12" i="171" s="1"/>
  <c r="E13" i="171" s="1"/>
  <c r="E14" i="171" s="1"/>
  <c r="E15" i="171" s="1"/>
  <c r="E16" i="171" s="1"/>
  <c r="E17" i="171" s="1"/>
  <c r="E18" i="171" s="1"/>
  <c r="E19" i="171" s="1"/>
  <c r="E9" i="167"/>
  <c r="E10" i="167" s="1"/>
  <c r="E11" i="167" s="1"/>
  <c r="E12" i="167" s="1"/>
  <c r="E13" i="167" s="1"/>
  <c r="E14" i="167" s="1"/>
  <c r="E15" i="167" s="1"/>
  <c r="E16" i="167" s="1"/>
  <c r="E17" i="167" s="1"/>
  <c r="E18" i="167" s="1"/>
  <c r="E19" i="167" s="1"/>
  <c r="E9" i="121"/>
  <c r="E10" i="121" s="1"/>
  <c r="E11" i="121" s="1"/>
  <c r="E12" i="121" s="1"/>
  <c r="E13" i="121" s="1"/>
  <c r="E14" i="121" s="1"/>
  <c r="E15" i="121" s="1"/>
  <c r="E16" i="121" s="1"/>
  <c r="E17" i="121" s="1"/>
  <c r="E18" i="121" s="1"/>
  <c r="E3" i="46"/>
  <c r="E3" i="45"/>
  <c r="E37" i="45"/>
  <c r="E9" i="44"/>
  <c r="E10" i="44" s="1"/>
  <c r="E11" i="44" s="1"/>
  <c r="E12" i="44" s="1"/>
  <c r="E13" i="44" s="1"/>
  <c r="E14" i="44" s="1"/>
  <c r="E15" i="44" s="1"/>
  <c r="E16" i="44" s="1"/>
  <c r="E17" i="44" s="1"/>
  <c r="E18" i="44" s="1"/>
  <c r="E9" i="111"/>
  <c r="E10" i="111" s="1"/>
  <c r="E11" i="111" s="1"/>
  <c r="E12" i="111" s="1"/>
  <c r="E13" i="111" s="1"/>
  <c r="E14" i="111" s="1"/>
  <c r="E15" i="111" s="1"/>
  <c r="E16" i="111" s="1"/>
  <c r="E17" i="111" s="1"/>
  <c r="E18" i="111" s="1"/>
  <c r="E3" i="42"/>
  <c r="E3" i="41"/>
  <c r="E9" i="40"/>
  <c r="E10" i="40" s="1"/>
  <c r="E11" i="40" s="1"/>
  <c r="E12" i="40" s="1"/>
  <c r="E13" i="40" s="1"/>
  <c r="E14" i="40" s="1"/>
  <c r="E15" i="40" s="1"/>
  <c r="E16" i="40" s="1"/>
  <c r="E17" i="40" s="1"/>
  <c r="E18" i="40" s="1"/>
  <c r="E19" i="40" s="1"/>
  <c r="E9" i="175"/>
  <c r="E10" i="175" s="1"/>
  <c r="E11" i="175" s="1"/>
  <c r="E12" i="175" s="1"/>
  <c r="E13" i="175" s="1"/>
  <c r="E14" i="175" s="1"/>
  <c r="E15" i="175" s="1"/>
  <c r="E16" i="175" s="1"/>
  <c r="E17" i="175" s="1"/>
  <c r="E18" i="175" s="1"/>
  <c r="E19" i="175" s="1"/>
  <c r="E9" i="122"/>
  <c r="E10" i="122" s="1"/>
  <c r="E11" i="122" s="1"/>
  <c r="E12" i="122" s="1"/>
  <c r="E13" i="122" s="1"/>
  <c r="E14" i="122" s="1"/>
  <c r="E15" i="122" s="1"/>
  <c r="E16" i="122" s="1"/>
  <c r="E17" i="122" s="1"/>
  <c r="E18" i="122" s="1"/>
  <c r="E19" i="122" s="1"/>
  <c r="E3" i="38"/>
  <c r="E3" i="37"/>
  <c r="E37" i="37"/>
  <c r="E9" i="36"/>
  <c r="E10" i="36" s="1"/>
  <c r="E11" i="36" s="1"/>
  <c r="E12" i="36" s="1"/>
  <c r="E13" i="36" s="1"/>
  <c r="E14" i="36" s="1"/>
  <c r="E15" i="36" s="1"/>
  <c r="E16" i="36" s="1"/>
  <c r="E17" i="36" s="1"/>
  <c r="E18" i="36" s="1"/>
  <c r="E19" i="36" s="1"/>
  <c r="E9" i="161"/>
  <c r="E10" i="161" s="1"/>
  <c r="E11" i="161" s="1"/>
  <c r="E12" i="161" s="1"/>
  <c r="E13" i="161" s="1"/>
  <c r="E14" i="161" s="1"/>
  <c r="E15" i="161" s="1"/>
  <c r="E16" i="161" s="1"/>
  <c r="E17" i="161" s="1"/>
  <c r="E18" i="161" s="1"/>
  <c r="E19" i="161" s="1"/>
  <c r="E3" i="34"/>
  <c r="E3" i="33"/>
  <c r="E35" i="33"/>
  <c r="E9" i="32"/>
  <c r="E10" i="32" s="1"/>
  <c r="E11" i="32" s="1"/>
  <c r="E12" i="32" s="1"/>
  <c r="E13" i="32" s="1"/>
  <c r="E14" i="32" s="1"/>
  <c r="E15" i="32" s="1"/>
  <c r="E16" i="32" s="1"/>
  <c r="E17" i="32" s="1"/>
  <c r="E18" i="32" s="1"/>
  <c r="E3" i="30"/>
  <c r="E3" i="29"/>
  <c r="E23" i="29"/>
  <c r="E9" i="28"/>
  <c r="E10" i="28" s="1"/>
  <c r="E11" i="28" s="1"/>
  <c r="E12" i="28" s="1"/>
  <c r="E13" i="28" s="1"/>
  <c r="E14" i="28" s="1"/>
  <c r="E15" i="28" s="1"/>
  <c r="E16" i="28" s="1"/>
  <c r="E17" i="28" s="1"/>
  <c r="E18" i="28" s="1"/>
  <c r="E19" i="28" s="1"/>
  <c r="E12" i="27"/>
  <c r="E3" i="26"/>
  <c r="E3" i="25"/>
  <c r="E23" i="25"/>
  <c r="E9" i="24"/>
  <c r="E10" i="24" s="1"/>
  <c r="E11" i="24" s="1"/>
  <c r="E12" i="24" s="1"/>
  <c r="E13" i="24" s="1"/>
  <c r="E14" i="24" s="1"/>
  <c r="E15" i="24" s="1"/>
  <c r="E16" i="24" s="1"/>
  <c r="E17" i="24" s="1"/>
  <c r="E18" i="24" s="1"/>
  <c r="E19" i="24" s="1"/>
  <c r="E12" i="23"/>
  <c r="E9" i="158"/>
  <c r="E10" i="158" s="1"/>
  <c r="E11" i="158" s="1"/>
  <c r="E12" i="158" s="1"/>
  <c r="E13" i="158" s="1"/>
  <c r="E14" i="158" s="1"/>
  <c r="E15" i="158" s="1"/>
  <c r="E16" i="158" s="1"/>
  <c r="E17" i="158" s="1"/>
  <c r="E18" i="158" s="1"/>
  <c r="E19" i="158" s="1"/>
  <c r="E9" i="19"/>
  <c r="E10" i="19" s="1"/>
  <c r="E11" i="19" s="1"/>
  <c r="E12" i="19" s="1"/>
  <c r="E13" i="19" s="1"/>
  <c r="E14" i="19" s="1"/>
  <c r="E15" i="19" s="1"/>
  <c r="E16" i="19" s="1"/>
  <c r="E17" i="19" s="1"/>
  <c r="E18" i="19" s="1"/>
  <c r="E19" i="19" s="1"/>
  <c r="E3" i="21"/>
  <c r="E3" i="20"/>
  <c r="E39" i="20"/>
  <c r="E9" i="109"/>
  <c r="E10" i="109" s="1"/>
  <c r="E11" i="109" s="1"/>
  <c r="E12" i="109" s="1"/>
  <c r="E13" i="109" s="1"/>
  <c r="E14" i="109" s="1"/>
  <c r="E15" i="109" s="1"/>
  <c r="E16" i="109" s="1"/>
  <c r="E17" i="109" s="1"/>
  <c r="E18" i="109" s="1"/>
  <c r="E19" i="109" s="1"/>
  <c r="E9" i="154"/>
  <c r="E10" i="154" s="1"/>
  <c r="E11" i="154" s="1"/>
  <c r="E12" i="154" s="1"/>
  <c r="E13" i="154" s="1"/>
  <c r="E14" i="154" s="1"/>
  <c r="E15" i="154" s="1"/>
  <c r="E16" i="154" s="1"/>
  <c r="E17" i="154" s="1"/>
  <c r="E18" i="154" s="1"/>
  <c r="E19" i="154" s="1"/>
  <c r="E9" i="120"/>
  <c r="E10" i="120" s="1"/>
  <c r="E11" i="120" s="1"/>
  <c r="E12" i="120" s="1"/>
  <c r="E13" i="120" s="1"/>
  <c r="E14" i="120" s="1"/>
  <c r="E15" i="120" s="1"/>
  <c r="E16" i="120" s="1"/>
  <c r="E17" i="120" s="1"/>
  <c r="E18" i="120" s="1"/>
  <c r="E19" i="120" s="1"/>
  <c r="E9" i="117"/>
  <c r="E10" i="117" s="1"/>
  <c r="E11" i="117" s="1"/>
  <c r="E12" i="117" s="1"/>
  <c r="E13" i="117" s="1"/>
  <c r="E14" i="117" s="1"/>
  <c r="E15" i="117" s="1"/>
  <c r="E16" i="117" s="1"/>
  <c r="E17" i="117" s="1"/>
  <c r="E18" i="117" s="1"/>
  <c r="E19" i="117" s="1"/>
  <c r="E9" i="22"/>
  <c r="E10" i="22" s="1"/>
  <c r="E11" i="22" s="1"/>
  <c r="E12" i="22" s="1"/>
  <c r="E13" i="22" s="1"/>
  <c r="E14" i="22" s="1"/>
  <c r="E15" i="22" s="1"/>
  <c r="E16" i="22" s="1"/>
  <c r="E17" i="22" s="1"/>
  <c r="E18" i="22" s="1"/>
  <c r="E3" i="5"/>
  <c r="E3" i="4"/>
  <c r="E43" i="4"/>
  <c r="E9" i="3"/>
  <c r="E10" i="3" s="1"/>
  <c r="E11" i="3" s="1"/>
  <c r="E12" i="3" s="1"/>
  <c r="E13" i="3" s="1"/>
  <c r="E14" i="3" s="1"/>
  <c r="E15" i="3" s="1"/>
  <c r="E16" i="3" s="1"/>
  <c r="E17" i="3" s="1"/>
  <c r="E18" i="3" s="1"/>
  <c r="E9" i="110"/>
  <c r="E10" i="110" s="1"/>
  <c r="E3" i="12"/>
  <c r="E3" i="11"/>
  <c r="E9" i="10"/>
  <c r="E10" i="10" s="1"/>
  <c r="E11" i="10" s="1"/>
  <c r="E12" i="10" s="1"/>
  <c r="E13" i="10" s="1"/>
  <c r="E14" i="10" s="1"/>
  <c r="E15" i="10" s="1"/>
  <c r="E16" i="10" s="1"/>
  <c r="E17" i="10" s="1"/>
  <c r="E18" i="10" s="1"/>
  <c r="E19" i="10" s="1"/>
  <c r="E9" i="125"/>
  <c r="E10" i="125" s="1"/>
  <c r="E11" i="125" s="1"/>
  <c r="E12" i="125" s="1"/>
  <c r="E13" i="125" s="1"/>
  <c r="E14" i="125" s="1"/>
  <c r="E15" i="125" s="1"/>
  <c r="E16" i="125" s="1"/>
  <c r="E17" i="125" s="1"/>
  <c r="E18" i="125" s="1"/>
  <c r="E19" i="125" s="1"/>
  <c r="E3" i="115"/>
  <c r="E3" i="114"/>
  <c r="E23" i="114"/>
  <c r="E9" i="113"/>
  <c r="E10" i="113" s="1"/>
  <c r="E11" i="113" s="1"/>
  <c r="E12" i="113" s="1"/>
  <c r="E13" i="113" s="1"/>
  <c r="E14" i="113" s="1"/>
  <c r="E15" i="113" s="1"/>
  <c r="E16" i="113" s="1"/>
  <c r="E17" i="113" s="1"/>
  <c r="E18" i="113" s="1"/>
  <c r="E19" i="113" s="1"/>
  <c r="E9" i="159"/>
  <c r="E10" i="159" s="1"/>
  <c r="E11" i="159" s="1"/>
  <c r="E12" i="159" s="1"/>
  <c r="E13" i="159" s="1"/>
  <c r="E14" i="159" s="1"/>
  <c r="E15" i="159" s="1"/>
  <c r="E16" i="159" s="1"/>
  <c r="E17" i="159" s="1"/>
  <c r="E18" i="159" s="1"/>
  <c r="E19" i="159" s="1"/>
  <c r="E3" i="129"/>
  <c r="E3" i="128"/>
  <c r="E9" i="127"/>
  <c r="E10" i="127" s="1"/>
  <c r="E11" i="127" s="1"/>
  <c r="E12" i="127" s="1"/>
  <c r="E13" i="127" s="1"/>
  <c r="E14" i="127" s="1"/>
  <c r="E15" i="127" s="1"/>
  <c r="E16" i="127" s="1"/>
  <c r="E17" i="127" s="1"/>
  <c r="E18" i="127" s="1"/>
  <c r="E3" i="8"/>
  <c r="E47" i="8"/>
  <c r="E12" i="7"/>
  <c r="D28" i="175"/>
  <c r="H27" i="175"/>
  <c r="F28" i="175"/>
  <c r="F23" i="175"/>
  <c r="E14" i="35" s="1"/>
  <c r="D23" i="175"/>
  <c r="D14" i="35" s="1"/>
  <c r="G10" i="175"/>
  <c r="G11" i="175" s="1"/>
  <c r="G12" i="175" s="1"/>
  <c r="G13" i="175" s="1"/>
  <c r="G14" i="175" s="1"/>
  <c r="G15" i="175" s="1"/>
  <c r="G16" i="175" s="1"/>
  <c r="G17" i="175" s="1"/>
  <c r="G18" i="175" s="1"/>
  <c r="G19" i="175" s="1"/>
  <c r="G20" i="175" s="1"/>
  <c r="G21" i="175" s="1"/>
  <c r="A6" i="175"/>
  <c r="D3" i="175"/>
  <c r="A3" i="175"/>
  <c r="A2" i="175"/>
  <c r="A1" i="175"/>
  <c r="F26" i="118"/>
  <c r="H30" i="170"/>
  <c r="F27" i="123"/>
  <c r="F26" i="123"/>
  <c r="E11" i="110" l="1"/>
  <c r="E12" i="110" s="1"/>
  <c r="E13" i="110" s="1"/>
  <c r="E14" i="110" s="1"/>
  <c r="E15" i="110" s="1"/>
  <c r="E16" i="110" s="1"/>
  <c r="E17" i="110" s="1"/>
  <c r="E18" i="110" s="1"/>
  <c r="E19" i="110" s="1"/>
  <c r="E20" i="110" s="1"/>
  <c r="E21" i="110" s="1"/>
  <c r="E19" i="76"/>
  <c r="E20" i="76" s="1"/>
  <c r="E21" i="76" s="1"/>
  <c r="E19" i="56"/>
  <c r="E20" i="56" s="1"/>
  <c r="E21" i="56" s="1"/>
  <c r="E19" i="32"/>
  <c r="E20" i="32" s="1"/>
  <c r="E21" i="32" s="1"/>
  <c r="E19" i="64"/>
  <c r="E20" i="64" s="1"/>
  <c r="E21" i="64" s="1"/>
  <c r="E19" i="160"/>
  <c r="E20" i="160" s="1"/>
  <c r="E21" i="160" s="1"/>
  <c r="E19" i="124"/>
  <c r="E20" i="124" s="1"/>
  <c r="E21" i="124" s="1"/>
  <c r="E19" i="88"/>
  <c r="E20" i="88" s="1"/>
  <c r="E21" i="88" s="1"/>
  <c r="E19" i="121"/>
  <c r="E20" i="121" s="1"/>
  <c r="E21" i="121" s="1"/>
  <c r="E19" i="92"/>
  <c r="E20" i="92" s="1"/>
  <c r="E21" i="92" s="1"/>
  <c r="E19" i="168"/>
  <c r="E20" i="168" s="1"/>
  <c r="E21" i="168" s="1"/>
  <c r="E19" i="135"/>
  <c r="E20" i="135" s="1"/>
  <c r="E21" i="135" s="1"/>
  <c r="E19" i="170"/>
  <c r="E20" i="170" s="1"/>
  <c r="E21" i="170" s="1"/>
  <c r="E19" i="127"/>
  <c r="E20" i="127" s="1"/>
  <c r="E21" i="127" s="1"/>
  <c r="E19" i="174"/>
  <c r="E20" i="174" s="1"/>
  <c r="E21" i="174" s="1"/>
  <c r="E20" i="113"/>
  <c r="E21" i="113" s="1"/>
  <c r="E20" i="80"/>
  <c r="E21" i="80" s="1"/>
  <c r="E20" i="36"/>
  <c r="E21" i="36" s="1"/>
  <c r="E20" i="171"/>
  <c r="E21" i="171" s="1"/>
  <c r="E20" i="120"/>
  <c r="E21" i="120" s="1"/>
  <c r="E20" i="109"/>
  <c r="E21" i="109" s="1"/>
  <c r="E20" i="161"/>
  <c r="E21" i="161" s="1"/>
  <c r="E20" i="48"/>
  <c r="E21" i="48" s="1"/>
  <c r="E20" i="123"/>
  <c r="E21" i="123" s="1"/>
  <c r="E20" i="116"/>
  <c r="E21" i="116" s="1"/>
  <c r="E20" i="84"/>
  <c r="E21" i="84" s="1"/>
  <c r="E20" i="125"/>
  <c r="E21" i="125" s="1"/>
  <c r="E20" i="154"/>
  <c r="E21" i="154" s="1"/>
  <c r="E20" i="40"/>
  <c r="E21" i="40" s="1"/>
  <c r="E22" i="40" s="1"/>
  <c r="E23" i="40" s="1"/>
  <c r="E24" i="40" s="1"/>
  <c r="E19" i="3"/>
  <c r="E20" i="3" s="1"/>
  <c r="E21" i="3" s="1"/>
  <c r="E19" i="111"/>
  <c r="E20" i="111" s="1"/>
  <c r="E21" i="111" s="1"/>
  <c r="E20" i="167"/>
  <c r="E21" i="167" s="1"/>
  <c r="E20" i="172"/>
  <c r="E21" i="172" s="1"/>
  <c r="E20" i="24"/>
  <c r="E21" i="24" s="1"/>
  <c r="E20" i="122"/>
  <c r="E21" i="122" s="1"/>
  <c r="E20" i="52"/>
  <c r="E21" i="52" s="1"/>
  <c r="E20" i="164"/>
  <c r="E21" i="164" s="1"/>
  <c r="E20" i="166"/>
  <c r="E21" i="166" s="1"/>
  <c r="E20" i="118"/>
  <c r="E21" i="118" s="1"/>
  <c r="E20" i="119"/>
  <c r="E21" i="119" s="1"/>
  <c r="E20" i="131"/>
  <c r="E21" i="131" s="1"/>
  <c r="E19" i="22"/>
  <c r="E20" i="22" s="1"/>
  <c r="E21" i="22" s="1"/>
  <c r="E19" i="44"/>
  <c r="E20" i="44" s="1"/>
  <c r="E21" i="44" s="1"/>
  <c r="E19" i="165"/>
  <c r="E20" i="165" s="1"/>
  <c r="E21" i="165" s="1"/>
  <c r="E45" i="6"/>
  <c r="E20" i="60"/>
  <c r="E21" i="60" s="1"/>
  <c r="E20" i="163"/>
  <c r="E21" i="163" s="1"/>
  <c r="E20" i="105"/>
  <c r="E21" i="105" s="1"/>
  <c r="E20" i="175"/>
  <c r="E21" i="175" s="1"/>
  <c r="E20" i="157"/>
  <c r="E21" i="157" s="1"/>
  <c r="E20" i="19"/>
  <c r="E21" i="19" s="1"/>
  <c r="E20" i="158"/>
  <c r="E21" i="158" s="1"/>
  <c r="E20" i="72"/>
  <c r="E21" i="72" s="1"/>
  <c r="E20" i="156"/>
  <c r="E21" i="156" s="1"/>
  <c r="E20" i="10"/>
  <c r="E21" i="10" s="1"/>
  <c r="E20" i="117"/>
  <c r="E21" i="117" s="1"/>
  <c r="E20" i="101"/>
  <c r="E21" i="101" s="1"/>
  <c r="E20" i="139"/>
  <c r="E21" i="139" s="1"/>
  <c r="E20" i="162"/>
  <c r="E21" i="162" s="1"/>
  <c r="E20" i="147"/>
  <c r="E21" i="147" s="1"/>
  <c r="E20" i="159"/>
  <c r="E21" i="159" s="1"/>
  <c r="E20" i="28"/>
  <c r="E21" i="28" s="1"/>
  <c r="E20" i="68"/>
  <c r="E21" i="68" s="1"/>
  <c r="E20" i="155"/>
  <c r="E21" i="155" s="1"/>
  <c r="E20" i="169"/>
  <c r="E21" i="169" s="1"/>
  <c r="E20" i="143"/>
  <c r="E21" i="143" s="1"/>
  <c r="E39" i="41"/>
  <c r="E20" i="108"/>
  <c r="E21" i="108" s="1"/>
  <c r="H23" i="175"/>
  <c r="F14" i="35" s="1"/>
  <c r="H9" i="175"/>
  <c r="H10" i="175" s="1"/>
  <c r="H11" i="175" s="1"/>
  <c r="H12" i="175" s="1"/>
  <c r="H13" i="175" s="1"/>
  <c r="H14" i="175" s="1"/>
  <c r="H15" i="175" s="1"/>
  <c r="H16" i="175" s="1"/>
  <c r="H17" i="175" s="1"/>
  <c r="H18" i="175" s="1"/>
  <c r="H19" i="175" s="1"/>
  <c r="H20" i="175" s="1"/>
  <c r="H21" i="175" s="1"/>
  <c r="H26" i="175"/>
  <c r="H28" i="175" s="1"/>
  <c r="F26" i="10"/>
  <c r="F29" i="10" s="1"/>
  <c r="F27" i="44"/>
  <c r="F26" i="44"/>
  <c r="F27" i="124" l="1"/>
  <c r="F26" i="124"/>
  <c r="F23" i="174"/>
  <c r="E14" i="67" s="1"/>
  <c r="D23" i="174"/>
  <c r="D14" i="67" s="1"/>
  <c r="G10" i="174"/>
  <c r="G11" i="174" s="1"/>
  <c r="G12" i="174" s="1"/>
  <c r="G13" i="174" s="1"/>
  <c r="G14" i="174" s="1"/>
  <c r="G15" i="174" s="1"/>
  <c r="G16" i="174" s="1"/>
  <c r="G17" i="174" s="1"/>
  <c r="G18" i="174" s="1"/>
  <c r="G19" i="174" s="1"/>
  <c r="G20" i="174" s="1"/>
  <c r="G21" i="174" s="1"/>
  <c r="A6" i="174"/>
  <c r="D3" i="174"/>
  <c r="A3" i="174"/>
  <c r="A2" i="174"/>
  <c r="A1" i="174"/>
  <c r="F26" i="122"/>
  <c r="H23" i="174" l="1"/>
  <c r="F14" i="67" s="1"/>
  <c r="H9" i="174"/>
  <c r="H10" i="174" s="1"/>
  <c r="H11" i="174" s="1"/>
  <c r="H12" i="174" s="1"/>
  <c r="H13" i="174" s="1"/>
  <c r="H14" i="174" s="1"/>
  <c r="H15" i="174" s="1"/>
  <c r="H16" i="174" s="1"/>
  <c r="H17" i="174" s="1"/>
  <c r="H18" i="174" s="1"/>
  <c r="H19" i="174" s="1"/>
  <c r="H20" i="174" s="1"/>
  <c r="H21" i="174" s="1"/>
  <c r="F26" i="161"/>
  <c r="D31" i="156" l="1"/>
  <c r="H30" i="156"/>
  <c r="F34" i="172"/>
  <c r="H27" i="172"/>
  <c r="H28" i="172"/>
  <c r="H29" i="172"/>
  <c r="H30" i="172"/>
  <c r="H31" i="172"/>
  <c r="H32" i="172"/>
  <c r="H33" i="172"/>
  <c r="H26" i="172"/>
  <c r="D34" i="172"/>
  <c r="F23" i="172"/>
  <c r="E14" i="71" s="1"/>
  <c r="D23" i="172"/>
  <c r="D14" i="71" s="1"/>
  <c r="G10" i="172"/>
  <c r="G11" i="172" s="1"/>
  <c r="G12" i="172" s="1"/>
  <c r="G13" i="172" s="1"/>
  <c r="G14" i="172" s="1"/>
  <c r="G15" i="172" s="1"/>
  <c r="G16" i="172" s="1"/>
  <c r="G17" i="172" s="1"/>
  <c r="G18" i="172" s="1"/>
  <c r="G19" i="172" s="1"/>
  <c r="G20" i="172" s="1"/>
  <c r="G21" i="172" s="1"/>
  <c r="A6" i="172"/>
  <c r="D3" i="172"/>
  <c r="A3" i="172"/>
  <c r="A2" i="172"/>
  <c r="A1" i="172"/>
  <c r="F30" i="121"/>
  <c r="F27" i="119"/>
  <c r="F26" i="155"/>
  <c r="F23" i="171"/>
  <c r="E15" i="43" s="1"/>
  <c r="D23" i="171"/>
  <c r="G10" i="171"/>
  <c r="G11" i="171" s="1"/>
  <c r="G12" i="171" s="1"/>
  <c r="G13" i="171" s="1"/>
  <c r="G14" i="171" s="1"/>
  <c r="G15" i="171" s="1"/>
  <c r="G16" i="171" s="1"/>
  <c r="G17" i="171" s="1"/>
  <c r="G18" i="171" s="1"/>
  <c r="G19" i="171" s="1"/>
  <c r="G20" i="171" s="1"/>
  <c r="G21" i="171" s="1"/>
  <c r="A6" i="171"/>
  <c r="D3" i="171"/>
  <c r="A3" i="171"/>
  <c r="A2" i="171"/>
  <c r="A1" i="171"/>
  <c r="F27" i="110"/>
  <c r="F26" i="110"/>
  <c r="H27" i="170"/>
  <c r="H28" i="170"/>
  <c r="H29" i="170"/>
  <c r="H26" i="170"/>
  <c r="F23" i="170"/>
  <c r="E14" i="59" s="1"/>
  <c r="D23" i="170"/>
  <c r="D14" i="59" s="1"/>
  <c r="G10" i="170"/>
  <c r="G11" i="170" s="1"/>
  <c r="G12" i="170" s="1"/>
  <c r="G13" i="170" s="1"/>
  <c r="G14" i="170" s="1"/>
  <c r="G15" i="170" s="1"/>
  <c r="G16" i="170" s="1"/>
  <c r="G17" i="170" s="1"/>
  <c r="G18" i="170" s="1"/>
  <c r="G19" i="170" s="1"/>
  <c r="G20" i="170" s="1"/>
  <c r="G21" i="170" s="1"/>
  <c r="A6" i="170"/>
  <c r="D3" i="170"/>
  <c r="A3" i="170"/>
  <c r="A2" i="170"/>
  <c r="A1" i="170"/>
  <c r="F30" i="169"/>
  <c r="H27" i="169"/>
  <c r="H28" i="169"/>
  <c r="H29" i="169"/>
  <c r="H26" i="169"/>
  <c r="D30" i="169"/>
  <c r="D13" i="130" s="1"/>
  <c r="F23" i="169"/>
  <c r="E13" i="130" s="1"/>
  <c r="D23" i="169"/>
  <c r="G10" i="169"/>
  <c r="G11" i="169" s="1"/>
  <c r="G12" i="169" s="1"/>
  <c r="G13" i="169" s="1"/>
  <c r="G14" i="169" s="1"/>
  <c r="G15" i="169" s="1"/>
  <c r="G16" i="169" s="1"/>
  <c r="G17" i="169" s="1"/>
  <c r="G18" i="169" s="1"/>
  <c r="G19" i="169" s="1"/>
  <c r="G20" i="169" s="1"/>
  <c r="G21" i="169" s="1"/>
  <c r="A6" i="169"/>
  <c r="D3" i="169"/>
  <c r="A3" i="169"/>
  <c r="A2" i="169"/>
  <c r="A1" i="169"/>
  <c r="H32" i="170" l="1"/>
  <c r="H23" i="171"/>
  <c r="F15" i="43" s="1"/>
  <c r="D15" i="43"/>
  <c r="H34" i="172"/>
  <c r="H9" i="172"/>
  <c r="H10" i="172" s="1"/>
  <c r="H11" i="172" s="1"/>
  <c r="H12" i="172" s="1"/>
  <c r="H13" i="172" s="1"/>
  <c r="H14" i="172" s="1"/>
  <c r="H15" i="172" s="1"/>
  <c r="H16" i="172" s="1"/>
  <c r="H17" i="172" s="1"/>
  <c r="H18" i="172" s="1"/>
  <c r="H19" i="172" s="1"/>
  <c r="H20" i="172" s="1"/>
  <c r="H21" i="172" s="1"/>
  <c r="H23" i="172"/>
  <c r="F14" i="71" s="1"/>
  <c r="H9" i="171"/>
  <c r="H10" i="171" s="1"/>
  <c r="H11" i="171" s="1"/>
  <c r="H12" i="171" s="1"/>
  <c r="H13" i="171" s="1"/>
  <c r="H14" i="171" s="1"/>
  <c r="H15" i="171" s="1"/>
  <c r="H16" i="171" s="1"/>
  <c r="H17" i="171" s="1"/>
  <c r="H18" i="171" s="1"/>
  <c r="H19" i="171" s="1"/>
  <c r="H20" i="171" s="1"/>
  <c r="H21" i="171" s="1"/>
  <c r="H9" i="170"/>
  <c r="H10" i="170" s="1"/>
  <c r="H11" i="170" s="1"/>
  <c r="H12" i="170" s="1"/>
  <c r="H13" i="170" s="1"/>
  <c r="H14" i="170" s="1"/>
  <c r="H15" i="170" s="1"/>
  <c r="H16" i="170" s="1"/>
  <c r="H17" i="170" s="1"/>
  <c r="H18" i="170" s="1"/>
  <c r="H19" i="170" s="1"/>
  <c r="H20" i="170" s="1"/>
  <c r="H21" i="170" s="1"/>
  <c r="H23" i="170"/>
  <c r="F14" i="59" s="1"/>
  <c r="H30" i="169"/>
  <c r="H23" i="169"/>
  <c r="F13" i="130" s="1"/>
  <c r="H9" i="169"/>
  <c r="H10" i="169" s="1"/>
  <c r="H11" i="169" s="1"/>
  <c r="H12" i="169" s="1"/>
  <c r="H13" i="169" s="1"/>
  <c r="H14" i="169" s="1"/>
  <c r="H15" i="169" s="1"/>
  <c r="H16" i="169" s="1"/>
  <c r="H17" i="169" s="1"/>
  <c r="H18" i="169" s="1"/>
  <c r="H19" i="169" s="1"/>
  <c r="H20" i="169" s="1"/>
  <c r="H21" i="169" s="1"/>
  <c r="F27" i="168" l="1"/>
  <c r="H27" i="168" s="1"/>
  <c r="F26" i="168"/>
  <c r="H26" i="168" s="1"/>
  <c r="D31" i="168"/>
  <c r="H30" i="168"/>
  <c r="H29" i="168"/>
  <c r="H28" i="168"/>
  <c r="F23" i="168"/>
  <c r="E10" i="96" s="1"/>
  <c r="D23" i="168"/>
  <c r="D10" i="96" s="1"/>
  <c r="G10" i="168"/>
  <c r="G11" i="168" s="1"/>
  <c r="G12" i="168" s="1"/>
  <c r="G13" i="168" s="1"/>
  <c r="G14" i="168" s="1"/>
  <c r="G15" i="168" s="1"/>
  <c r="G16" i="168" s="1"/>
  <c r="G17" i="168" s="1"/>
  <c r="G18" i="168" s="1"/>
  <c r="G19" i="168" s="1"/>
  <c r="G20" i="168" s="1"/>
  <c r="G21" i="168" s="1"/>
  <c r="H9" i="168"/>
  <c r="H10" i="168" s="1"/>
  <c r="H11" i="168" s="1"/>
  <c r="H12" i="168" s="1"/>
  <c r="H13" i="168" s="1"/>
  <c r="H14" i="168" s="1"/>
  <c r="H15" i="168" s="1"/>
  <c r="H16" i="168" s="1"/>
  <c r="H17" i="168" s="1"/>
  <c r="H18" i="168" s="1"/>
  <c r="H19" i="168" s="1"/>
  <c r="H20" i="168" s="1"/>
  <c r="H21" i="168" s="1"/>
  <c r="A6" i="168"/>
  <c r="D3" i="168"/>
  <c r="A3" i="168"/>
  <c r="A2" i="168"/>
  <c r="A1" i="168"/>
  <c r="F31" i="168" l="1"/>
  <c r="H31" i="168"/>
  <c r="H23" i="168"/>
  <c r="F10" i="96" s="1"/>
  <c r="F28" i="124"/>
  <c r="D28" i="167"/>
  <c r="H27" i="167"/>
  <c r="F28" i="167"/>
  <c r="F23" i="167"/>
  <c r="E14" i="43" s="1"/>
  <c r="D23" i="167"/>
  <c r="D14" i="43" s="1"/>
  <c r="G10" i="167"/>
  <c r="G11" i="167" s="1"/>
  <c r="G12" i="167" s="1"/>
  <c r="G13" i="167" s="1"/>
  <c r="G14" i="167" s="1"/>
  <c r="G15" i="167" s="1"/>
  <c r="G16" i="167" s="1"/>
  <c r="G17" i="167" s="1"/>
  <c r="G18" i="167" s="1"/>
  <c r="G19" i="167" s="1"/>
  <c r="G20" i="167" s="1"/>
  <c r="G21" i="167" s="1"/>
  <c r="A6" i="167"/>
  <c r="D3" i="167"/>
  <c r="A3" i="167"/>
  <c r="A2" i="167"/>
  <c r="A1" i="167"/>
  <c r="F29" i="121"/>
  <c r="I11" i="117"/>
  <c r="I12" i="117" s="1"/>
  <c r="I14" i="117" s="1"/>
  <c r="I16" i="117" s="1"/>
  <c r="H23" i="167" l="1"/>
  <c r="F14" i="43" s="1"/>
  <c r="H9" i="167"/>
  <c r="H10" i="167" s="1"/>
  <c r="H11" i="167" s="1"/>
  <c r="H12" i="167" s="1"/>
  <c r="H13" i="167" s="1"/>
  <c r="H14" i="167" s="1"/>
  <c r="H15" i="167" s="1"/>
  <c r="H16" i="167" s="1"/>
  <c r="H17" i="167" s="1"/>
  <c r="H18" i="167" s="1"/>
  <c r="H19" i="167" s="1"/>
  <c r="H20" i="167" s="1"/>
  <c r="H21" i="167" s="1"/>
  <c r="H26" i="167"/>
  <c r="H28" i="167" s="1"/>
  <c r="H27" i="166"/>
  <c r="H28" i="166"/>
  <c r="F29" i="166"/>
  <c r="D29" i="166"/>
  <c r="H26" i="166"/>
  <c r="F23" i="166"/>
  <c r="E13" i="63" s="1"/>
  <c r="D23" i="166"/>
  <c r="D13" i="63" s="1"/>
  <c r="G10" i="166"/>
  <c r="G11" i="166" s="1"/>
  <c r="G12" i="166" s="1"/>
  <c r="G13" i="166" s="1"/>
  <c r="G14" i="166" s="1"/>
  <c r="G15" i="166" s="1"/>
  <c r="G16" i="166" s="1"/>
  <c r="G17" i="166" s="1"/>
  <c r="G18" i="166" s="1"/>
  <c r="G19" i="166" s="1"/>
  <c r="G20" i="166" s="1"/>
  <c r="G21" i="166" s="1"/>
  <c r="H9" i="166"/>
  <c r="H10" i="166" s="1"/>
  <c r="H11" i="166" s="1"/>
  <c r="H12" i="166" s="1"/>
  <c r="H13" i="166" s="1"/>
  <c r="H14" i="166" s="1"/>
  <c r="H15" i="166" s="1"/>
  <c r="H16" i="166" s="1"/>
  <c r="H17" i="166" s="1"/>
  <c r="H18" i="166" s="1"/>
  <c r="H19" i="166" s="1"/>
  <c r="H20" i="166" s="1"/>
  <c r="H21" i="166" s="1"/>
  <c r="A6" i="166"/>
  <c r="D3" i="166"/>
  <c r="A3" i="166"/>
  <c r="A2" i="166"/>
  <c r="A1" i="166"/>
  <c r="D27" i="109"/>
  <c r="D26" i="109"/>
  <c r="F27" i="109"/>
  <c r="F26" i="109"/>
  <c r="H29" i="166" l="1"/>
  <c r="H23" i="166"/>
  <c r="F13" i="63" s="1"/>
  <c r="F27" i="19"/>
  <c r="D27" i="56"/>
  <c r="D26" i="56"/>
  <c r="F26" i="56"/>
  <c r="F27" i="116"/>
  <c r="F26" i="116"/>
  <c r="F26" i="156"/>
  <c r="F31" i="156" s="1"/>
  <c r="F31" i="165"/>
  <c r="H27" i="165"/>
  <c r="H28" i="165"/>
  <c r="H29" i="165"/>
  <c r="H30" i="165"/>
  <c r="H26" i="165"/>
  <c r="D31" i="165"/>
  <c r="F23" i="165"/>
  <c r="E13" i="51" s="1"/>
  <c r="D23" i="165"/>
  <c r="D13" i="51" s="1"/>
  <c r="G10" i="165"/>
  <c r="G11" i="165" s="1"/>
  <c r="G12" i="165" s="1"/>
  <c r="G13" i="165" s="1"/>
  <c r="G14" i="165" s="1"/>
  <c r="G15" i="165" s="1"/>
  <c r="G16" i="165" s="1"/>
  <c r="G17" i="165" s="1"/>
  <c r="G18" i="165" s="1"/>
  <c r="G19" i="165" s="1"/>
  <c r="G20" i="165" s="1"/>
  <c r="G21" i="165" s="1"/>
  <c r="H9" i="165"/>
  <c r="H10" i="165" s="1"/>
  <c r="H11" i="165" s="1"/>
  <c r="H12" i="165" s="1"/>
  <c r="H13" i="165" s="1"/>
  <c r="H14" i="165" s="1"/>
  <c r="H15" i="165" s="1"/>
  <c r="H16" i="165" s="1"/>
  <c r="H17" i="165" s="1"/>
  <c r="H18" i="165" s="1"/>
  <c r="H19" i="165" s="1"/>
  <c r="H20" i="165" s="1"/>
  <c r="H21" i="165" s="1"/>
  <c r="A6" i="165"/>
  <c r="D3" i="165"/>
  <c r="A3" i="165"/>
  <c r="A2" i="165"/>
  <c r="A1" i="165"/>
  <c r="H31" i="165" l="1"/>
  <c r="H23" i="165"/>
  <c r="F13" i="51" s="1"/>
  <c r="F27" i="72"/>
  <c r="F28" i="68" l="1"/>
  <c r="F27" i="68"/>
  <c r="F26" i="68"/>
  <c r="F27" i="80" l="1"/>
  <c r="F23" i="164"/>
  <c r="E15" i="55" s="1"/>
  <c r="D23" i="164"/>
  <c r="G10" i="164"/>
  <c r="G11" i="164" s="1"/>
  <c r="G12" i="164" s="1"/>
  <c r="G13" i="164" s="1"/>
  <c r="G14" i="164" s="1"/>
  <c r="G15" i="164" s="1"/>
  <c r="G16" i="164" s="1"/>
  <c r="G17" i="164" s="1"/>
  <c r="G18" i="164" s="1"/>
  <c r="G19" i="164" s="1"/>
  <c r="G20" i="164" s="1"/>
  <c r="G21" i="164" s="1"/>
  <c r="A6" i="164"/>
  <c r="D3" i="164"/>
  <c r="A3" i="164"/>
  <c r="A2" i="164"/>
  <c r="H27" i="163"/>
  <c r="H28" i="163"/>
  <c r="H29" i="163"/>
  <c r="H26" i="163"/>
  <c r="F30" i="163"/>
  <c r="D30" i="163"/>
  <c r="F23" i="163"/>
  <c r="E13" i="71" s="1"/>
  <c r="D23" i="163"/>
  <c r="D13" i="71" s="1"/>
  <c r="G10" i="163"/>
  <c r="G11" i="163" s="1"/>
  <c r="G12" i="163" s="1"/>
  <c r="G13" i="163" s="1"/>
  <c r="G14" i="163" s="1"/>
  <c r="G15" i="163" s="1"/>
  <c r="G16" i="163" s="1"/>
  <c r="G17" i="163" s="1"/>
  <c r="G18" i="163" s="1"/>
  <c r="G19" i="163" s="1"/>
  <c r="G20" i="163" s="1"/>
  <c r="G21" i="163" s="1"/>
  <c r="A6" i="163"/>
  <c r="D3" i="163"/>
  <c r="A3" i="163"/>
  <c r="A2" i="163"/>
  <c r="A1" i="163"/>
  <c r="H23" i="164" l="1"/>
  <c r="F15" i="55" s="1"/>
  <c r="D15" i="55"/>
  <c r="H30" i="163"/>
  <c r="H9" i="164"/>
  <c r="H10" i="164" s="1"/>
  <c r="H11" i="164" s="1"/>
  <c r="H12" i="164" s="1"/>
  <c r="H13" i="164" s="1"/>
  <c r="H14" i="164" s="1"/>
  <c r="H15" i="164" s="1"/>
  <c r="H16" i="164" s="1"/>
  <c r="H17" i="164" s="1"/>
  <c r="H18" i="164" s="1"/>
  <c r="H19" i="164" s="1"/>
  <c r="H20" i="164" s="1"/>
  <c r="H21" i="164" s="1"/>
  <c r="H23" i="163"/>
  <c r="F13" i="71" s="1"/>
  <c r="H9" i="163"/>
  <c r="H10" i="163" s="1"/>
  <c r="H11" i="163" s="1"/>
  <c r="H12" i="163" s="1"/>
  <c r="H13" i="163" s="1"/>
  <c r="H14" i="163" s="1"/>
  <c r="H15" i="163" s="1"/>
  <c r="H16" i="163" s="1"/>
  <c r="H17" i="163" s="1"/>
  <c r="H18" i="163" s="1"/>
  <c r="H19" i="163" s="1"/>
  <c r="H20" i="163" s="1"/>
  <c r="H21" i="163" s="1"/>
  <c r="D29" i="162" l="1"/>
  <c r="F23" i="162"/>
  <c r="E14" i="55" s="1"/>
  <c r="D23" i="162"/>
  <c r="D14" i="55" s="1"/>
  <c r="G10" i="162"/>
  <c r="G11" i="162" s="1"/>
  <c r="G12" i="162" s="1"/>
  <c r="G13" i="162" s="1"/>
  <c r="G14" i="162" s="1"/>
  <c r="G15" i="162" s="1"/>
  <c r="G16" i="162" s="1"/>
  <c r="G17" i="162" s="1"/>
  <c r="G18" i="162" s="1"/>
  <c r="G19" i="162" s="1"/>
  <c r="G20" i="162" s="1"/>
  <c r="G21" i="162" s="1"/>
  <c r="H9" i="162"/>
  <c r="H10" i="162" s="1"/>
  <c r="H11" i="162" s="1"/>
  <c r="H12" i="162" s="1"/>
  <c r="H13" i="162" s="1"/>
  <c r="H14" i="162" s="1"/>
  <c r="H15" i="162" s="1"/>
  <c r="H16" i="162" s="1"/>
  <c r="H17" i="162" s="1"/>
  <c r="H18" i="162" s="1"/>
  <c r="H19" i="162" s="1"/>
  <c r="H20" i="162" s="1"/>
  <c r="H21" i="162" s="1"/>
  <c r="A6" i="162"/>
  <c r="D3" i="162"/>
  <c r="A3" i="162"/>
  <c r="A2" i="162"/>
  <c r="A1" i="162"/>
  <c r="H23" i="162" l="1"/>
  <c r="F14" i="55" s="1"/>
  <c r="F30" i="161"/>
  <c r="D30" i="161"/>
  <c r="H27" i="161"/>
  <c r="H28" i="161"/>
  <c r="H29" i="161"/>
  <c r="H26" i="161"/>
  <c r="F23" i="161"/>
  <c r="E13" i="31" s="1"/>
  <c r="D23" i="161"/>
  <c r="D13" i="31" s="1"/>
  <c r="G10" i="161"/>
  <c r="G11" i="161" s="1"/>
  <c r="G12" i="161" s="1"/>
  <c r="G13" i="161" s="1"/>
  <c r="G14" i="161" s="1"/>
  <c r="G15" i="161" s="1"/>
  <c r="G16" i="161" s="1"/>
  <c r="G17" i="161" s="1"/>
  <c r="G18" i="161" s="1"/>
  <c r="G19" i="161" s="1"/>
  <c r="G20" i="161" s="1"/>
  <c r="G21" i="161" s="1"/>
  <c r="A6" i="161"/>
  <c r="D3" i="161"/>
  <c r="A3" i="161"/>
  <c r="A2" i="161"/>
  <c r="A1" i="161"/>
  <c r="H30" i="160"/>
  <c r="H32" i="160"/>
  <c r="H27" i="160"/>
  <c r="H28" i="160"/>
  <c r="H29" i="160"/>
  <c r="H31" i="160"/>
  <c r="F34" i="160"/>
  <c r="D34" i="160"/>
  <c r="H26" i="160"/>
  <c r="F23" i="160"/>
  <c r="E14" i="91" s="1"/>
  <c r="D23" i="160"/>
  <c r="D14" i="91" s="1"/>
  <c r="G10" i="160"/>
  <c r="G11" i="160" s="1"/>
  <c r="G12" i="160" s="1"/>
  <c r="G13" i="160" s="1"/>
  <c r="G14" i="160" s="1"/>
  <c r="G15" i="160" s="1"/>
  <c r="G16" i="160" s="1"/>
  <c r="G17" i="160" s="1"/>
  <c r="G18" i="160" s="1"/>
  <c r="G19" i="160" s="1"/>
  <c r="G20" i="160" s="1"/>
  <c r="G21" i="160" s="1"/>
  <c r="A6" i="160"/>
  <c r="D3" i="160"/>
  <c r="A3" i="160"/>
  <c r="A2" i="160"/>
  <c r="A1" i="160"/>
  <c r="F48" i="159"/>
  <c r="D48" i="159"/>
  <c r="H47" i="159"/>
  <c r="H46" i="159"/>
  <c r="H45" i="159"/>
  <c r="H44" i="159"/>
  <c r="F40" i="159"/>
  <c r="D40" i="159"/>
  <c r="H39" i="159"/>
  <c r="H38" i="159"/>
  <c r="H37" i="159"/>
  <c r="H36" i="159"/>
  <c r="D31" i="159"/>
  <c r="F31" i="159"/>
  <c r="H28" i="159"/>
  <c r="H29" i="159"/>
  <c r="H30" i="159"/>
  <c r="H27" i="159"/>
  <c r="F23" i="159"/>
  <c r="E13" i="126" s="1"/>
  <c r="D23" i="159"/>
  <c r="G10" i="159"/>
  <c r="G11" i="159" s="1"/>
  <c r="G12" i="159" s="1"/>
  <c r="G13" i="159" s="1"/>
  <c r="G14" i="159" s="1"/>
  <c r="G15" i="159" s="1"/>
  <c r="G16" i="159" s="1"/>
  <c r="G17" i="159" s="1"/>
  <c r="G18" i="159" s="1"/>
  <c r="G19" i="159" s="1"/>
  <c r="G20" i="159" s="1"/>
  <c r="G21" i="159" s="1"/>
  <c r="H9" i="159"/>
  <c r="H10" i="159" s="1"/>
  <c r="H11" i="159" s="1"/>
  <c r="H12" i="159" s="1"/>
  <c r="H13" i="159" s="1"/>
  <c r="H14" i="159" s="1"/>
  <c r="H15" i="159" s="1"/>
  <c r="H16" i="159" s="1"/>
  <c r="H17" i="159" s="1"/>
  <c r="H18" i="159" s="1"/>
  <c r="H19" i="159" s="1"/>
  <c r="H20" i="159" s="1"/>
  <c r="H21" i="159" s="1"/>
  <c r="A6" i="159"/>
  <c r="D3" i="159"/>
  <c r="A3" i="159"/>
  <c r="A2" i="159"/>
  <c r="A1" i="159"/>
  <c r="H23" i="159" l="1"/>
  <c r="F13" i="126" s="1"/>
  <c r="F51" i="159"/>
  <c r="D51" i="159"/>
  <c r="H40" i="159"/>
  <c r="H30" i="161"/>
  <c r="H31" i="159"/>
  <c r="H48" i="159"/>
  <c r="D13" i="126"/>
  <c r="H23" i="161"/>
  <c r="F13" i="31" s="1"/>
  <c r="H9" i="161"/>
  <c r="H10" i="161" s="1"/>
  <c r="H11" i="161" s="1"/>
  <c r="H12" i="161" s="1"/>
  <c r="H13" i="161" s="1"/>
  <c r="H14" i="161" s="1"/>
  <c r="H15" i="161" s="1"/>
  <c r="H16" i="161" s="1"/>
  <c r="H17" i="161" s="1"/>
  <c r="H18" i="161" s="1"/>
  <c r="H19" i="161" s="1"/>
  <c r="H20" i="161" s="1"/>
  <c r="H21" i="161" s="1"/>
  <c r="H23" i="160"/>
  <c r="F14" i="91" s="1"/>
  <c r="H34" i="160"/>
  <c r="H9" i="160"/>
  <c r="H10" i="160" s="1"/>
  <c r="H11" i="160" s="1"/>
  <c r="H12" i="160" s="1"/>
  <c r="H13" i="160" s="1"/>
  <c r="H14" i="160" s="1"/>
  <c r="H15" i="160" s="1"/>
  <c r="H16" i="160" s="1"/>
  <c r="H17" i="160" s="1"/>
  <c r="H18" i="160" s="1"/>
  <c r="H19" i="160" s="1"/>
  <c r="H20" i="160" s="1"/>
  <c r="H21" i="160" s="1"/>
  <c r="H51" i="159" l="1"/>
  <c r="F23" i="158"/>
  <c r="E14" i="18" s="1"/>
  <c r="D23" i="158"/>
  <c r="D14" i="18" s="1"/>
  <c r="G10" i="158"/>
  <c r="G11" i="158" s="1"/>
  <c r="G12" i="158" s="1"/>
  <c r="G13" i="158" s="1"/>
  <c r="G14" i="158" s="1"/>
  <c r="G15" i="158" s="1"/>
  <c r="G16" i="158" s="1"/>
  <c r="G17" i="158" s="1"/>
  <c r="G18" i="158" s="1"/>
  <c r="G19" i="158" s="1"/>
  <c r="G20" i="158" s="1"/>
  <c r="G21" i="158" s="1"/>
  <c r="A6" i="158"/>
  <c r="D3" i="158"/>
  <c r="A3" i="158"/>
  <c r="A2" i="158"/>
  <c r="A1" i="158"/>
  <c r="H9" i="158" l="1"/>
  <c r="H10" i="158" s="1"/>
  <c r="H11" i="158" s="1"/>
  <c r="H12" i="158" s="1"/>
  <c r="H13" i="158" s="1"/>
  <c r="H14" i="158" s="1"/>
  <c r="H15" i="158" s="1"/>
  <c r="H16" i="158" s="1"/>
  <c r="H17" i="158" s="1"/>
  <c r="H18" i="158" s="1"/>
  <c r="H19" i="158" s="1"/>
  <c r="H20" i="158" s="1"/>
  <c r="H21" i="158" s="1"/>
  <c r="H23" i="158"/>
  <c r="F14" i="18" s="1"/>
  <c r="F26" i="119"/>
  <c r="F28" i="121" l="1"/>
  <c r="F27" i="121"/>
  <c r="F26" i="121"/>
  <c r="H27" i="157"/>
  <c r="H28" i="157"/>
  <c r="H29" i="157"/>
  <c r="H30" i="157"/>
  <c r="H31" i="157"/>
  <c r="H32" i="157"/>
  <c r="H26" i="157"/>
  <c r="F23" i="157"/>
  <c r="E14" i="47" s="1"/>
  <c r="D23" i="157"/>
  <c r="G10" i="157"/>
  <c r="G11" i="157" s="1"/>
  <c r="G12" i="157" s="1"/>
  <c r="G13" i="157" s="1"/>
  <c r="G14" i="157" s="1"/>
  <c r="G15" i="157" s="1"/>
  <c r="G16" i="157" s="1"/>
  <c r="G17" i="157" s="1"/>
  <c r="G18" i="157" s="1"/>
  <c r="G19" i="157" s="1"/>
  <c r="G20" i="157" s="1"/>
  <c r="G21" i="157" s="1"/>
  <c r="H9" i="157"/>
  <c r="H10" i="157" s="1"/>
  <c r="H11" i="157" s="1"/>
  <c r="H12" i="157" s="1"/>
  <c r="H13" i="157" s="1"/>
  <c r="H14" i="157" s="1"/>
  <c r="H15" i="157" s="1"/>
  <c r="H16" i="157" s="1"/>
  <c r="H17" i="157" s="1"/>
  <c r="H18" i="157" s="1"/>
  <c r="H19" i="157" s="1"/>
  <c r="H20" i="157" s="1"/>
  <c r="H21" i="157" s="1"/>
  <c r="A6" i="157"/>
  <c r="D3" i="157"/>
  <c r="A3" i="157"/>
  <c r="A2" i="157"/>
  <c r="A1" i="157"/>
  <c r="H34" i="157" l="1"/>
  <c r="F32" i="121"/>
  <c r="H23" i="157"/>
  <c r="F14" i="47" s="1"/>
  <c r="D14" i="47"/>
  <c r="F29" i="22"/>
  <c r="H27" i="156" l="1"/>
  <c r="H28" i="156"/>
  <c r="H29" i="156"/>
  <c r="H26" i="156"/>
  <c r="F23" i="156"/>
  <c r="E13" i="47" s="1"/>
  <c r="D23" i="156"/>
  <c r="G10" i="156"/>
  <c r="G11" i="156" s="1"/>
  <c r="G12" i="156" s="1"/>
  <c r="G13" i="156" s="1"/>
  <c r="G14" i="156" s="1"/>
  <c r="G15" i="156" s="1"/>
  <c r="G16" i="156" s="1"/>
  <c r="G17" i="156" s="1"/>
  <c r="G18" i="156" s="1"/>
  <c r="G19" i="156" s="1"/>
  <c r="G20" i="156" s="1"/>
  <c r="G21" i="156" s="1"/>
  <c r="H9" i="156"/>
  <c r="H10" i="156" s="1"/>
  <c r="H11" i="156" s="1"/>
  <c r="H12" i="156" s="1"/>
  <c r="H13" i="156" s="1"/>
  <c r="H14" i="156" s="1"/>
  <c r="H15" i="156" s="1"/>
  <c r="H16" i="156" s="1"/>
  <c r="H17" i="156" s="1"/>
  <c r="H18" i="156" s="1"/>
  <c r="H19" i="156" s="1"/>
  <c r="H20" i="156" s="1"/>
  <c r="H21" i="156" s="1"/>
  <c r="A6" i="156"/>
  <c r="D3" i="156"/>
  <c r="A3" i="156"/>
  <c r="A2" i="156"/>
  <c r="A1" i="156"/>
  <c r="F30" i="155"/>
  <c r="H27" i="155"/>
  <c r="H28" i="155"/>
  <c r="H29" i="155"/>
  <c r="H26" i="155"/>
  <c r="D30" i="155"/>
  <c r="F23" i="155"/>
  <c r="E13" i="91" s="1"/>
  <c r="D23" i="155"/>
  <c r="D13" i="91" s="1"/>
  <c r="G10" i="155"/>
  <c r="G11" i="155" s="1"/>
  <c r="G12" i="155" s="1"/>
  <c r="G13" i="155" s="1"/>
  <c r="G14" i="155" s="1"/>
  <c r="G15" i="155" s="1"/>
  <c r="G16" i="155" s="1"/>
  <c r="G17" i="155" s="1"/>
  <c r="G18" i="155" s="1"/>
  <c r="G19" i="155" s="1"/>
  <c r="G20" i="155" s="1"/>
  <c r="G21" i="155" s="1"/>
  <c r="A6" i="155"/>
  <c r="D3" i="155"/>
  <c r="A3" i="155"/>
  <c r="A2" i="155"/>
  <c r="A1" i="155"/>
  <c r="F28" i="154"/>
  <c r="E16" i="2" s="1"/>
  <c r="H27" i="154"/>
  <c r="D28" i="154"/>
  <c r="D16" i="2" s="1"/>
  <c r="F23" i="154"/>
  <c r="D23" i="154"/>
  <c r="G10" i="154"/>
  <c r="G11" i="154" s="1"/>
  <c r="G12" i="154" s="1"/>
  <c r="G13" i="154" s="1"/>
  <c r="G14" i="154" s="1"/>
  <c r="G15" i="154" s="1"/>
  <c r="G16" i="154" s="1"/>
  <c r="G17" i="154" s="1"/>
  <c r="G18" i="154" s="1"/>
  <c r="G19" i="154" s="1"/>
  <c r="G20" i="154" s="1"/>
  <c r="G21" i="154" s="1"/>
  <c r="H9" i="154"/>
  <c r="H10" i="154" s="1"/>
  <c r="H11" i="154" s="1"/>
  <c r="H12" i="154" s="1"/>
  <c r="H13" i="154" s="1"/>
  <c r="H14" i="154" s="1"/>
  <c r="H15" i="154" s="1"/>
  <c r="H16" i="154" s="1"/>
  <c r="H17" i="154" s="1"/>
  <c r="H18" i="154" s="1"/>
  <c r="H19" i="154" s="1"/>
  <c r="H20" i="154" s="1"/>
  <c r="H21" i="154" s="1"/>
  <c r="A6" i="154"/>
  <c r="D3" i="154"/>
  <c r="A3" i="154"/>
  <c r="A2" i="154"/>
  <c r="A1" i="154"/>
  <c r="G22" i="153"/>
  <c r="E12" i="150" s="1"/>
  <c r="H9" i="153"/>
  <c r="H10" i="153" s="1"/>
  <c r="H11" i="153" s="1"/>
  <c r="H12" i="153" s="1"/>
  <c r="H13" i="153" s="1"/>
  <c r="H14" i="153" s="1"/>
  <c r="H15" i="153" s="1"/>
  <c r="H16" i="153" s="1"/>
  <c r="H17" i="153" s="1"/>
  <c r="H18" i="153" s="1"/>
  <c r="H19" i="153" s="1"/>
  <c r="H20" i="153" s="1"/>
  <c r="A7" i="153"/>
  <c r="A3" i="153"/>
  <c r="A2" i="153"/>
  <c r="A1" i="153"/>
  <c r="G29" i="152"/>
  <c r="E11" i="150" s="1"/>
  <c r="D11" i="150"/>
  <c r="H10" i="152"/>
  <c r="H11" i="152" s="1"/>
  <c r="H12" i="152" s="1"/>
  <c r="H13" i="152" s="1"/>
  <c r="H14" i="152" s="1"/>
  <c r="H15" i="152" s="1"/>
  <c r="H16" i="152" s="1"/>
  <c r="H17" i="152" s="1"/>
  <c r="H18" i="152" s="1"/>
  <c r="H19" i="152" s="1"/>
  <c r="H20" i="152" s="1"/>
  <c r="H21" i="152" s="1"/>
  <c r="H22" i="152" s="1"/>
  <c r="H23" i="152" s="1"/>
  <c r="H24" i="152" s="1"/>
  <c r="H25" i="152" s="1"/>
  <c r="H26" i="152" s="1"/>
  <c r="H27" i="152" s="1"/>
  <c r="F9" i="152"/>
  <c r="I9" i="152" s="1"/>
  <c r="I10" i="152" s="1"/>
  <c r="I11" i="152" s="1"/>
  <c r="I12" i="152" s="1"/>
  <c r="I13" i="152" s="1"/>
  <c r="I14" i="152" s="1"/>
  <c r="I15" i="152" s="1"/>
  <c r="I16" i="152" s="1"/>
  <c r="I17" i="152" s="1"/>
  <c r="I18" i="152" s="1"/>
  <c r="I19" i="152" s="1"/>
  <c r="I20" i="152" s="1"/>
  <c r="I21" i="152" s="1"/>
  <c r="I22" i="152" s="1"/>
  <c r="I23" i="152" s="1"/>
  <c r="I24" i="152" s="1"/>
  <c r="I25" i="152" s="1"/>
  <c r="I26" i="152" s="1"/>
  <c r="I27" i="152" s="1"/>
  <c r="A7" i="152"/>
  <c r="A3" i="152"/>
  <c r="A2" i="152"/>
  <c r="A1" i="152"/>
  <c r="F28" i="151"/>
  <c r="D28" i="151"/>
  <c r="H27" i="151"/>
  <c r="H26" i="151"/>
  <c r="F23" i="151"/>
  <c r="E10" i="150" s="1"/>
  <c r="D23" i="151"/>
  <c r="D10" i="150" s="1"/>
  <c r="G10" i="151"/>
  <c r="G11" i="151" s="1"/>
  <c r="G12" i="151" s="1"/>
  <c r="G13" i="151" s="1"/>
  <c r="G14" i="151" s="1"/>
  <c r="G15" i="151" s="1"/>
  <c r="G16" i="151" s="1"/>
  <c r="G17" i="151" s="1"/>
  <c r="G18" i="151" s="1"/>
  <c r="G19" i="151" s="1"/>
  <c r="G20" i="151" s="1"/>
  <c r="G21" i="151" s="1"/>
  <c r="A6" i="151"/>
  <c r="D3" i="151"/>
  <c r="A3" i="151"/>
  <c r="A2" i="151"/>
  <c r="A1" i="151"/>
  <c r="G22" i="149"/>
  <c r="E12" i="146" s="1"/>
  <c r="H9" i="149"/>
  <c r="H10" i="149" s="1"/>
  <c r="H11" i="149" s="1"/>
  <c r="H12" i="149" s="1"/>
  <c r="H13" i="149" s="1"/>
  <c r="H14" i="149" s="1"/>
  <c r="H15" i="149" s="1"/>
  <c r="H16" i="149" s="1"/>
  <c r="H17" i="149" s="1"/>
  <c r="H18" i="149" s="1"/>
  <c r="H19" i="149" s="1"/>
  <c r="H20" i="149" s="1"/>
  <c r="A7" i="149"/>
  <c r="A3" i="149"/>
  <c r="A2" i="149"/>
  <c r="A1" i="149"/>
  <c r="G29" i="148"/>
  <c r="E11" i="146" s="1"/>
  <c r="H10" i="148"/>
  <c r="H11" i="148" s="1"/>
  <c r="H12" i="148" s="1"/>
  <c r="H13" i="148" s="1"/>
  <c r="H14" i="148" s="1"/>
  <c r="H15" i="148" s="1"/>
  <c r="H16" i="148" s="1"/>
  <c r="H17" i="148" s="1"/>
  <c r="H18" i="148" s="1"/>
  <c r="H19" i="148" s="1"/>
  <c r="H20" i="148" s="1"/>
  <c r="H21" i="148" s="1"/>
  <c r="H22" i="148" s="1"/>
  <c r="F9" i="148"/>
  <c r="I9" i="148" s="1"/>
  <c r="I10" i="148" s="1"/>
  <c r="I11" i="148" s="1"/>
  <c r="I12" i="148" s="1"/>
  <c r="I13" i="148" s="1"/>
  <c r="I14" i="148" s="1"/>
  <c r="I15" i="148" s="1"/>
  <c r="I16" i="148" s="1"/>
  <c r="I17" i="148" s="1"/>
  <c r="I18" i="148" s="1"/>
  <c r="I19" i="148" s="1"/>
  <c r="I20" i="148" s="1"/>
  <c r="I21" i="148" s="1"/>
  <c r="I22" i="148" s="1"/>
  <c r="I23" i="148" s="1"/>
  <c r="I24" i="148" s="1"/>
  <c r="I25" i="148" s="1"/>
  <c r="I26" i="148" s="1"/>
  <c r="I27" i="148" s="1"/>
  <c r="A7" i="148"/>
  <c r="A3" i="148"/>
  <c r="A2" i="148"/>
  <c r="A1" i="148"/>
  <c r="F28" i="147"/>
  <c r="D28" i="147"/>
  <c r="H27" i="147"/>
  <c r="H26" i="147"/>
  <c r="F23" i="147"/>
  <c r="E10" i="146" s="1"/>
  <c r="D23" i="147"/>
  <c r="D10" i="146" s="1"/>
  <c r="G10" i="147"/>
  <c r="G11" i="147" s="1"/>
  <c r="G12" i="147" s="1"/>
  <c r="G13" i="147" s="1"/>
  <c r="G14" i="147" s="1"/>
  <c r="G15" i="147" s="1"/>
  <c r="G16" i="147" s="1"/>
  <c r="G17" i="147" s="1"/>
  <c r="G18" i="147" s="1"/>
  <c r="G19" i="147" s="1"/>
  <c r="G20" i="147" s="1"/>
  <c r="G21" i="147" s="1"/>
  <c r="A6" i="147"/>
  <c r="D3" i="147"/>
  <c r="A3" i="147"/>
  <c r="A2" i="147"/>
  <c r="A1" i="147"/>
  <c r="G22" i="145"/>
  <c r="H9" i="145"/>
  <c r="H10" i="145" s="1"/>
  <c r="H11" i="145" s="1"/>
  <c r="H12" i="145" s="1"/>
  <c r="H13" i="145" s="1"/>
  <c r="H14" i="145" s="1"/>
  <c r="H15" i="145" s="1"/>
  <c r="H16" i="145" s="1"/>
  <c r="H17" i="145" s="1"/>
  <c r="H18" i="145" s="1"/>
  <c r="H19" i="145" s="1"/>
  <c r="H20" i="145" s="1"/>
  <c r="A7" i="145"/>
  <c r="A3" i="145"/>
  <c r="A2" i="145"/>
  <c r="A1" i="145"/>
  <c r="G23" i="144"/>
  <c r="E11" i="142" s="1"/>
  <c r="H10" i="144"/>
  <c r="H11" i="144" s="1"/>
  <c r="H12" i="144" s="1"/>
  <c r="H13" i="144" s="1"/>
  <c r="H14" i="144" s="1"/>
  <c r="H15" i="144" s="1"/>
  <c r="H16" i="144" s="1"/>
  <c r="H17" i="144" s="1"/>
  <c r="H18" i="144" s="1"/>
  <c r="H19" i="144" s="1"/>
  <c r="H20" i="144" s="1"/>
  <c r="H21" i="144" s="1"/>
  <c r="F9" i="144"/>
  <c r="F10" i="144" s="1"/>
  <c r="F11" i="144" s="1"/>
  <c r="F12" i="144" s="1"/>
  <c r="F13" i="144" s="1"/>
  <c r="F14" i="144" s="1"/>
  <c r="F15" i="144" s="1"/>
  <c r="F16" i="144" s="1"/>
  <c r="F17" i="144" s="1"/>
  <c r="F18" i="144" s="1"/>
  <c r="F19" i="144" s="1"/>
  <c r="F20" i="144" s="1"/>
  <c r="F21" i="144" s="1"/>
  <c r="A7" i="144"/>
  <c r="A3" i="144"/>
  <c r="A2" i="144"/>
  <c r="A1" i="144"/>
  <c r="F28" i="143"/>
  <c r="D28" i="143"/>
  <c r="H27" i="143"/>
  <c r="H26" i="143"/>
  <c r="F23" i="143"/>
  <c r="E10" i="142" s="1"/>
  <c r="D23" i="143"/>
  <c r="D10" i="142" s="1"/>
  <c r="G10" i="143"/>
  <c r="G11" i="143" s="1"/>
  <c r="G12" i="143" s="1"/>
  <c r="G13" i="143" s="1"/>
  <c r="G14" i="143" s="1"/>
  <c r="G15" i="143" s="1"/>
  <c r="G16" i="143" s="1"/>
  <c r="G17" i="143" s="1"/>
  <c r="G18" i="143" s="1"/>
  <c r="G19" i="143" s="1"/>
  <c r="G20" i="143" s="1"/>
  <c r="G21" i="143" s="1"/>
  <c r="A6" i="143"/>
  <c r="D3" i="143"/>
  <c r="A3" i="143"/>
  <c r="A2" i="143"/>
  <c r="A1" i="143"/>
  <c r="C14" i="142"/>
  <c r="G22" i="141"/>
  <c r="H9" i="141"/>
  <c r="H10" i="141" s="1"/>
  <c r="H11" i="141" s="1"/>
  <c r="H12" i="141" s="1"/>
  <c r="H13" i="141" s="1"/>
  <c r="H14" i="141" s="1"/>
  <c r="H15" i="141" s="1"/>
  <c r="H16" i="141" s="1"/>
  <c r="H17" i="141" s="1"/>
  <c r="H18" i="141" s="1"/>
  <c r="H19" i="141" s="1"/>
  <c r="H20" i="141" s="1"/>
  <c r="A7" i="141"/>
  <c r="A3" i="141"/>
  <c r="A2" i="141"/>
  <c r="A1" i="141"/>
  <c r="G33" i="140"/>
  <c r="E11" i="138" s="1"/>
  <c r="D11" i="138"/>
  <c r="H10" i="140"/>
  <c r="H11" i="140" s="1"/>
  <c r="H12" i="140" s="1"/>
  <c r="H13" i="140" s="1"/>
  <c r="H14" i="140" s="1"/>
  <c r="H15" i="140" s="1"/>
  <c r="H16" i="140" s="1"/>
  <c r="H17" i="140" s="1"/>
  <c r="H18" i="140" s="1"/>
  <c r="H19" i="140" s="1"/>
  <c r="H20" i="140" s="1"/>
  <c r="H21" i="140" s="1"/>
  <c r="H22" i="140" s="1"/>
  <c r="H23" i="140" s="1"/>
  <c r="H24" i="140" s="1"/>
  <c r="H25" i="140" s="1"/>
  <c r="H26" i="140" s="1"/>
  <c r="H27" i="140" s="1"/>
  <c r="H28" i="140" s="1"/>
  <c r="F9" i="140"/>
  <c r="I9" i="140" s="1"/>
  <c r="I10" i="140" s="1"/>
  <c r="I11" i="140" s="1"/>
  <c r="I12" i="140" s="1"/>
  <c r="I13" i="140" s="1"/>
  <c r="I14" i="140" s="1"/>
  <c r="I15" i="140" s="1"/>
  <c r="I16" i="140" s="1"/>
  <c r="I17" i="140" s="1"/>
  <c r="I18" i="140" s="1"/>
  <c r="I19" i="140" s="1"/>
  <c r="I20" i="140" s="1"/>
  <c r="I21" i="140" s="1"/>
  <c r="I22" i="140" s="1"/>
  <c r="I23" i="140" s="1"/>
  <c r="I24" i="140" s="1"/>
  <c r="I25" i="140" s="1"/>
  <c r="I26" i="140" s="1"/>
  <c r="I27" i="140" s="1"/>
  <c r="I28" i="140" s="1"/>
  <c r="A7" i="140"/>
  <c r="A3" i="140"/>
  <c r="A2" i="140"/>
  <c r="A1" i="140"/>
  <c r="F28" i="139"/>
  <c r="D28" i="139"/>
  <c r="H27" i="139"/>
  <c r="H26" i="139"/>
  <c r="F23" i="139"/>
  <c r="E10" i="138" s="1"/>
  <c r="D23" i="139"/>
  <c r="D10" i="138" s="1"/>
  <c r="G10" i="139"/>
  <c r="G11" i="139" s="1"/>
  <c r="G12" i="139" s="1"/>
  <c r="G13" i="139" s="1"/>
  <c r="G14" i="139" s="1"/>
  <c r="G15" i="139" s="1"/>
  <c r="G16" i="139" s="1"/>
  <c r="G17" i="139" s="1"/>
  <c r="G18" i="139" s="1"/>
  <c r="G19" i="139" s="1"/>
  <c r="G20" i="139" s="1"/>
  <c r="G21" i="139" s="1"/>
  <c r="A6" i="139"/>
  <c r="D3" i="139"/>
  <c r="A3" i="139"/>
  <c r="A2" i="139"/>
  <c r="A1" i="139"/>
  <c r="A1" i="133"/>
  <c r="A2" i="133"/>
  <c r="G22" i="137"/>
  <c r="E12" i="134" s="1"/>
  <c r="H9" i="137"/>
  <c r="H10" i="137" s="1"/>
  <c r="H11" i="137" s="1"/>
  <c r="H12" i="137" s="1"/>
  <c r="H13" i="137" s="1"/>
  <c r="H14" i="137" s="1"/>
  <c r="H15" i="137" s="1"/>
  <c r="H16" i="137" s="1"/>
  <c r="H17" i="137" s="1"/>
  <c r="H18" i="137" s="1"/>
  <c r="H19" i="137" s="1"/>
  <c r="H20" i="137" s="1"/>
  <c r="A7" i="137"/>
  <c r="A3" i="137"/>
  <c r="A2" i="137"/>
  <c r="A1" i="137"/>
  <c r="G29" i="136"/>
  <c r="E11" i="134" s="1"/>
  <c r="H10" i="136"/>
  <c r="H11" i="136" s="1"/>
  <c r="H12" i="136" s="1"/>
  <c r="H13" i="136" s="1"/>
  <c r="H14" i="136" s="1"/>
  <c r="H15" i="136" s="1"/>
  <c r="H16" i="136" s="1"/>
  <c r="H17" i="136" s="1"/>
  <c r="H18" i="136" s="1"/>
  <c r="H19" i="136" s="1"/>
  <c r="H20" i="136" s="1"/>
  <c r="H21" i="136" s="1"/>
  <c r="H22" i="136" s="1"/>
  <c r="H23" i="136" s="1"/>
  <c r="H24" i="136" s="1"/>
  <c r="H25" i="136" s="1"/>
  <c r="H26" i="136" s="1"/>
  <c r="H27" i="136" s="1"/>
  <c r="F9" i="136"/>
  <c r="I9" i="136" s="1"/>
  <c r="I10" i="136" s="1"/>
  <c r="I11" i="136" s="1"/>
  <c r="I12" i="136" s="1"/>
  <c r="I13" i="136" s="1"/>
  <c r="I14" i="136" s="1"/>
  <c r="I15" i="136" s="1"/>
  <c r="I16" i="136" s="1"/>
  <c r="I17" i="136" s="1"/>
  <c r="I18" i="136" s="1"/>
  <c r="I19" i="136" s="1"/>
  <c r="I20" i="136" s="1"/>
  <c r="I21" i="136" s="1"/>
  <c r="I22" i="136" s="1"/>
  <c r="I23" i="136" s="1"/>
  <c r="I24" i="136" s="1"/>
  <c r="I25" i="136" s="1"/>
  <c r="I26" i="136" s="1"/>
  <c r="I27" i="136" s="1"/>
  <c r="A7" i="136"/>
  <c r="A3" i="136"/>
  <c r="A2" i="136"/>
  <c r="A1" i="136"/>
  <c r="F28" i="135"/>
  <c r="D28" i="135"/>
  <c r="H27" i="135"/>
  <c r="H26" i="135"/>
  <c r="F23" i="135"/>
  <c r="E10" i="134" s="1"/>
  <c r="D23" i="135"/>
  <c r="D10" i="134" s="1"/>
  <c r="G10" i="135"/>
  <c r="G11" i="135" s="1"/>
  <c r="G12" i="135" s="1"/>
  <c r="G13" i="135" s="1"/>
  <c r="G14" i="135" s="1"/>
  <c r="G15" i="135" s="1"/>
  <c r="G16" i="135" s="1"/>
  <c r="G17" i="135" s="1"/>
  <c r="G18" i="135" s="1"/>
  <c r="G19" i="135" s="1"/>
  <c r="G20" i="135" s="1"/>
  <c r="G21" i="135" s="1"/>
  <c r="A6" i="135"/>
  <c r="D3" i="135"/>
  <c r="A3" i="135"/>
  <c r="A2" i="135"/>
  <c r="A1" i="135"/>
  <c r="G22" i="133"/>
  <c r="H9" i="133"/>
  <c r="H10" i="133" s="1"/>
  <c r="H11" i="133" s="1"/>
  <c r="H12" i="133" s="1"/>
  <c r="H13" i="133" s="1"/>
  <c r="H14" i="133" s="1"/>
  <c r="H15" i="133" s="1"/>
  <c r="H16" i="133" s="1"/>
  <c r="H17" i="133" s="1"/>
  <c r="H18" i="133" s="1"/>
  <c r="H19" i="133" s="1"/>
  <c r="H20" i="133" s="1"/>
  <c r="A7" i="133"/>
  <c r="A3" i="133"/>
  <c r="G29" i="132"/>
  <c r="E11" i="130" s="1"/>
  <c r="H10" i="132"/>
  <c r="H11" i="132" s="1"/>
  <c r="H12" i="132" s="1"/>
  <c r="H13" i="132" s="1"/>
  <c r="H14" i="132" s="1"/>
  <c r="H15" i="132" s="1"/>
  <c r="H16" i="132" s="1"/>
  <c r="H17" i="132" s="1"/>
  <c r="H18" i="132" s="1"/>
  <c r="H19" i="132" s="1"/>
  <c r="H20" i="132" s="1"/>
  <c r="H21" i="132" s="1"/>
  <c r="H22" i="132" s="1"/>
  <c r="H23" i="132" s="1"/>
  <c r="H24" i="132" s="1"/>
  <c r="H25" i="132" s="1"/>
  <c r="H26" i="132" s="1"/>
  <c r="H27" i="132" s="1"/>
  <c r="F9" i="132"/>
  <c r="A7" i="132"/>
  <c r="A3" i="132"/>
  <c r="A2" i="132"/>
  <c r="A1" i="132"/>
  <c r="F28" i="131"/>
  <c r="D28" i="131"/>
  <c r="H27" i="131"/>
  <c r="H26" i="131"/>
  <c r="F23" i="131"/>
  <c r="E10" i="130" s="1"/>
  <c r="D23" i="131"/>
  <c r="G10" i="131"/>
  <c r="G11" i="131" s="1"/>
  <c r="G12" i="131" s="1"/>
  <c r="G13" i="131" s="1"/>
  <c r="G14" i="131" s="1"/>
  <c r="G15" i="131" s="1"/>
  <c r="G16" i="131" s="1"/>
  <c r="G17" i="131" s="1"/>
  <c r="G18" i="131" s="1"/>
  <c r="G19" i="131" s="1"/>
  <c r="G20" i="131" s="1"/>
  <c r="G21" i="131" s="1"/>
  <c r="A6" i="131"/>
  <c r="D3" i="131"/>
  <c r="A3" i="131"/>
  <c r="A2" i="131"/>
  <c r="A1" i="131"/>
  <c r="G38" i="6"/>
  <c r="C8" i="104" s="1"/>
  <c r="G39" i="6"/>
  <c r="C8" i="130" s="1"/>
  <c r="G40" i="6"/>
  <c r="C8" i="138" s="1"/>
  <c r="C15" i="138" s="1"/>
  <c r="G41" i="6"/>
  <c r="C8" i="134" s="1"/>
  <c r="C15" i="134" s="1"/>
  <c r="G42" i="6"/>
  <c r="C8" i="146" s="1"/>
  <c r="C15" i="146" s="1"/>
  <c r="G43" i="6"/>
  <c r="C8" i="150" s="1"/>
  <c r="C15" i="150" s="1"/>
  <c r="C8" i="126"/>
  <c r="C19" i="126" s="1"/>
  <c r="G12" i="6"/>
  <c r="G22" i="129"/>
  <c r="E12" i="126" s="1"/>
  <c r="H9" i="129"/>
  <c r="H10" i="129" s="1"/>
  <c r="H11" i="129" s="1"/>
  <c r="H12" i="129" s="1"/>
  <c r="H13" i="129" s="1"/>
  <c r="H14" i="129" s="1"/>
  <c r="H15" i="129" s="1"/>
  <c r="H16" i="129" s="1"/>
  <c r="H17" i="129" s="1"/>
  <c r="H18" i="129" s="1"/>
  <c r="H19" i="129" s="1"/>
  <c r="H20" i="129" s="1"/>
  <c r="A7" i="129"/>
  <c r="A3" i="129"/>
  <c r="A2" i="129"/>
  <c r="G29" i="128"/>
  <c r="E11" i="126" s="1"/>
  <c r="H10" i="128"/>
  <c r="H11" i="128" s="1"/>
  <c r="H12" i="128" s="1"/>
  <c r="H13" i="128" s="1"/>
  <c r="H14" i="128" s="1"/>
  <c r="H15" i="128" s="1"/>
  <c r="H16" i="128" s="1"/>
  <c r="H17" i="128" s="1"/>
  <c r="H18" i="128" s="1"/>
  <c r="H19" i="128" s="1"/>
  <c r="H20" i="128" s="1"/>
  <c r="H21" i="128" s="1"/>
  <c r="H22" i="128" s="1"/>
  <c r="H23" i="128" s="1"/>
  <c r="H24" i="128" s="1"/>
  <c r="H25" i="128" s="1"/>
  <c r="H26" i="128" s="1"/>
  <c r="H27" i="128" s="1"/>
  <c r="F9" i="128"/>
  <c r="I9" i="128" s="1"/>
  <c r="I10" i="128" s="1"/>
  <c r="I11" i="128" s="1"/>
  <c r="I12" i="128" s="1"/>
  <c r="I13" i="128" s="1"/>
  <c r="I14" i="128" s="1"/>
  <c r="I15" i="128" s="1"/>
  <c r="I16" i="128" s="1"/>
  <c r="I17" i="128" s="1"/>
  <c r="I18" i="128" s="1"/>
  <c r="I19" i="128" s="1"/>
  <c r="I20" i="128" s="1"/>
  <c r="I21" i="128" s="1"/>
  <c r="I22" i="128" s="1"/>
  <c r="I23" i="128" s="1"/>
  <c r="I24" i="128" s="1"/>
  <c r="I25" i="128" s="1"/>
  <c r="I26" i="128" s="1"/>
  <c r="I27" i="128" s="1"/>
  <c r="A7" i="128"/>
  <c r="A3" i="128"/>
  <c r="A2" i="128"/>
  <c r="A1" i="128"/>
  <c r="F28" i="127"/>
  <c r="D28" i="127"/>
  <c r="H27" i="127"/>
  <c r="H26" i="127"/>
  <c r="F23" i="127"/>
  <c r="E10" i="126" s="1"/>
  <c r="D23" i="127"/>
  <c r="D10" i="126" s="1"/>
  <c r="G10" i="127"/>
  <c r="G11" i="127" s="1"/>
  <c r="G12" i="127" s="1"/>
  <c r="G13" i="127" s="1"/>
  <c r="G14" i="127" s="1"/>
  <c r="G15" i="127" s="1"/>
  <c r="G16" i="127" s="1"/>
  <c r="G17" i="127" s="1"/>
  <c r="G18" i="127" s="1"/>
  <c r="G19" i="127" s="1"/>
  <c r="G20" i="127" s="1"/>
  <c r="G21" i="127" s="1"/>
  <c r="H9" i="127"/>
  <c r="H10" i="127" s="1"/>
  <c r="H11" i="127" s="1"/>
  <c r="H12" i="127" s="1"/>
  <c r="H13" i="127" s="1"/>
  <c r="H14" i="127" s="1"/>
  <c r="H15" i="127" s="1"/>
  <c r="H16" i="127" s="1"/>
  <c r="H17" i="127" s="1"/>
  <c r="H18" i="127" s="1"/>
  <c r="H19" i="127" s="1"/>
  <c r="H20" i="127" s="1"/>
  <c r="H21" i="127" s="1"/>
  <c r="A6" i="127"/>
  <c r="D3" i="127"/>
  <c r="A3" i="127"/>
  <c r="A2" i="127"/>
  <c r="A1" i="127"/>
  <c r="H27" i="148" l="1"/>
  <c r="H23" i="148"/>
  <c r="H24" i="148" s="1"/>
  <c r="H25" i="148" s="1"/>
  <c r="H26" i="148" s="1"/>
  <c r="H31" i="156"/>
  <c r="E15" i="146"/>
  <c r="I42" i="6" s="1"/>
  <c r="E15" i="134"/>
  <c r="I41" i="6" s="1"/>
  <c r="E19" i="126"/>
  <c r="I12" i="6" s="1"/>
  <c r="D12" i="130"/>
  <c r="E12" i="130"/>
  <c r="E18" i="130" s="1"/>
  <c r="I39" i="6" s="1"/>
  <c r="D12" i="138"/>
  <c r="E12" i="138"/>
  <c r="E15" i="138" s="1"/>
  <c r="D12" i="142"/>
  <c r="E12" i="142"/>
  <c r="E14" i="142" s="1"/>
  <c r="E15" i="150"/>
  <c r="I43" i="6" s="1"/>
  <c r="H30" i="155"/>
  <c r="D12" i="134"/>
  <c r="F12" i="134" s="1"/>
  <c r="H23" i="156"/>
  <c r="F13" i="47" s="1"/>
  <c r="H28" i="151"/>
  <c r="F10" i="132"/>
  <c r="F11" i="132" s="1"/>
  <c r="F12" i="132" s="1"/>
  <c r="F13" i="132" s="1"/>
  <c r="F14" i="132" s="1"/>
  <c r="F15" i="132" s="1"/>
  <c r="F16" i="132" s="1"/>
  <c r="F17" i="132" s="1"/>
  <c r="F18" i="132" s="1"/>
  <c r="F19" i="132" s="1"/>
  <c r="F20" i="132" s="1"/>
  <c r="F21" i="132" s="1"/>
  <c r="F22" i="132" s="1"/>
  <c r="F23" i="132" s="1"/>
  <c r="F24" i="132" s="1"/>
  <c r="I29" i="148"/>
  <c r="H28" i="127"/>
  <c r="D12" i="146"/>
  <c r="F12" i="146" s="1"/>
  <c r="H23" i="127"/>
  <c r="F10" i="126" s="1"/>
  <c r="H28" i="135"/>
  <c r="H28" i="143"/>
  <c r="I29" i="132"/>
  <c r="I29" i="128"/>
  <c r="H28" i="139"/>
  <c r="H23" i="143"/>
  <c r="F10" i="142" s="1"/>
  <c r="H23" i="131"/>
  <c r="F10" i="130" s="1"/>
  <c r="I9" i="144"/>
  <c r="I10" i="144" s="1"/>
  <c r="I11" i="144" s="1"/>
  <c r="I12" i="144" s="1"/>
  <c r="I13" i="144" s="1"/>
  <c r="I14" i="144" s="1"/>
  <c r="I15" i="144" s="1"/>
  <c r="I16" i="144" s="1"/>
  <c r="I17" i="144" s="1"/>
  <c r="I18" i="144" s="1"/>
  <c r="I19" i="144" s="1"/>
  <c r="I20" i="144" s="1"/>
  <c r="I21" i="144" s="1"/>
  <c r="H28" i="131"/>
  <c r="H23" i="135"/>
  <c r="F10" i="134" s="1"/>
  <c r="I23" i="144"/>
  <c r="F11" i="142" s="1"/>
  <c r="D11" i="130"/>
  <c r="D13" i="47"/>
  <c r="I29" i="136"/>
  <c r="D11" i="142"/>
  <c r="H23" i="151"/>
  <c r="F10" i="150" s="1"/>
  <c r="H28" i="147"/>
  <c r="D10" i="130"/>
  <c r="H23" i="139"/>
  <c r="F10" i="138" s="1"/>
  <c r="H23" i="155"/>
  <c r="F13" i="91" s="1"/>
  <c r="H9" i="155"/>
  <c r="H10" i="155" s="1"/>
  <c r="H11" i="155" s="1"/>
  <c r="H12" i="155" s="1"/>
  <c r="H13" i="155" s="1"/>
  <c r="H14" i="155" s="1"/>
  <c r="H15" i="155" s="1"/>
  <c r="H16" i="155" s="1"/>
  <c r="H17" i="155" s="1"/>
  <c r="H18" i="155" s="1"/>
  <c r="H19" i="155" s="1"/>
  <c r="H20" i="155" s="1"/>
  <c r="H21" i="155" s="1"/>
  <c r="H23" i="154"/>
  <c r="H26" i="154"/>
  <c r="H28" i="154" s="1"/>
  <c r="F16" i="2" s="1"/>
  <c r="I29" i="152"/>
  <c r="F10" i="152"/>
  <c r="F11" i="152" s="1"/>
  <c r="F12" i="152" s="1"/>
  <c r="F13" i="152" s="1"/>
  <c r="F14" i="152" s="1"/>
  <c r="F15" i="152" s="1"/>
  <c r="F16" i="152" s="1"/>
  <c r="F17" i="152" s="1"/>
  <c r="F18" i="152" s="1"/>
  <c r="F19" i="152" s="1"/>
  <c r="F20" i="152" s="1"/>
  <c r="F21" i="152" s="1"/>
  <c r="F22" i="152" s="1"/>
  <c r="F23" i="152" s="1"/>
  <c r="F24" i="152" s="1"/>
  <c r="F25" i="152" s="1"/>
  <c r="F26" i="152" s="1"/>
  <c r="F27" i="152" s="1"/>
  <c r="H9" i="151"/>
  <c r="H10" i="151" s="1"/>
  <c r="H11" i="151" s="1"/>
  <c r="H12" i="151" s="1"/>
  <c r="H13" i="151" s="1"/>
  <c r="H14" i="151" s="1"/>
  <c r="H15" i="151" s="1"/>
  <c r="H16" i="151" s="1"/>
  <c r="H17" i="151" s="1"/>
  <c r="H18" i="151" s="1"/>
  <c r="H19" i="151" s="1"/>
  <c r="H20" i="151" s="1"/>
  <c r="H21" i="151" s="1"/>
  <c r="D12" i="150"/>
  <c r="F12" i="150" s="1"/>
  <c r="D11" i="146"/>
  <c r="F10" i="148"/>
  <c r="F11" i="148" s="1"/>
  <c r="F12" i="148" s="1"/>
  <c r="F13" i="148" s="1"/>
  <c r="F14" i="148" s="1"/>
  <c r="F15" i="148" s="1"/>
  <c r="F16" i="148" s="1"/>
  <c r="F17" i="148" s="1"/>
  <c r="F18" i="148" s="1"/>
  <c r="F19" i="148" s="1"/>
  <c r="F20" i="148" s="1"/>
  <c r="F21" i="148" s="1"/>
  <c r="F22" i="148" s="1"/>
  <c r="F23" i="148" s="1"/>
  <c r="F24" i="148" s="1"/>
  <c r="F25" i="148" s="1"/>
  <c r="F26" i="148" s="1"/>
  <c r="F27" i="148" s="1"/>
  <c r="H23" i="147"/>
  <c r="F10" i="146" s="1"/>
  <c r="H9" i="147"/>
  <c r="H10" i="147" s="1"/>
  <c r="H11" i="147" s="1"/>
  <c r="H12" i="147" s="1"/>
  <c r="H13" i="147" s="1"/>
  <c r="H14" i="147" s="1"/>
  <c r="H15" i="147" s="1"/>
  <c r="H16" i="147" s="1"/>
  <c r="H17" i="147" s="1"/>
  <c r="H18" i="147" s="1"/>
  <c r="H19" i="147" s="1"/>
  <c r="H20" i="147" s="1"/>
  <c r="H21" i="147" s="1"/>
  <c r="D11" i="134"/>
  <c r="F10" i="136"/>
  <c r="F11" i="136" s="1"/>
  <c r="F12" i="136" s="1"/>
  <c r="F13" i="136" s="1"/>
  <c r="F14" i="136" s="1"/>
  <c r="F15" i="136" s="1"/>
  <c r="F16" i="136" s="1"/>
  <c r="F17" i="136" s="1"/>
  <c r="F18" i="136" s="1"/>
  <c r="F19" i="136" s="1"/>
  <c r="F20" i="136" s="1"/>
  <c r="F21" i="136" s="1"/>
  <c r="F22" i="136" s="1"/>
  <c r="F23" i="136" s="1"/>
  <c r="F24" i="136" s="1"/>
  <c r="F25" i="136" s="1"/>
  <c r="F26" i="136" s="1"/>
  <c r="F27" i="136" s="1"/>
  <c r="H9" i="143"/>
  <c r="H10" i="143" s="1"/>
  <c r="H11" i="143" s="1"/>
  <c r="H12" i="143" s="1"/>
  <c r="H13" i="143" s="1"/>
  <c r="H14" i="143" s="1"/>
  <c r="H15" i="143" s="1"/>
  <c r="H16" i="143" s="1"/>
  <c r="H17" i="143" s="1"/>
  <c r="H18" i="143" s="1"/>
  <c r="H19" i="143" s="1"/>
  <c r="H20" i="143" s="1"/>
  <c r="H21" i="143" s="1"/>
  <c r="I33" i="140"/>
  <c r="F10" i="140"/>
  <c r="F11" i="140" s="1"/>
  <c r="F12" i="140" s="1"/>
  <c r="F13" i="140" s="1"/>
  <c r="F14" i="140" s="1"/>
  <c r="F15" i="140" s="1"/>
  <c r="F16" i="140" s="1"/>
  <c r="F17" i="140" s="1"/>
  <c r="F18" i="140" s="1"/>
  <c r="F19" i="140" s="1"/>
  <c r="F20" i="140" s="1"/>
  <c r="F21" i="140" s="1"/>
  <c r="F22" i="140" s="1"/>
  <c r="F23" i="140" s="1"/>
  <c r="F24" i="140" s="1"/>
  <c r="F25" i="140" s="1"/>
  <c r="F26" i="140" s="1"/>
  <c r="F27" i="140" s="1"/>
  <c r="F28" i="140" s="1"/>
  <c r="H9" i="139"/>
  <c r="H10" i="139" s="1"/>
  <c r="H11" i="139" s="1"/>
  <c r="H12" i="139" s="1"/>
  <c r="H13" i="139" s="1"/>
  <c r="H14" i="139" s="1"/>
  <c r="H15" i="139" s="1"/>
  <c r="H16" i="139" s="1"/>
  <c r="H17" i="139" s="1"/>
  <c r="H18" i="139" s="1"/>
  <c r="H19" i="139" s="1"/>
  <c r="H20" i="139" s="1"/>
  <c r="H21" i="139" s="1"/>
  <c r="I9" i="132"/>
  <c r="I10" i="132" s="1"/>
  <c r="I11" i="132" s="1"/>
  <c r="I12" i="132" s="1"/>
  <c r="I13" i="132" s="1"/>
  <c r="I14" i="132" s="1"/>
  <c r="I15" i="132" s="1"/>
  <c r="I16" i="132" s="1"/>
  <c r="I17" i="132" s="1"/>
  <c r="I18" i="132" s="1"/>
  <c r="I19" i="132" s="1"/>
  <c r="I20" i="132" s="1"/>
  <c r="I21" i="132" s="1"/>
  <c r="I22" i="132" s="1"/>
  <c r="I23" i="132" s="1"/>
  <c r="I24" i="132" s="1"/>
  <c r="I25" i="132" s="1"/>
  <c r="I26" i="132" s="1"/>
  <c r="I27" i="132" s="1"/>
  <c r="H9" i="135"/>
  <c r="H10" i="135" s="1"/>
  <c r="H11" i="135" s="1"/>
  <c r="H12" i="135" s="1"/>
  <c r="H13" i="135" s="1"/>
  <c r="H14" i="135" s="1"/>
  <c r="H15" i="135" s="1"/>
  <c r="H16" i="135" s="1"/>
  <c r="H17" i="135" s="1"/>
  <c r="H18" i="135" s="1"/>
  <c r="H19" i="135" s="1"/>
  <c r="H20" i="135" s="1"/>
  <c r="H21" i="135" s="1"/>
  <c r="C18" i="130"/>
  <c r="H9" i="131"/>
  <c r="H10" i="131" s="1"/>
  <c r="H11" i="131" s="1"/>
  <c r="H12" i="131" s="1"/>
  <c r="H13" i="131" s="1"/>
  <c r="H14" i="131" s="1"/>
  <c r="H15" i="131" s="1"/>
  <c r="H16" i="131" s="1"/>
  <c r="H17" i="131" s="1"/>
  <c r="H18" i="131" s="1"/>
  <c r="H19" i="131" s="1"/>
  <c r="H20" i="131" s="1"/>
  <c r="H21" i="131" s="1"/>
  <c r="D11" i="126"/>
  <c r="F10" i="128"/>
  <c r="F11" i="128" s="1"/>
  <c r="F12" i="128" s="1"/>
  <c r="F13" i="128" s="1"/>
  <c r="F14" i="128" s="1"/>
  <c r="F15" i="128" s="1"/>
  <c r="F16" i="128" s="1"/>
  <c r="F17" i="128" s="1"/>
  <c r="F18" i="128" s="1"/>
  <c r="F19" i="128" s="1"/>
  <c r="F20" i="128" s="1"/>
  <c r="F21" i="128" s="1"/>
  <c r="F22" i="128" s="1"/>
  <c r="F23" i="128" s="1"/>
  <c r="F24" i="128" s="1"/>
  <c r="D12" i="126"/>
  <c r="F12" i="126" s="1"/>
  <c r="H29" i="125"/>
  <c r="H28" i="125"/>
  <c r="H27" i="125"/>
  <c r="H26" i="125"/>
  <c r="F23" i="125"/>
  <c r="D23" i="125"/>
  <c r="G10" i="125"/>
  <c r="G11" i="125" s="1"/>
  <c r="G12" i="125" s="1"/>
  <c r="G13" i="125" s="1"/>
  <c r="G14" i="125" s="1"/>
  <c r="G15" i="125" s="1"/>
  <c r="G16" i="125" s="1"/>
  <c r="G17" i="125" s="1"/>
  <c r="G18" i="125" s="1"/>
  <c r="G19" i="125" s="1"/>
  <c r="G20" i="125" s="1"/>
  <c r="G21" i="125" s="1"/>
  <c r="A6" i="125"/>
  <c r="D3" i="125"/>
  <c r="A3" i="125"/>
  <c r="A2" i="125"/>
  <c r="A1" i="125"/>
  <c r="F12" i="138" l="1"/>
  <c r="F12" i="142"/>
  <c r="H32" i="125"/>
  <c r="E13" i="112"/>
  <c r="F11" i="146"/>
  <c r="F11" i="130"/>
  <c r="F11" i="126"/>
  <c r="D14" i="142"/>
  <c r="G14" i="142" s="1"/>
  <c r="D15" i="138"/>
  <c r="G15" i="138" s="1"/>
  <c r="K40" i="6" s="1"/>
  <c r="D15" i="134"/>
  <c r="F15" i="134" s="1"/>
  <c r="J41" i="6" s="1"/>
  <c r="D18" i="130"/>
  <c r="G18" i="130" s="1"/>
  <c r="K39" i="6" s="1"/>
  <c r="O42" i="6"/>
  <c r="D15" i="146"/>
  <c r="F15" i="146" s="1"/>
  <c r="J42" i="6" s="1"/>
  <c r="I40" i="6"/>
  <c r="H23" i="125"/>
  <c r="F13" i="112" s="1"/>
  <c r="O39" i="6"/>
  <c r="F12" i="130"/>
  <c r="O12" i="6"/>
  <c r="D13" i="112"/>
  <c r="F11" i="150"/>
  <c r="O43" i="6"/>
  <c r="F11" i="138"/>
  <c r="O40" i="6"/>
  <c r="F11" i="134"/>
  <c r="O41" i="6"/>
  <c r="D15" i="150"/>
  <c r="H43" i="6" s="1"/>
  <c r="D19" i="126"/>
  <c r="H12" i="6" s="1"/>
  <c r="H9" i="125"/>
  <c r="H10" i="125" s="1"/>
  <c r="H11" i="125" s="1"/>
  <c r="H12" i="125" s="1"/>
  <c r="H13" i="125" s="1"/>
  <c r="H14" i="125" s="1"/>
  <c r="H15" i="125" s="1"/>
  <c r="H16" i="125" s="1"/>
  <c r="H17" i="125" s="1"/>
  <c r="H18" i="125" s="1"/>
  <c r="H19" i="125" s="1"/>
  <c r="H20" i="125" s="1"/>
  <c r="H21" i="125" s="1"/>
  <c r="F14" i="142" l="1"/>
  <c r="G15" i="134"/>
  <c r="K41" i="6" s="1"/>
  <c r="H41" i="6"/>
  <c r="H40" i="6"/>
  <c r="H39" i="6"/>
  <c r="F18" i="130"/>
  <c r="J39" i="6" s="1"/>
  <c r="F15" i="138"/>
  <c r="J40" i="6" s="1"/>
  <c r="G15" i="146"/>
  <c r="K42" i="6" s="1"/>
  <c r="H42" i="6"/>
  <c r="G15" i="150"/>
  <c r="K43" i="6" s="1"/>
  <c r="F15" i="150"/>
  <c r="J43" i="6" s="1"/>
  <c r="G19" i="126"/>
  <c r="K12" i="6" s="1"/>
  <c r="F19" i="126"/>
  <c r="J12" i="6" s="1"/>
  <c r="D28" i="124"/>
  <c r="H27" i="124"/>
  <c r="H26" i="124"/>
  <c r="F23" i="124"/>
  <c r="E13" i="96" s="1"/>
  <c r="D23" i="124"/>
  <c r="D13" i="96" s="1"/>
  <c r="G10" i="124"/>
  <c r="G11" i="124" s="1"/>
  <c r="G12" i="124" s="1"/>
  <c r="G13" i="124" s="1"/>
  <c r="G14" i="124" s="1"/>
  <c r="G15" i="124" s="1"/>
  <c r="G16" i="124" s="1"/>
  <c r="G17" i="124" s="1"/>
  <c r="G18" i="124" s="1"/>
  <c r="G19" i="124" s="1"/>
  <c r="G20" i="124" s="1"/>
  <c r="G21" i="124" s="1"/>
  <c r="A6" i="124"/>
  <c r="D3" i="124"/>
  <c r="A3" i="124"/>
  <c r="A2" i="124"/>
  <c r="A1" i="124"/>
  <c r="H27" i="121"/>
  <c r="H28" i="121"/>
  <c r="H29" i="121"/>
  <c r="H30" i="121"/>
  <c r="H31" i="121"/>
  <c r="H26" i="121"/>
  <c r="D32" i="121"/>
  <c r="D27" i="3"/>
  <c r="D26" i="3"/>
  <c r="F26" i="3"/>
  <c r="H23" i="124" l="1"/>
  <c r="F13" i="96" s="1"/>
  <c r="H28" i="124"/>
  <c r="H9" i="124"/>
  <c r="H10" i="124" s="1"/>
  <c r="H11" i="124" s="1"/>
  <c r="H12" i="124" s="1"/>
  <c r="H13" i="124" s="1"/>
  <c r="H14" i="124" s="1"/>
  <c r="H15" i="124" s="1"/>
  <c r="H16" i="124" s="1"/>
  <c r="H17" i="124" s="1"/>
  <c r="H18" i="124" s="1"/>
  <c r="H19" i="124" s="1"/>
  <c r="H20" i="124" s="1"/>
  <c r="H21" i="124" s="1"/>
  <c r="H32" i="121"/>
  <c r="F28" i="123"/>
  <c r="D28" i="123"/>
  <c r="H27" i="123"/>
  <c r="H26" i="123"/>
  <c r="F23" i="123"/>
  <c r="E13" i="67" s="1"/>
  <c r="D23" i="123"/>
  <c r="D13" i="67" s="1"/>
  <c r="G10" i="123"/>
  <c r="G11" i="123" s="1"/>
  <c r="G12" i="123" s="1"/>
  <c r="G13" i="123" s="1"/>
  <c r="G14" i="123" s="1"/>
  <c r="G15" i="123" s="1"/>
  <c r="G16" i="123" s="1"/>
  <c r="G17" i="123" s="1"/>
  <c r="G18" i="123" s="1"/>
  <c r="G19" i="123" s="1"/>
  <c r="G20" i="123" s="1"/>
  <c r="G21" i="123" s="1"/>
  <c r="A6" i="123"/>
  <c r="D3" i="123"/>
  <c r="A3" i="123"/>
  <c r="A2" i="123"/>
  <c r="A1" i="123"/>
  <c r="H27" i="122"/>
  <c r="H28" i="122"/>
  <c r="F29" i="122"/>
  <c r="D29" i="122"/>
  <c r="H26" i="122"/>
  <c r="F23" i="122"/>
  <c r="E13" i="35" s="1"/>
  <c r="D23" i="122"/>
  <c r="D13" i="35" s="1"/>
  <c r="G10" i="122"/>
  <c r="G11" i="122" s="1"/>
  <c r="G12" i="122" s="1"/>
  <c r="G13" i="122" s="1"/>
  <c r="G14" i="122" s="1"/>
  <c r="G15" i="122" s="1"/>
  <c r="G16" i="122" s="1"/>
  <c r="G17" i="122" s="1"/>
  <c r="G18" i="122" s="1"/>
  <c r="G19" i="122" s="1"/>
  <c r="G20" i="122" s="1"/>
  <c r="G21" i="122" s="1"/>
  <c r="A6" i="122"/>
  <c r="D3" i="122"/>
  <c r="A3" i="122"/>
  <c r="A2" i="122"/>
  <c r="A1" i="122"/>
  <c r="F23" i="121"/>
  <c r="E13" i="43" s="1"/>
  <c r="D23" i="121"/>
  <c r="D13" i="43" s="1"/>
  <c r="G10" i="121"/>
  <c r="G11" i="121" s="1"/>
  <c r="G12" i="121" s="1"/>
  <c r="G13" i="121" s="1"/>
  <c r="G14" i="121" s="1"/>
  <c r="G15" i="121" s="1"/>
  <c r="G16" i="121" s="1"/>
  <c r="G17" i="121" s="1"/>
  <c r="G18" i="121" s="1"/>
  <c r="G19" i="121" s="1"/>
  <c r="G20" i="121" s="1"/>
  <c r="G21" i="121" s="1"/>
  <c r="A6" i="121"/>
  <c r="D3" i="121"/>
  <c r="A3" i="121"/>
  <c r="A2" i="121"/>
  <c r="A1" i="121"/>
  <c r="F28" i="22"/>
  <c r="H28" i="123" l="1"/>
  <c r="H23" i="123"/>
  <c r="F13" i="67" s="1"/>
  <c r="H9" i="123"/>
  <c r="H10" i="123" s="1"/>
  <c r="H11" i="123" s="1"/>
  <c r="H12" i="123" s="1"/>
  <c r="H13" i="123" s="1"/>
  <c r="H14" i="123" s="1"/>
  <c r="H15" i="123" s="1"/>
  <c r="H16" i="123" s="1"/>
  <c r="H17" i="123" s="1"/>
  <c r="H18" i="123" s="1"/>
  <c r="H19" i="123" s="1"/>
  <c r="H20" i="123" s="1"/>
  <c r="H21" i="123" s="1"/>
  <c r="H29" i="122"/>
  <c r="H23" i="122"/>
  <c r="F13" i="35" s="1"/>
  <c r="H9" i="122"/>
  <c r="H10" i="122" s="1"/>
  <c r="H11" i="122" s="1"/>
  <c r="H12" i="122" s="1"/>
  <c r="H13" i="122" s="1"/>
  <c r="H14" i="122" s="1"/>
  <c r="H15" i="122" s="1"/>
  <c r="H16" i="122" s="1"/>
  <c r="H17" i="122" s="1"/>
  <c r="H18" i="122" s="1"/>
  <c r="H19" i="122" s="1"/>
  <c r="H20" i="122" s="1"/>
  <c r="H21" i="122" s="1"/>
  <c r="H23" i="121"/>
  <c r="F13" i="43" s="1"/>
  <c r="H9" i="121"/>
  <c r="H10" i="121" s="1"/>
  <c r="H11" i="121" s="1"/>
  <c r="H12" i="121" s="1"/>
  <c r="H13" i="121" s="1"/>
  <c r="H14" i="121" s="1"/>
  <c r="H15" i="121" s="1"/>
  <c r="H16" i="121" s="1"/>
  <c r="H17" i="121" s="1"/>
  <c r="H18" i="121" s="1"/>
  <c r="H19" i="121" s="1"/>
  <c r="H20" i="121" s="1"/>
  <c r="H21" i="121" s="1"/>
  <c r="F27" i="56"/>
  <c r="F23" i="120"/>
  <c r="E15" i="2" s="1"/>
  <c r="D23" i="120"/>
  <c r="D15" i="2" s="1"/>
  <c r="G10" i="120"/>
  <c r="G11" i="120" s="1"/>
  <c r="G12" i="120" s="1"/>
  <c r="G13" i="120" s="1"/>
  <c r="G14" i="120" s="1"/>
  <c r="G15" i="120" s="1"/>
  <c r="G16" i="120" s="1"/>
  <c r="G17" i="120" s="1"/>
  <c r="G18" i="120" s="1"/>
  <c r="G19" i="120" s="1"/>
  <c r="G20" i="120" s="1"/>
  <c r="G21" i="120" s="1"/>
  <c r="A6" i="120"/>
  <c r="D3" i="120"/>
  <c r="A3" i="120"/>
  <c r="A2" i="120"/>
  <c r="A1" i="120"/>
  <c r="F31" i="68"/>
  <c r="H27" i="68"/>
  <c r="H28" i="68"/>
  <c r="H29" i="68"/>
  <c r="H30" i="68"/>
  <c r="H26" i="68"/>
  <c r="D31" i="68"/>
  <c r="H27" i="119"/>
  <c r="H28" i="119"/>
  <c r="H29" i="119"/>
  <c r="H26" i="119"/>
  <c r="F30" i="119"/>
  <c r="D30" i="119"/>
  <c r="F23" i="119"/>
  <c r="E13" i="100" s="1"/>
  <c r="D23" i="119"/>
  <c r="D13" i="100" s="1"/>
  <c r="G10" i="119"/>
  <c r="G11" i="119" s="1"/>
  <c r="G12" i="119" s="1"/>
  <c r="G13" i="119" s="1"/>
  <c r="G14" i="119" s="1"/>
  <c r="G15" i="119" s="1"/>
  <c r="G16" i="119" s="1"/>
  <c r="G17" i="119" s="1"/>
  <c r="G18" i="119" s="1"/>
  <c r="G19" i="119" s="1"/>
  <c r="G20" i="119" s="1"/>
  <c r="G21" i="119" s="1"/>
  <c r="A6" i="119"/>
  <c r="D3" i="119"/>
  <c r="A3" i="119"/>
  <c r="A2" i="119"/>
  <c r="A1" i="119"/>
  <c r="H27" i="118"/>
  <c r="H28" i="118"/>
  <c r="D29" i="118"/>
  <c r="F29" i="118"/>
  <c r="F23" i="118"/>
  <c r="E13" i="79" s="1"/>
  <c r="D23" i="118"/>
  <c r="D13" i="79" s="1"/>
  <c r="G10" i="118"/>
  <c r="G11" i="118" s="1"/>
  <c r="G12" i="118" s="1"/>
  <c r="G13" i="118" s="1"/>
  <c r="G14" i="118" s="1"/>
  <c r="G15" i="118" s="1"/>
  <c r="G16" i="118" s="1"/>
  <c r="G17" i="118" s="1"/>
  <c r="G18" i="118" s="1"/>
  <c r="G19" i="118" s="1"/>
  <c r="G20" i="118" s="1"/>
  <c r="G21" i="118" s="1"/>
  <c r="H9" i="118"/>
  <c r="H10" i="118" s="1"/>
  <c r="H11" i="118" s="1"/>
  <c r="H12" i="118" s="1"/>
  <c r="H13" i="118" s="1"/>
  <c r="H14" i="118" s="1"/>
  <c r="H15" i="118" s="1"/>
  <c r="H16" i="118" s="1"/>
  <c r="H17" i="118" s="1"/>
  <c r="H18" i="118" s="1"/>
  <c r="H19" i="118" s="1"/>
  <c r="H20" i="118" s="1"/>
  <c r="H21" i="118" s="1"/>
  <c r="A6" i="118"/>
  <c r="D3" i="118"/>
  <c r="A3" i="118"/>
  <c r="A2" i="118"/>
  <c r="A1" i="118"/>
  <c r="F23" i="117"/>
  <c r="E14" i="2" s="1"/>
  <c r="D23" i="117"/>
  <c r="D14" i="2" s="1"/>
  <c r="G10" i="117"/>
  <c r="G11" i="117" s="1"/>
  <c r="G12" i="117" s="1"/>
  <c r="G13" i="117" s="1"/>
  <c r="G14" i="117" s="1"/>
  <c r="G15" i="117" s="1"/>
  <c r="G16" i="117" s="1"/>
  <c r="G17" i="117" s="1"/>
  <c r="G18" i="117" s="1"/>
  <c r="G19" i="117" s="1"/>
  <c r="G20" i="117" s="1"/>
  <c r="G21" i="117" s="1"/>
  <c r="A6" i="117"/>
  <c r="D3" i="117"/>
  <c r="A3" i="117"/>
  <c r="A2" i="117"/>
  <c r="A1" i="117"/>
  <c r="H30" i="119" l="1"/>
  <c r="H31" i="68"/>
  <c r="H23" i="120"/>
  <c r="F15" i="2" s="1"/>
  <c r="H9" i="120"/>
  <c r="H10" i="120" s="1"/>
  <c r="H11" i="120" s="1"/>
  <c r="H12" i="120" s="1"/>
  <c r="H13" i="120" s="1"/>
  <c r="H14" i="120" s="1"/>
  <c r="H15" i="120" s="1"/>
  <c r="H16" i="120" s="1"/>
  <c r="H17" i="120" s="1"/>
  <c r="H18" i="120" s="1"/>
  <c r="H19" i="120" s="1"/>
  <c r="H20" i="120" s="1"/>
  <c r="H21" i="120" s="1"/>
  <c r="H23" i="119"/>
  <c r="F13" i="100" s="1"/>
  <c r="H9" i="119"/>
  <c r="H10" i="119" s="1"/>
  <c r="H11" i="119" s="1"/>
  <c r="H12" i="119" s="1"/>
  <c r="H13" i="119" s="1"/>
  <c r="H14" i="119" s="1"/>
  <c r="H15" i="119" s="1"/>
  <c r="H16" i="119" s="1"/>
  <c r="H17" i="119" s="1"/>
  <c r="H18" i="119" s="1"/>
  <c r="H19" i="119" s="1"/>
  <c r="H20" i="119" s="1"/>
  <c r="H21" i="119" s="1"/>
  <c r="H23" i="118"/>
  <c r="F13" i="79" s="1"/>
  <c r="H26" i="118"/>
  <c r="H29" i="118" s="1"/>
  <c r="H23" i="117"/>
  <c r="F14" i="2" s="1"/>
  <c r="H9" i="117"/>
  <c r="H10" i="117" s="1"/>
  <c r="H11" i="117" s="1"/>
  <c r="H12" i="117" s="1"/>
  <c r="H13" i="117" s="1"/>
  <c r="H14" i="117" s="1"/>
  <c r="H15" i="117" s="1"/>
  <c r="H16" i="117" s="1"/>
  <c r="H17" i="117" s="1"/>
  <c r="H18" i="117" s="1"/>
  <c r="H19" i="117" s="1"/>
  <c r="H20" i="117" s="1"/>
  <c r="H21" i="117" s="1"/>
  <c r="F26" i="19" l="1"/>
  <c r="H27" i="116" l="1"/>
  <c r="H28" i="116"/>
  <c r="H26" i="116"/>
  <c r="F30" i="116"/>
  <c r="F23" i="116"/>
  <c r="E13" i="55" s="1"/>
  <c r="D23" i="116"/>
  <c r="D13" i="55" s="1"/>
  <c r="G10" i="116"/>
  <c r="G11" i="116" s="1"/>
  <c r="G12" i="116" s="1"/>
  <c r="G13" i="116" s="1"/>
  <c r="G14" i="116" s="1"/>
  <c r="G15" i="116" s="1"/>
  <c r="G16" i="116" s="1"/>
  <c r="G17" i="116" s="1"/>
  <c r="G18" i="116" s="1"/>
  <c r="G19" i="116" s="1"/>
  <c r="G20" i="116" s="1"/>
  <c r="G21" i="116" s="1"/>
  <c r="H9" i="116"/>
  <c r="H10" i="116" s="1"/>
  <c r="H11" i="116" s="1"/>
  <c r="H12" i="116" s="1"/>
  <c r="H13" i="116" s="1"/>
  <c r="H14" i="116" s="1"/>
  <c r="H15" i="116" s="1"/>
  <c r="H16" i="116" s="1"/>
  <c r="H17" i="116" s="1"/>
  <c r="H18" i="116" s="1"/>
  <c r="H19" i="116" s="1"/>
  <c r="H20" i="116" s="1"/>
  <c r="H21" i="116" s="1"/>
  <c r="A6" i="116"/>
  <c r="D3" i="116"/>
  <c r="A3" i="116"/>
  <c r="A2" i="116"/>
  <c r="A1" i="116"/>
  <c r="H30" i="116" l="1"/>
  <c r="H23" i="116"/>
  <c r="F13" i="55" s="1"/>
  <c r="F27" i="3"/>
  <c r="G15" i="15"/>
  <c r="G14" i="15"/>
  <c r="G13" i="15"/>
  <c r="G12" i="15"/>
  <c r="F28" i="44"/>
  <c r="D28" i="44"/>
  <c r="G13" i="6"/>
  <c r="C8" i="112" s="1"/>
  <c r="G22" i="115"/>
  <c r="E12" i="112" s="1"/>
  <c r="H9" i="115"/>
  <c r="H10" i="115" s="1"/>
  <c r="H11" i="115" s="1"/>
  <c r="H12" i="115" s="1"/>
  <c r="H13" i="115" s="1"/>
  <c r="H14" i="115" s="1"/>
  <c r="H15" i="115" s="1"/>
  <c r="H16" i="115" s="1"/>
  <c r="H17" i="115" s="1"/>
  <c r="H18" i="115" s="1"/>
  <c r="H19" i="115" s="1"/>
  <c r="H20" i="115" s="1"/>
  <c r="A7" i="115"/>
  <c r="A3" i="115"/>
  <c r="A2" i="115"/>
  <c r="A1" i="115"/>
  <c r="G23" i="114"/>
  <c r="E11" i="112" s="1"/>
  <c r="D11" i="112"/>
  <c r="H10" i="114"/>
  <c r="H11" i="114" s="1"/>
  <c r="H12" i="114" s="1"/>
  <c r="H13" i="114" s="1"/>
  <c r="H14" i="114" s="1"/>
  <c r="H15" i="114" s="1"/>
  <c r="H16" i="114" s="1"/>
  <c r="H17" i="114" s="1"/>
  <c r="H18" i="114" s="1"/>
  <c r="H19" i="114" s="1"/>
  <c r="H20" i="114" s="1"/>
  <c r="H21" i="114" s="1"/>
  <c r="F9" i="114"/>
  <c r="F10" i="114" s="1"/>
  <c r="F11" i="114" s="1"/>
  <c r="F12" i="114" s="1"/>
  <c r="F13" i="114" s="1"/>
  <c r="F14" i="114" s="1"/>
  <c r="F15" i="114" s="1"/>
  <c r="F16" i="114" s="1"/>
  <c r="F17" i="114" s="1"/>
  <c r="F18" i="114" s="1"/>
  <c r="F19" i="114" s="1"/>
  <c r="F20" i="114" s="1"/>
  <c r="F21" i="114" s="1"/>
  <c r="A7" i="114"/>
  <c r="A3" i="114"/>
  <c r="A2" i="114"/>
  <c r="A1" i="114"/>
  <c r="F23" i="113"/>
  <c r="D23" i="113"/>
  <c r="G10" i="113"/>
  <c r="G11" i="113" s="1"/>
  <c r="G12" i="113" s="1"/>
  <c r="G13" i="113" s="1"/>
  <c r="G14" i="113" s="1"/>
  <c r="G15" i="113" s="1"/>
  <c r="G16" i="113" s="1"/>
  <c r="G17" i="113" s="1"/>
  <c r="G18" i="113" s="1"/>
  <c r="G19" i="113" s="1"/>
  <c r="G20" i="113" s="1"/>
  <c r="G21" i="113" s="1"/>
  <c r="A6" i="113"/>
  <c r="D3" i="113"/>
  <c r="A3" i="113"/>
  <c r="A2" i="113"/>
  <c r="A1" i="113"/>
  <c r="A1" i="111"/>
  <c r="F23" i="111"/>
  <c r="E13" i="39" s="1"/>
  <c r="D23" i="111"/>
  <c r="D13" i="39" s="1"/>
  <c r="G10" i="111"/>
  <c r="G11" i="111" s="1"/>
  <c r="G12" i="111" s="1"/>
  <c r="G13" i="111" s="1"/>
  <c r="G14" i="111" s="1"/>
  <c r="G15" i="111" s="1"/>
  <c r="G16" i="111" s="1"/>
  <c r="G17" i="111" s="1"/>
  <c r="G18" i="111" s="1"/>
  <c r="G19" i="111" s="1"/>
  <c r="G20" i="111" s="1"/>
  <c r="G21" i="111" s="1"/>
  <c r="A6" i="111"/>
  <c r="D3" i="111"/>
  <c r="A3" i="111"/>
  <c r="A2" i="111"/>
  <c r="F30" i="110"/>
  <c r="D30" i="110"/>
  <c r="H27" i="110"/>
  <c r="H28" i="110"/>
  <c r="H29" i="110"/>
  <c r="H26" i="110"/>
  <c r="F23" i="110"/>
  <c r="E13" i="9" s="1"/>
  <c r="D23" i="110"/>
  <c r="G10" i="110"/>
  <c r="A6" i="110"/>
  <c r="D3" i="110"/>
  <c r="A3" i="110"/>
  <c r="A2" i="110"/>
  <c r="A1" i="110"/>
  <c r="H26" i="109"/>
  <c r="F27" i="22"/>
  <c r="H27" i="109"/>
  <c r="D28" i="109"/>
  <c r="F23" i="109"/>
  <c r="E10" i="18" s="1"/>
  <c r="D23" i="109"/>
  <c r="G10" i="109"/>
  <c r="G11" i="109" s="1"/>
  <c r="G12" i="109" s="1"/>
  <c r="G13" i="109" s="1"/>
  <c r="G14" i="109" s="1"/>
  <c r="G15" i="109" s="1"/>
  <c r="G16" i="109" s="1"/>
  <c r="G17" i="109" s="1"/>
  <c r="G18" i="109" s="1"/>
  <c r="G19" i="109" s="1"/>
  <c r="G20" i="109" s="1"/>
  <c r="G21" i="109" s="1"/>
  <c r="A6" i="109"/>
  <c r="D3" i="109"/>
  <c r="A3" i="109"/>
  <c r="A2" i="109"/>
  <c r="A1" i="109"/>
  <c r="F30" i="19"/>
  <c r="H27" i="19"/>
  <c r="H28" i="19"/>
  <c r="H29" i="19"/>
  <c r="H26" i="19"/>
  <c r="D30" i="19"/>
  <c r="F23" i="108"/>
  <c r="E13" i="59" s="1"/>
  <c r="D23" i="108"/>
  <c r="D13" i="59" s="1"/>
  <c r="G10" i="108"/>
  <c r="G11" i="108" s="1"/>
  <c r="G12" i="108" s="1"/>
  <c r="G13" i="108" s="1"/>
  <c r="G14" i="108" s="1"/>
  <c r="G15" i="108" s="1"/>
  <c r="G16" i="108" s="1"/>
  <c r="G17" i="108" s="1"/>
  <c r="G18" i="108" s="1"/>
  <c r="G19" i="108" s="1"/>
  <c r="G20" i="108" s="1"/>
  <c r="G21" i="108" s="1"/>
  <c r="A6" i="108"/>
  <c r="D3" i="108"/>
  <c r="A3" i="108"/>
  <c r="A2" i="108"/>
  <c r="A1" i="108"/>
  <c r="G22" i="107"/>
  <c r="E12" i="104" s="1"/>
  <c r="H9" i="107"/>
  <c r="H10" i="107" s="1"/>
  <c r="H11" i="107" s="1"/>
  <c r="H12" i="107" s="1"/>
  <c r="H13" i="107" s="1"/>
  <c r="H14" i="107" s="1"/>
  <c r="H15" i="107" s="1"/>
  <c r="H16" i="107" s="1"/>
  <c r="H17" i="107" s="1"/>
  <c r="H18" i="107" s="1"/>
  <c r="H19" i="107" s="1"/>
  <c r="H20" i="107" s="1"/>
  <c r="A7" i="107"/>
  <c r="A3" i="107"/>
  <c r="A2" i="107"/>
  <c r="A1" i="107"/>
  <c r="G29" i="106"/>
  <c r="E11" i="104" s="1"/>
  <c r="H10" i="106"/>
  <c r="H11" i="106" s="1"/>
  <c r="H12" i="106" s="1"/>
  <c r="H13" i="106" s="1"/>
  <c r="H14" i="106" s="1"/>
  <c r="H15" i="106" s="1"/>
  <c r="H16" i="106" s="1"/>
  <c r="H17" i="106" s="1"/>
  <c r="H18" i="106" s="1"/>
  <c r="H19" i="106" s="1"/>
  <c r="H20" i="106" s="1"/>
  <c r="H21" i="106" s="1"/>
  <c r="H22" i="106" s="1"/>
  <c r="H23" i="106" s="1"/>
  <c r="H24" i="106" s="1"/>
  <c r="H25" i="106" s="1"/>
  <c r="H26" i="106" s="1"/>
  <c r="H27" i="106" s="1"/>
  <c r="F9" i="106"/>
  <c r="I9" i="106" s="1"/>
  <c r="I10" i="106" s="1"/>
  <c r="I11" i="106" s="1"/>
  <c r="I12" i="106" s="1"/>
  <c r="I13" i="106" s="1"/>
  <c r="I14" i="106" s="1"/>
  <c r="I15" i="106" s="1"/>
  <c r="I16" i="106" s="1"/>
  <c r="I17" i="106" s="1"/>
  <c r="I18" i="106" s="1"/>
  <c r="I19" i="106" s="1"/>
  <c r="I20" i="106" s="1"/>
  <c r="I21" i="106" s="1"/>
  <c r="I22" i="106" s="1"/>
  <c r="I23" i="106" s="1"/>
  <c r="I24" i="106" s="1"/>
  <c r="I25" i="106" s="1"/>
  <c r="I26" i="106" s="1"/>
  <c r="I27" i="106" s="1"/>
  <c r="A7" i="106"/>
  <c r="A3" i="106"/>
  <c r="A2" i="106"/>
  <c r="A1" i="106"/>
  <c r="F28" i="105"/>
  <c r="D28" i="105"/>
  <c r="H27" i="105"/>
  <c r="H26" i="105"/>
  <c r="F23" i="105"/>
  <c r="E10" i="104" s="1"/>
  <c r="D23" i="105"/>
  <c r="G10" i="105"/>
  <c r="G11" i="105" s="1"/>
  <c r="G12" i="105" s="1"/>
  <c r="G13" i="105" s="1"/>
  <c r="G14" i="105" s="1"/>
  <c r="G15" i="105" s="1"/>
  <c r="G16" i="105" s="1"/>
  <c r="G17" i="105" s="1"/>
  <c r="G18" i="105" s="1"/>
  <c r="G19" i="105" s="1"/>
  <c r="G20" i="105" s="1"/>
  <c r="G21" i="105" s="1"/>
  <c r="A6" i="105"/>
  <c r="D3" i="105"/>
  <c r="A3" i="105"/>
  <c r="A2" i="105"/>
  <c r="A1" i="105"/>
  <c r="D10" i="112" l="1"/>
  <c r="E10" i="112"/>
  <c r="G11" i="110"/>
  <c r="G12" i="110" s="1"/>
  <c r="G13" i="110" s="1"/>
  <c r="G14" i="110" s="1"/>
  <c r="G15" i="110" s="1"/>
  <c r="G16" i="110" s="1"/>
  <c r="G17" i="110" s="1"/>
  <c r="G18" i="110" s="1"/>
  <c r="G19" i="110" s="1"/>
  <c r="G20" i="110" s="1"/>
  <c r="G21" i="110" s="1"/>
  <c r="E17" i="104"/>
  <c r="I38" i="6" s="1"/>
  <c r="E15" i="112"/>
  <c r="I13" i="6" s="1"/>
  <c r="D12" i="112"/>
  <c r="D15" i="112" s="1"/>
  <c r="G15" i="112" s="1"/>
  <c r="K13" i="6" s="1"/>
  <c r="I29" i="106"/>
  <c r="H28" i="105"/>
  <c r="I23" i="114"/>
  <c r="H30" i="110"/>
  <c r="I9" i="114"/>
  <c r="I10" i="114" s="1"/>
  <c r="I11" i="114" s="1"/>
  <c r="I12" i="114" s="1"/>
  <c r="I13" i="114" s="1"/>
  <c r="I14" i="114" s="1"/>
  <c r="I15" i="114" s="1"/>
  <c r="I16" i="114" s="1"/>
  <c r="I17" i="114" s="1"/>
  <c r="I18" i="114" s="1"/>
  <c r="I19" i="114" s="1"/>
  <c r="I20" i="114" s="1"/>
  <c r="I21" i="114" s="1"/>
  <c r="D12" i="104"/>
  <c r="H23" i="110"/>
  <c r="F13" i="9" s="1"/>
  <c r="H23" i="105"/>
  <c r="F10" i="104" s="1"/>
  <c r="F10" i="106"/>
  <c r="F11" i="106" s="1"/>
  <c r="F12" i="106" s="1"/>
  <c r="F13" i="106" s="1"/>
  <c r="F14" i="106" s="1"/>
  <c r="F15" i="106" s="1"/>
  <c r="F16" i="106" s="1"/>
  <c r="F17" i="106" s="1"/>
  <c r="F18" i="106" s="1"/>
  <c r="F19" i="106" s="1"/>
  <c r="F20" i="106" s="1"/>
  <c r="F21" i="106" s="1"/>
  <c r="F22" i="106" s="1"/>
  <c r="F23" i="106" s="1"/>
  <c r="F24" i="106" s="1"/>
  <c r="F25" i="106" s="1"/>
  <c r="F26" i="106" s="1"/>
  <c r="F27" i="106" s="1"/>
  <c r="D11" i="104"/>
  <c r="H9" i="113"/>
  <c r="H10" i="113" s="1"/>
  <c r="H11" i="113" s="1"/>
  <c r="H12" i="113" s="1"/>
  <c r="H13" i="113" s="1"/>
  <c r="H14" i="113" s="1"/>
  <c r="H15" i="113" s="1"/>
  <c r="H16" i="113" s="1"/>
  <c r="H17" i="113" s="1"/>
  <c r="H18" i="113" s="1"/>
  <c r="H19" i="113" s="1"/>
  <c r="H20" i="113" s="1"/>
  <c r="H21" i="113" s="1"/>
  <c r="H23" i="113"/>
  <c r="F10" i="112" s="1"/>
  <c r="D13" i="9"/>
  <c r="H30" i="19"/>
  <c r="D10" i="104"/>
  <c r="H23" i="108"/>
  <c r="F13" i="59" s="1"/>
  <c r="C15" i="112"/>
  <c r="H23" i="111"/>
  <c r="F13" i="39" s="1"/>
  <c r="H9" i="111"/>
  <c r="H10" i="111" s="1"/>
  <c r="H11" i="111" s="1"/>
  <c r="H12" i="111" s="1"/>
  <c r="H13" i="111" s="1"/>
  <c r="H14" i="111" s="1"/>
  <c r="H15" i="111" s="1"/>
  <c r="H16" i="111" s="1"/>
  <c r="H17" i="111" s="1"/>
  <c r="H18" i="111" s="1"/>
  <c r="H19" i="111" s="1"/>
  <c r="H20" i="111" s="1"/>
  <c r="H21" i="111" s="1"/>
  <c r="H9" i="110"/>
  <c r="H10" i="110" s="1"/>
  <c r="F28" i="109"/>
  <c r="H23" i="109"/>
  <c r="F10" i="18" s="1"/>
  <c r="H28" i="109"/>
  <c r="D10" i="18"/>
  <c r="H9" i="109"/>
  <c r="H10" i="109" s="1"/>
  <c r="H11" i="109" s="1"/>
  <c r="H12" i="109" s="1"/>
  <c r="H13" i="109" s="1"/>
  <c r="H14" i="109" s="1"/>
  <c r="H15" i="109" s="1"/>
  <c r="H16" i="109" s="1"/>
  <c r="H17" i="109" s="1"/>
  <c r="H18" i="109" s="1"/>
  <c r="H19" i="109" s="1"/>
  <c r="H20" i="109" s="1"/>
  <c r="H21" i="109" s="1"/>
  <c r="H9" i="108"/>
  <c r="H10" i="108" s="1"/>
  <c r="H11" i="108" s="1"/>
  <c r="H12" i="108" s="1"/>
  <c r="H13" i="108" s="1"/>
  <c r="H14" i="108" s="1"/>
  <c r="H15" i="108" s="1"/>
  <c r="H16" i="108" s="1"/>
  <c r="H17" i="108" s="1"/>
  <c r="H18" i="108" s="1"/>
  <c r="H19" i="108" s="1"/>
  <c r="H20" i="108" s="1"/>
  <c r="H21" i="108" s="1"/>
  <c r="H9" i="105"/>
  <c r="H10" i="105" s="1"/>
  <c r="H11" i="105" s="1"/>
  <c r="H12" i="105" s="1"/>
  <c r="H13" i="105" s="1"/>
  <c r="H14" i="105" s="1"/>
  <c r="H15" i="105" s="1"/>
  <c r="H16" i="105" s="1"/>
  <c r="H17" i="105" s="1"/>
  <c r="H18" i="105" s="1"/>
  <c r="H19" i="105" s="1"/>
  <c r="H20" i="105" s="1"/>
  <c r="H21" i="105" s="1"/>
  <c r="H11" i="110" l="1"/>
  <c r="H12" i="110" s="1"/>
  <c r="H13" i="110" s="1"/>
  <c r="H14" i="110" s="1"/>
  <c r="H15" i="110" s="1"/>
  <c r="H16" i="110" s="1"/>
  <c r="H17" i="110" s="1"/>
  <c r="H18" i="110" s="1"/>
  <c r="H19" i="110" s="1"/>
  <c r="H20" i="110" s="1"/>
  <c r="H21" i="110" s="1"/>
  <c r="F11" i="104"/>
  <c r="F11" i="112"/>
  <c r="O38" i="6"/>
  <c r="F12" i="112"/>
  <c r="F12" i="104"/>
  <c r="D17" i="104"/>
  <c r="F15" i="112"/>
  <c r="J13" i="6" s="1"/>
  <c r="H13" i="6"/>
  <c r="H10" i="41"/>
  <c r="H11" i="41" s="1"/>
  <c r="F17" i="104" l="1"/>
  <c r="J38" i="6" s="1"/>
  <c r="H38" i="6"/>
  <c r="G37" i="6"/>
  <c r="C17" i="104" l="1"/>
  <c r="G17" i="104"/>
  <c r="K38" i="6" s="1"/>
  <c r="C8" i="13"/>
  <c r="E11" i="18"/>
  <c r="G22" i="103" l="1"/>
  <c r="H9" i="103"/>
  <c r="H10" i="103" s="1"/>
  <c r="H11" i="103" s="1"/>
  <c r="H12" i="103" s="1"/>
  <c r="H13" i="103" s="1"/>
  <c r="H14" i="103" s="1"/>
  <c r="H15" i="103" s="1"/>
  <c r="H16" i="103" s="1"/>
  <c r="H17" i="103" s="1"/>
  <c r="H18" i="103" s="1"/>
  <c r="H19" i="103" s="1"/>
  <c r="H20" i="103" s="1"/>
  <c r="A7" i="103"/>
  <c r="A3" i="103"/>
  <c r="A2" i="103"/>
  <c r="A1" i="103"/>
  <c r="G37" i="102"/>
  <c r="E11" i="100" s="1"/>
  <c r="H10" i="102"/>
  <c r="H11" i="102" s="1"/>
  <c r="H12" i="102" s="1"/>
  <c r="H13" i="102" s="1"/>
  <c r="H14" i="102" s="1"/>
  <c r="H15" i="102" s="1"/>
  <c r="H16" i="102" s="1"/>
  <c r="H17" i="102" s="1"/>
  <c r="H18" i="102" s="1"/>
  <c r="H19" i="102" s="1"/>
  <c r="H20" i="102" s="1"/>
  <c r="H21" i="102" s="1"/>
  <c r="H22" i="102" s="1"/>
  <c r="H23" i="102" s="1"/>
  <c r="H24" i="102" s="1"/>
  <c r="H25" i="102" s="1"/>
  <c r="H26" i="102" s="1"/>
  <c r="H27" i="102" s="1"/>
  <c r="H28" i="102" s="1"/>
  <c r="H29" i="102" s="1"/>
  <c r="H30" i="102" s="1"/>
  <c r="H31" i="102" s="1"/>
  <c r="H32" i="102" s="1"/>
  <c r="H33" i="102" s="1"/>
  <c r="H34" i="102" s="1"/>
  <c r="H35" i="102" s="1"/>
  <c r="F9" i="102"/>
  <c r="F10" i="102" s="1"/>
  <c r="F11" i="102" s="1"/>
  <c r="F12" i="102" s="1"/>
  <c r="F13" i="102" s="1"/>
  <c r="F14" i="102" s="1"/>
  <c r="F15" i="102" s="1"/>
  <c r="F16" i="102" s="1"/>
  <c r="F17" i="102" s="1"/>
  <c r="F18" i="102" s="1"/>
  <c r="F19" i="102" s="1"/>
  <c r="F20" i="102" s="1"/>
  <c r="F21" i="102" s="1"/>
  <c r="F22" i="102" s="1"/>
  <c r="F23" i="102" s="1"/>
  <c r="F24" i="102" s="1"/>
  <c r="F25" i="102" s="1"/>
  <c r="F26" i="102" s="1"/>
  <c r="F27" i="102" s="1"/>
  <c r="F28" i="102" s="1"/>
  <c r="F29" i="102" s="1"/>
  <c r="F30" i="102" s="1"/>
  <c r="F31" i="102" s="1"/>
  <c r="F32" i="102" s="1"/>
  <c r="A7" i="102"/>
  <c r="A3" i="102"/>
  <c r="A2" i="102"/>
  <c r="A1" i="102"/>
  <c r="F28" i="101"/>
  <c r="D28" i="101"/>
  <c r="H27" i="101"/>
  <c r="H26" i="101"/>
  <c r="F23" i="101"/>
  <c r="E10" i="100" s="1"/>
  <c r="D23" i="101"/>
  <c r="D10" i="100" s="1"/>
  <c r="G10" i="101"/>
  <c r="G11" i="101" s="1"/>
  <c r="G12" i="101" s="1"/>
  <c r="G13" i="101" s="1"/>
  <c r="G14" i="101" s="1"/>
  <c r="G15" i="101" s="1"/>
  <c r="G16" i="101" s="1"/>
  <c r="G17" i="101" s="1"/>
  <c r="G18" i="101" s="1"/>
  <c r="G19" i="101" s="1"/>
  <c r="G20" i="101" s="1"/>
  <c r="G21" i="101" s="1"/>
  <c r="H9" i="101"/>
  <c r="H10" i="101" s="1"/>
  <c r="H11" i="101" s="1"/>
  <c r="H12" i="101" s="1"/>
  <c r="H13" i="101" s="1"/>
  <c r="H14" i="101" s="1"/>
  <c r="H15" i="101" s="1"/>
  <c r="H16" i="101" s="1"/>
  <c r="H17" i="101" s="1"/>
  <c r="H18" i="101" s="1"/>
  <c r="H19" i="101" s="1"/>
  <c r="H20" i="101" s="1"/>
  <c r="H21" i="101" s="1"/>
  <c r="A6" i="101"/>
  <c r="D3" i="101"/>
  <c r="A3" i="101"/>
  <c r="A2" i="101"/>
  <c r="A1" i="101"/>
  <c r="G22" i="99"/>
  <c r="D12" i="96" s="1"/>
  <c r="H9" i="99"/>
  <c r="H10" i="99" s="1"/>
  <c r="H11" i="99" s="1"/>
  <c r="H12" i="99" s="1"/>
  <c r="H13" i="99" s="1"/>
  <c r="H14" i="99" s="1"/>
  <c r="H15" i="99" s="1"/>
  <c r="H16" i="99" s="1"/>
  <c r="H17" i="99" s="1"/>
  <c r="H18" i="99" s="1"/>
  <c r="H19" i="99" s="1"/>
  <c r="H20" i="99" s="1"/>
  <c r="A7" i="99"/>
  <c r="A3" i="99"/>
  <c r="A2" i="99"/>
  <c r="A1" i="99"/>
  <c r="G30" i="98"/>
  <c r="E11" i="96" s="1"/>
  <c r="E16" i="96" s="1"/>
  <c r="H10" i="98"/>
  <c r="H11" i="98" s="1"/>
  <c r="H12" i="98" s="1"/>
  <c r="H13" i="98" s="1"/>
  <c r="H14" i="98" s="1"/>
  <c r="H15" i="98" s="1"/>
  <c r="H16" i="98" s="1"/>
  <c r="H17" i="98" s="1"/>
  <c r="H18" i="98" s="1"/>
  <c r="H19" i="98" s="1"/>
  <c r="H20" i="98" s="1"/>
  <c r="H21" i="98" s="1"/>
  <c r="H22" i="98" s="1"/>
  <c r="H23" i="98" s="1"/>
  <c r="H24" i="98" s="1"/>
  <c r="H25" i="98" s="1"/>
  <c r="H26" i="98" s="1"/>
  <c r="H27" i="98" s="1"/>
  <c r="H28" i="98" s="1"/>
  <c r="F9" i="98"/>
  <c r="F10" i="98" s="1"/>
  <c r="F11" i="98" s="1"/>
  <c r="F12" i="98" s="1"/>
  <c r="F13" i="98" s="1"/>
  <c r="F14" i="98" s="1"/>
  <c r="F15" i="98" s="1"/>
  <c r="F16" i="98" s="1"/>
  <c r="F17" i="98" s="1"/>
  <c r="F18" i="98" s="1"/>
  <c r="F19" i="98" s="1"/>
  <c r="F20" i="98" s="1"/>
  <c r="F21" i="98" s="1"/>
  <c r="F22" i="98" s="1"/>
  <c r="F23" i="98" s="1"/>
  <c r="F24" i="98" s="1"/>
  <c r="F25" i="98" s="1"/>
  <c r="F26" i="98" s="1"/>
  <c r="F27" i="98" s="1"/>
  <c r="F28" i="98" s="1"/>
  <c r="A7" i="98"/>
  <c r="A3" i="98"/>
  <c r="A2" i="98"/>
  <c r="A1" i="98"/>
  <c r="G22" i="94"/>
  <c r="H9" i="94"/>
  <c r="H10" i="94" s="1"/>
  <c r="H11" i="94" s="1"/>
  <c r="H12" i="94" s="1"/>
  <c r="H13" i="94" s="1"/>
  <c r="H14" i="94" s="1"/>
  <c r="H15" i="94" s="1"/>
  <c r="H16" i="94" s="1"/>
  <c r="H17" i="94" s="1"/>
  <c r="H18" i="94" s="1"/>
  <c r="H19" i="94" s="1"/>
  <c r="H20" i="94" s="1"/>
  <c r="A7" i="94"/>
  <c r="A3" i="94"/>
  <c r="A2" i="94"/>
  <c r="A1" i="94"/>
  <c r="G39" i="93"/>
  <c r="E11" i="91" s="1"/>
  <c r="D11" i="91"/>
  <c r="H10" i="93"/>
  <c r="H11" i="93" s="1"/>
  <c r="H12" i="93" s="1"/>
  <c r="H13" i="93" s="1"/>
  <c r="H14" i="93" s="1"/>
  <c r="H15" i="93" s="1"/>
  <c r="H16" i="93" s="1"/>
  <c r="H17" i="93" s="1"/>
  <c r="H18" i="93" s="1"/>
  <c r="H19" i="93" s="1"/>
  <c r="H20" i="93" s="1"/>
  <c r="H21" i="93" s="1"/>
  <c r="H22" i="93" s="1"/>
  <c r="H23" i="93" s="1"/>
  <c r="H24" i="93" s="1"/>
  <c r="H25" i="93" s="1"/>
  <c r="H26" i="93" s="1"/>
  <c r="H27" i="93" s="1"/>
  <c r="H28" i="93" s="1"/>
  <c r="H29" i="93" s="1"/>
  <c r="H30" i="93" s="1"/>
  <c r="H31" i="93" s="1"/>
  <c r="H32" i="93" s="1"/>
  <c r="H33" i="93" s="1"/>
  <c r="H34" i="93" s="1"/>
  <c r="H35" i="93" s="1"/>
  <c r="H36" i="93" s="1"/>
  <c r="H37" i="93" s="1"/>
  <c r="F9" i="93"/>
  <c r="F10" i="93" s="1"/>
  <c r="F11" i="93" s="1"/>
  <c r="F12" i="93" s="1"/>
  <c r="F13" i="93" s="1"/>
  <c r="F14" i="93" s="1"/>
  <c r="F15" i="93" s="1"/>
  <c r="F16" i="93" s="1"/>
  <c r="F17" i="93" s="1"/>
  <c r="F18" i="93" s="1"/>
  <c r="F19" i="93" s="1"/>
  <c r="F20" i="93" s="1"/>
  <c r="F21" i="93" s="1"/>
  <c r="F22" i="93" s="1"/>
  <c r="F23" i="93" s="1"/>
  <c r="F24" i="93" s="1"/>
  <c r="F25" i="93" s="1"/>
  <c r="F26" i="93" s="1"/>
  <c r="F27" i="93" s="1"/>
  <c r="F28" i="93" s="1"/>
  <c r="F29" i="93" s="1"/>
  <c r="F30" i="93" s="1"/>
  <c r="F31" i="93" s="1"/>
  <c r="F32" i="93" s="1"/>
  <c r="F33" i="93" s="1"/>
  <c r="F34" i="93" s="1"/>
  <c r="F35" i="93" s="1"/>
  <c r="F36" i="93" s="1"/>
  <c r="F37" i="93" s="1"/>
  <c r="A7" i="93"/>
  <c r="A3" i="93"/>
  <c r="A2" i="93"/>
  <c r="A1" i="93"/>
  <c r="F28" i="92"/>
  <c r="D28" i="92"/>
  <c r="H27" i="92"/>
  <c r="H26" i="92"/>
  <c r="F23" i="92"/>
  <c r="D23" i="92"/>
  <c r="G10" i="92"/>
  <c r="G11" i="92" s="1"/>
  <c r="G12" i="92" s="1"/>
  <c r="G13" i="92" s="1"/>
  <c r="G14" i="92" s="1"/>
  <c r="G15" i="92" s="1"/>
  <c r="G16" i="92" s="1"/>
  <c r="G17" i="92" s="1"/>
  <c r="G18" i="92" s="1"/>
  <c r="G19" i="92" s="1"/>
  <c r="G20" i="92" s="1"/>
  <c r="G21" i="92" s="1"/>
  <c r="A6" i="92"/>
  <c r="D3" i="92"/>
  <c r="A3" i="92"/>
  <c r="A2" i="92"/>
  <c r="A1" i="92"/>
  <c r="G22" i="90"/>
  <c r="D12" i="87" s="1"/>
  <c r="H9" i="90"/>
  <c r="H10" i="90" s="1"/>
  <c r="H11" i="90" s="1"/>
  <c r="H12" i="90" s="1"/>
  <c r="H13" i="90" s="1"/>
  <c r="H14" i="90" s="1"/>
  <c r="H15" i="90" s="1"/>
  <c r="H16" i="90" s="1"/>
  <c r="H17" i="90" s="1"/>
  <c r="H18" i="90" s="1"/>
  <c r="H19" i="90" s="1"/>
  <c r="H20" i="90" s="1"/>
  <c r="A7" i="90"/>
  <c r="A3" i="90"/>
  <c r="A2" i="90"/>
  <c r="A1" i="90"/>
  <c r="G23" i="89"/>
  <c r="E11" i="87" s="1"/>
  <c r="D11" i="87"/>
  <c r="H10" i="89"/>
  <c r="H11" i="89" s="1"/>
  <c r="H12" i="89" s="1"/>
  <c r="H13" i="89" s="1"/>
  <c r="H14" i="89" s="1"/>
  <c r="H15" i="89" s="1"/>
  <c r="H16" i="89" s="1"/>
  <c r="H17" i="89" s="1"/>
  <c r="H18" i="89" s="1"/>
  <c r="H19" i="89" s="1"/>
  <c r="H20" i="89" s="1"/>
  <c r="H21" i="89" s="1"/>
  <c r="F9" i="89"/>
  <c r="I9" i="89" s="1"/>
  <c r="I10" i="89" s="1"/>
  <c r="I11" i="89" s="1"/>
  <c r="I12" i="89" s="1"/>
  <c r="I13" i="89" s="1"/>
  <c r="I14" i="89" s="1"/>
  <c r="I15" i="89" s="1"/>
  <c r="I16" i="89" s="1"/>
  <c r="I17" i="89" s="1"/>
  <c r="I18" i="89" s="1"/>
  <c r="I19" i="89" s="1"/>
  <c r="I20" i="89" s="1"/>
  <c r="I21" i="89" s="1"/>
  <c r="A7" i="89"/>
  <c r="A3" i="89"/>
  <c r="A2" i="89"/>
  <c r="A1" i="89"/>
  <c r="F28" i="88"/>
  <c r="D28" i="88"/>
  <c r="H27" i="88"/>
  <c r="H26" i="88"/>
  <c r="F23" i="88"/>
  <c r="E10" i="87" s="1"/>
  <c r="D23" i="88"/>
  <c r="G10" i="88"/>
  <c r="G11" i="88" s="1"/>
  <c r="G12" i="88" s="1"/>
  <c r="G13" i="88" s="1"/>
  <c r="G14" i="88" s="1"/>
  <c r="G15" i="88" s="1"/>
  <c r="G16" i="88" s="1"/>
  <c r="G17" i="88" s="1"/>
  <c r="G18" i="88" s="1"/>
  <c r="G19" i="88" s="1"/>
  <c r="G20" i="88" s="1"/>
  <c r="G21" i="88" s="1"/>
  <c r="A6" i="88"/>
  <c r="D3" i="88"/>
  <c r="A3" i="88"/>
  <c r="A2" i="88"/>
  <c r="A1" i="88"/>
  <c r="G22" i="86"/>
  <c r="D12" i="83" s="1"/>
  <c r="H9" i="86"/>
  <c r="H10" i="86" s="1"/>
  <c r="H11" i="86" s="1"/>
  <c r="H12" i="86" s="1"/>
  <c r="H13" i="86" s="1"/>
  <c r="H14" i="86" s="1"/>
  <c r="H15" i="86" s="1"/>
  <c r="H16" i="86" s="1"/>
  <c r="H17" i="86" s="1"/>
  <c r="H18" i="86" s="1"/>
  <c r="H19" i="86" s="1"/>
  <c r="H20" i="86" s="1"/>
  <c r="A7" i="86"/>
  <c r="A3" i="86"/>
  <c r="A2" i="86"/>
  <c r="A1" i="86"/>
  <c r="G23" i="85"/>
  <c r="E11" i="83" s="1"/>
  <c r="H10" i="85"/>
  <c r="H11" i="85" s="1"/>
  <c r="H12" i="85" s="1"/>
  <c r="H13" i="85" s="1"/>
  <c r="H14" i="85" s="1"/>
  <c r="H15" i="85" s="1"/>
  <c r="H16" i="85" s="1"/>
  <c r="H17" i="85" s="1"/>
  <c r="H18" i="85" s="1"/>
  <c r="H19" i="85" s="1"/>
  <c r="H20" i="85" s="1"/>
  <c r="H21" i="85" s="1"/>
  <c r="F9" i="85"/>
  <c r="F10" i="85" s="1"/>
  <c r="F11" i="85" s="1"/>
  <c r="F12" i="85" s="1"/>
  <c r="F13" i="85" s="1"/>
  <c r="F14" i="85" s="1"/>
  <c r="F15" i="85" s="1"/>
  <c r="F16" i="85" s="1"/>
  <c r="F17" i="85" s="1"/>
  <c r="F18" i="85" s="1"/>
  <c r="F19" i="85" s="1"/>
  <c r="F20" i="85" s="1"/>
  <c r="F21" i="85" s="1"/>
  <c r="A7" i="85"/>
  <c r="A3" i="85"/>
  <c r="A2" i="85"/>
  <c r="A1" i="85"/>
  <c r="F28" i="84"/>
  <c r="D28" i="84"/>
  <c r="H27" i="84"/>
  <c r="H26" i="84"/>
  <c r="F23" i="84"/>
  <c r="E10" i="83" s="1"/>
  <c r="D23" i="84"/>
  <c r="D10" i="83" s="1"/>
  <c r="G10" i="84"/>
  <c r="G11" i="84" s="1"/>
  <c r="G12" i="84" s="1"/>
  <c r="G13" i="84" s="1"/>
  <c r="G14" i="84" s="1"/>
  <c r="G15" i="84" s="1"/>
  <c r="G16" i="84" s="1"/>
  <c r="G17" i="84" s="1"/>
  <c r="G18" i="84" s="1"/>
  <c r="G19" i="84" s="1"/>
  <c r="G20" i="84" s="1"/>
  <c r="G21" i="84" s="1"/>
  <c r="A6" i="84"/>
  <c r="D3" i="84"/>
  <c r="A3" i="84"/>
  <c r="A2" i="84"/>
  <c r="A1" i="84"/>
  <c r="G22" i="82"/>
  <c r="E12" i="79" s="1"/>
  <c r="H9" i="82"/>
  <c r="H10" i="82" s="1"/>
  <c r="H11" i="82" s="1"/>
  <c r="H12" i="82" s="1"/>
  <c r="H13" i="82" s="1"/>
  <c r="H14" i="82" s="1"/>
  <c r="H15" i="82" s="1"/>
  <c r="H16" i="82" s="1"/>
  <c r="H17" i="82" s="1"/>
  <c r="H18" i="82" s="1"/>
  <c r="H19" i="82" s="1"/>
  <c r="H20" i="82" s="1"/>
  <c r="A7" i="82"/>
  <c r="A3" i="82"/>
  <c r="A2" i="82"/>
  <c r="A1" i="82"/>
  <c r="G37" i="81"/>
  <c r="E11" i="79" s="1"/>
  <c r="D11" i="79"/>
  <c r="H10" i="81"/>
  <c r="H11" i="81" s="1"/>
  <c r="H12" i="81" s="1"/>
  <c r="H13" i="81" s="1"/>
  <c r="H14" i="81" s="1"/>
  <c r="H15" i="81" s="1"/>
  <c r="H16" i="81" s="1"/>
  <c r="H17" i="81" s="1"/>
  <c r="H18" i="81" s="1"/>
  <c r="H19" i="81" s="1"/>
  <c r="H20" i="81" s="1"/>
  <c r="H21" i="81" s="1"/>
  <c r="H22" i="81" s="1"/>
  <c r="H23" i="81" s="1"/>
  <c r="H24" i="81" s="1"/>
  <c r="H25" i="81" s="1"/>
  <c r="H26" i="81" s="1"/>
  <c r="H27" i="81" s="1"/>
  <c r="H28" i="81" s="1"/>
  <c r="H29" i="81" s="1"/>
  <c r="H30" i="81" s="1"/>
  <c r="H31" i="81" s="1"/>
  <c r="H32" i="81" s="1"/>
  <c r="H33" i="81" s="1"/>
  <c r="H34" i="81" s="1"/>
  <c r="H35" i="81" s="1"/>
  <c r="F9" i="81"/>
  <c r="F10" i="81" s="1"/>
  <c r="F11" i="81" s="1"/>
  <c r="F12" i="81" s="1"/>
  <c r="F13" i="81" s="1"/>
  <c r="F14" i="81" s="1"/>
  <c r="F15" i="81" s="1"/>
  <c r="F16" i="81" s="1"/>
  <c r="F17" i="81" s="1"/>
  <c r="F18" i="81" s="1"/>
  <c r="F19" i="81" s="1"/>
  <c r="F20" i="81" s="1"/>
  <c r="F21" i="81" s="1"/>
  <c r="F22" i="81" s="1"/>
  <c r="F23" i="81" s="1"/>
  <c r="F24" i="81" s="1"/>
  <c r="F25" i="81" s="1"/>
  <c r="F26" i="81" s="1"/>
  <c r="F27" i="81" s="1"/>
  <c r="F28" i="81" s="1"/>
  <c r="F29" i="81" s="1"/>
  <c r="F30" i="81" s="1"/>
  <c r="F31" i="81" s="1"/>
  <c r="F32" i="81" s="1"/>
  <c r="A7" i="81"/>
  <c r="A3" i="81"/>
  <c r="A2" i="81"/>
  <c r="A1" i="81"/>
  <c r="F28" i="80"/>
  <c r="D28" i="80"/>
  <c r="H27" i="80"/>
  <c r="H26" i="80"/>
  <c r="F23" i="80"/>
  <c r="E10" i="79" s="1"/>
  <c r="D23" i="80"/>
  <c r="D10" i="79" s="1"/>
  <c r="G10" i="80"/>
  <c r="G11" i="80" s="1"/>
  <c r="G12" i="80" s="1"/>
  <c r="G13" i="80" s="1"/>
  <c r="G14" i="80" s="1"/>
  <c r="G15" i="80" s="1"/>
  <c r="G16" i="80" s="1"/>
  <c r="G17" i="80" s="1"/>
  <c r="G18" i="80" s="1"/>
  <c r="G19" i="80" s="1"/>
  <c r="G20" i="80" s="1"/>
  <c r="G21" i="80" s="1"/>
  <c r="A6" i="80"/>
  <c r="D3" i="80"/>
  <c r="A3" i="80"/>
  <c r="A2" i="80"/>
  <c r="A1" i="80"/>
  <c r="G22" i="78"/>
  <c r="D12" i="75" s="1"/>
  <c r="H9" i="78"/>
  <c r="H10" i="78" s="1"/>
  <c r="H11" i="78" s="1"/>
  <c r="H12" i="78" s="1"/>
  <c r="H13" i="78" s="1"/>
  <c r="H14" i="78" s="1"/>
  <c r="H15" i="78" s="1"/>
  <c r="H16" i="78" s="1"/>
  <c r="H17" i="78" s="1"/>
  <c r="H18" i="78" s="1"/>
  <c r="H19" i="78" s="1"/>
  <c r="H20" i="78" s="1"/>
  <c r="A7" i="78"/>
  <c r="A3" i="78"/>
  <c r="A2" i="78"/>
  <c r="A1" i="78"/>
  <c r="G23" i="77"/>
  <c r="E11" i="75" s="1"/>
  <c r="H10" i="77"/>
  <c r="H11" i="77" s="1"/>
  <c r="H12" i="77" s="1"/>
  <c r="H13" i="77" s="1"/>
  <c r="H14" i="77" s="1"/>
  <c r="H15" i="77" s="1"/>
  <c r="H16" i="77" s="1"/>
  <c r="H17" i="77" s="1"/>
  <c r="H18" i="77" s="1"/>
  <c r="H19" i="77" s="1"/>
  <c r="H20" i="77" s="1"/>
  <c r="H21" i="77" s="1"/>
  <c r="F9" i="77"/>
  <c r="F10" i="77" s="1"/>
  <c r="F11" i="77" s="1"/>
  <c r="F12" i="77" s="1"/>
  <c r="F13" i="77" s="1"/>
  <c r="F14" i="77" s="1"/>
  <c r="F15" i="77" s="1"/>
  <c r="F16" i="77" s="1"/>
  <c r="F17" i="77" s="1"/>
  <c r="F18" i="77" s="1"/>
  <c r="F19" i="77" s="1"/>
  <c r="F20" i="77" s="1"/>
  <c r="F21" i="77" s="1"/>
  <c r="A7" i="77"/>
  <c r="A3" i="77"/>
  <c r="A2" i="77"/>
  <c r="A1" i="77"/>
  <c r="F23" i="76"/>
  <c r="E10" i="75" s="1"/>
  <c r="D23" i="76"/>
  <c r="D10" i="75" s="1"/>
  <c r="G10" i="76"/>
  <c r="G11" i="76" s="1"/>
  <c r="G12" i="76" s="1"/>
  <c r="G13" i="76" s="1"/>
  <c r="G14" i="76" s="1"/>
  <c r="G15" i="76" s="1"/>
  <c r="G16" i="76" s="1"/>
  <c r="G17" i="76" s="1"/>
  <c r="G18" i="76" s="1"/>
  <c r="G19" i="76" s="1"/>
  <c r="G20" i="76" s="1"/>
  <c r="G21" i="76" s="1"/>
  <c r="A6" i="76"/>
  <c r="D3" i="76"/>
  <c r="A3" i="76"/>
  <c r="A2" i="76"/>
  <c r="A1" i="76"/>
  <c r="G22" i="74"/>
  <c r="E12" i="71" s="1"/>
  <c r="H9" i="74"/>
  <c r="H10" i="74" s="1"/>
  <c r="H11" i="74" s="1"/>
  <c r="H12" i="74" s="1"/>
  <c r="H13" i="74" s="1"/>
  <c r="H14" i="74" s="1"/>
  <c r="H15" i="74" s="1"/>
  <c r="H16" i="74" s="1"/>
  <c r="H17" i="74" s="1"/>
  <c r="H18" i="74" s="1"/>
  <c r="H19" i="74" s="1"/>
  <c r="H20" i="74" s="1"/>
  <c r="A7" i="74"/>
  <c r="A3" i="74"/>
  <c r="A2" i="74"/>
  <c r="A1" i="74"/>
  <c r="G39" i="73"/>
  <c r="E11" i="71" s="1"/>
  <c r="H10" i="73"/>
  <c r="H11" i="73" s="1"/>
  <c r="H12" i="73" s="1"/>
  <c r="H13" i="73" s="1"/>
  <c r="H14" i="73" s="1"/>
  <c r="H15" i="73" s="1"/>
  <c r="H16" i="73" s="1"/>
  <c r="H17" i="73" s="1"/>
  <c r="H18" i="73" s="1"/>
  <c r="H19" i="73" s="1"/>
  <c r="H20" i="73" s="1"/>
  <c r="H21" i="73" s="1"/>
  <c r="H22" i="73" s="1"/>
  <c r="H23" i="73" s="1"/>
  <c r="H24" i="73" s="1"/>
  <c r="H25" i="73" s="1"/>
  <c r="H26" i="73" s="1"/>
  <c r="H27" i="73" s="1"/>
  <c r="H28" i="73" s="1"/>
  <c r="H29" i="73" s="1"/>
  <c r="H30" i="73" s="1"/>
  <c r="H31" i="73" s="1"/>
  <c r="H32" i="73" s="1"/>
  <c r="H33" i="73" s="1"/>
  <c r="H34" i="73" s="1"/>
  <c r="H35" i="73" s="1"/>
  <c r="H36" i="73" s="1"/>
  <c r="H37" i="73" s="1"/>
  <c r="F9" i="73"/>
  <c r="I9" i="73" s="1"/>
  <c r="I10" i="73" s="1"/>
  <c r="I11" i="73" s="1"/>
  <c r="I12" i="73" s="1"/>
  <c r="I13" i="73" s="1"/>
  <c r="I14" i="73" s="1"/>
  <c r="I15" i="73" s="1"/>
  <c r="I16" i="73" s="1"/>
  <c r="I17" i="73" s="1"/>
  <c r="I18" i="73" s="1"/>
  <c r="I19" i="73" s="1"/>
  <c r="I20" i="73" s="1"/>
  <c r="I21" i="73" s="1"/>
  <c r="I22" i="73" s="1"/>
  <c r="I23" i="73" s="1"/>
  <c r="I24" i="73" s="1"/>
  <c r="I25" i="73" s="1"/>
  <c r="I26" i="73" s="1"/>
  <c r="I27" i="73" s="1"/>
  <c r="I28" i="73" s="1"/>
  <c r="A7" i="73"/>
  <c r="A3" i="73"/>
  <c r="A2" i="73"/>
  <c r="A1" i="73"/>
  <c r="F28" i="72"/>
  <c r="D28" i="72"/>
  <c r="H27" i="72"/>
  <c r="H26" i="72"/>
  <c r="F23" i="72"/>
  <c r="E10" i="71" s="1"/>
  <c r="D23" i="72"/>
  <c r="D10" i="71" s="1"/>
  <c r="G10" i="72"/>
  <c r="G11" i="72" s="1"/>
  <c r="G12" i="72" s="1"/>
  <c r="G13" i="72" s="1"/>
  <c r="G14" i="72" s="1"/>
  <c r="G15" i="72" s="1"/>
  <c r="G16" i="72" s="1"/>
  <c r="G17" i="72" s="1"/>
  <c r="G18" i="72" s="1"/>
  <c r="G19" i="72" s="1"/>
  <c r="G20" i="72" s="1"/>
  <c r="G21" i="72" s="1"/>
  <c r="H9" i="72"/>
  <c r="H10" i="72" s="1"/>
  <c r="H11" i="72" s="1"/>
  <c r="H12" i="72" s="1"/>
  <c r="H13" i="72" s="1"/>
  <c r="H14" i="72" s="1"/>
  <c r="H15" i="72" s="1"/>
  <c r="H16" i="72" s="1"/>
  <c r="H17" i="72" s="1"/>
  <c r="H18" i="72" s="1"/>
  <c r="H19" i="72" s="1"/>
  <c r="H20" i="72" s="1"/>
  <c r="H21" i="72" s="1"/>
  <c r="A6" i="72"/>
  <c r="D3" i="72"/>
  <c r="A3" i="72"/>
  <c r="A2" i="72"/>
  <c r="A1" i="72"/>
  <c r="G22" i="70"/>
  <c r="D12" i="67" s="1"/>
  <c r="H9" i="70"/>
  <c r="H10" i="70" s="1"/>
  <c r="H11" i="70" s="1"/>
  <c r="H12" i="70" s="1"/>
  <c r="H13" i="70" s="1"/>
  <c r="H14" i="70" s="1"/>
  <c r="H15" i="70" s="1"/>
  <c r="H16" i="70" s="1"/>
  <c r="H17" i="70" s="1"/>
  <c r="H18" i="70" s="1"/>
  <c r="H19" i="70" s="1"/>
  <c r="H20" i="70" s="1"/>
  <c r="A7" i="70"/>
  <c r="A3" i="70"/>
  <c r="A2" i="70"/>
  <c r="A1" i="70"/>
  <c r="G37" i="69"/>
  <c r="E11" i="67" s="1"/>
  <c r="D11" i="67"/>
  <c r="H10" i="69"/>
  <c r="H11" i="69" s="1"/>
  <c r="H12" i="69" s="1"/>
  <c r="H13" i="69" s="1"/>
  <c r="H14" i="69" s="1"/>
  <c r="H15" i="69" s="1"/>
  <c r="H16" i="69" s="1"/>
  <c r="H17" i="69" s="1"/>
  <c r="H18" i="69" s="1"/>
  <c r="H19" i="69" s="1"/>
  <c r="H20" i="69" s="1"/>
  <c r="H21" i="69" s="1"/>
  <c r="H22" i="69" s="1"/>
  <c r="H23" i="69" s="1"/>
  <c r="H24" i="69" s="1"/>
  <c r="H25" i="69" s="1"/>
  <c r="H26" i="69" s="1"/>
  <c r="H27" i="69" s="1"/>
  <c r="H28" i="69" s="1"/>
  <c r="H29" i="69" s="1"/>
  <c r="H30" i="69" s="1"/>
  <c r="H31" i="69" s="1"/>
  <c r="H32" i="69" s="1"/>
  <c r="F9" i="69"/>
  <c r="F10" i="69" s="1"/>
  <c r="F11" i="69" s="1"/>
  <c r="F12" i="69" s="1"/>
  <c r="F13" i="69" s="1"/>
  <c r="F14" i="69" s="1"/>
  <c r="F15" i="69" s="1"/>
  <c r="F16" i="69" s="1"/>
  <c r="F17" i="69" s="1"/>
  <c r="F18" i="69" s="1"/>
  <c r="F19" i="69" s="1"/>
  <c r="F20" i="69" s="1"/>
  <c r="F21" i="69" s="1"/>
  <c r="F22" i="69" s="1"/>
  <c r="F23" i="69" s="1"/>
  <c r="F24" i="69" s="1"/>
  <c r="F25" i="69" s="1"/>
  <c r="F26" i="69" s="1"/>
  <c r="F27" i="69" s="1"/>
  <c r="F28" i="69" s="1"/>
  <c r="F29" i="69" s="1"/>
  <c r="F30" i="69" s="1"/>
  <c r="F31" i="69" s="1"/>
  <c r="F32" i="69" s="1"/>
  <c r="A7" i="69"/>
  <c r="A3" i="69"/>
  <c r="A2" i="69"/>
  <c r="A1" i="69"/>
  <c r="F23" i="68"/>
  <c r="E10" i="67" s="1"/>
  <c r="D23" i="68"/>
  <c r="D10" i="67" s="1"/>
  <c r="G10" i="68"/>
  <c r="G11" i="68" s="1"/>
  <c r="G12" i="68" s="1"/>
  <c r="G13" i="68" s="1"/>
  <c r="G14" i="68" s="1"/>
  <c r="G15" i="68" s="1"/>
  <c r="G16" i="68" s="1"/>
  <c r="G17" i="68" s="1"/>
  <c r="G18" i="68" s="1"/>
  <c r="G19" i="68" s="1"/>
  <c r="G20" i="68" s="1"/>
  <c r="G21" i="68" s="1"/>
  <c r="A6" i="68"/>
  <c r="D3" i="68"/>
  <c r="A3" i="68"/>
  <c r="A2" i="68"/>
  <c r="A1" i="68"/>
  <c r="A1" i="66"/>
  <c r="G22" i="66"/>
  <c r="H9" i="66"/>
  <c r="H10" i="66" s="1"/>
  <c r="H11" i="66" s="1"/>
  <c r="H12" i="66" s="1"/>
  <c r="H13" i="66" s="1"/>
  <c r="H14" i="66" s="1"/>
  <c r="H15" i="66" s="1"/>
  <c r="H16" i="66" s="1"/>
  <c r="H17" i="66" s="1"/>
  <c r="H18" i="66" s="1"/>
  <c r="H19" i="66" s="1"/>
  <c r="H20" i="66" s="1"/>
  <c r="A7" i="66"/>
  <c r="A3" i="66"/>
  <c r="A2" i="66"/>
  <c r="G35" i="65"/>
  <c r="E11" i="63" s="1"/>
  <c r="H10" i="65"/>
  <c r="H11" i="65" s="1"/>
  <c r="H12" i="65" s="1"/>
  <c r="H13" i="65" s="1"/>
  <c r="H14" i="65" s="1"/>
  <c r="H15" i="65" s="1"/>
  <c r="H16" i="65" s="1"/>
  <c r="H17" i="65" s="1"/>
  <c r="H18" i="65" s="1"/>
  <c r="H19" i="65" s="1"/>
  <c r="H20" i="65" s="1"/>
  <c r="H21" i="65" s="1"/>
  <c r="H22" i="65" s="1"/>
  <c r="H23" i="65" s="1"/>
  <c r="H24" i="65" s="1"/>
  <c r="H25" i="65" s="1"/>
  <c r="H26" i="65" s="1"/>
  <c r="H27" i="65" s="1"/>
  <c r="H28" i="65" s="1"/>
  <c r="H29" i="65" s="1"/>
  <c r="H30" i="65" s="1"/>
  <c r="H31" i="65" s="1"/>
  <c r="H32" i="65" s="1"/>
  <c r="H33" i="65" s="1"/>
  <c r="F9" i="65"/>
  <c r="F10" i="65" s="1"/>
  <c r="F11" i="65" s="1"/>
  <c r="F12" i="65" s="1"/>
  <c r="F13" i="65" s="1"/>
  <c r="F14" i="65" s="1"/>
  <c r="F15" i="65" s="1"/>
  <c r="F16" i="65" s="1"/>
  <c r="F17" i="65" s="1"/>
  <c r="F18" i="65" s="1"/>
  <c r="F19" i="65" s="1"/>
  <c r="F20" i="65" s="1"/>
  <c r="F21" i="65" s="1"/>
  <c r="F22" i="65" s="1"/>
  <c r="F23" i="65" s="1"/>
  <c r="F24" i="65" s="1"/>
  <c r="F25" i="65" s="1"/>
  <c r="F26" i="65" s="1"/>
  <c r="F27" i="65" s="1"/>
  <c r="F28" i="65" s="1"/>
  <c r="F29" i="65" s="1"/>
  <c r="F30" i="65" s="1"/>
  <c r="F31" i="65" s="1"/>
  <c r="F32" i="65" s="1"/>
  <c r="F33" i="65" s="1"/>
  <c r="A7" i="65"/>
  <c r="A3" i="65"/>
  <c r="A2" i="65"/>
  <c r="A1" i="65"/>
  <c r="H26" i="64"/>
  <c r="F23" i="64"/>
  <c r="E10" i="63" s="1"/>
  <c r="D23" i="64"/>
  <c r="D10" i="63" s="1"/>
  <c r="G10" i="64"/>
  <c r="G11" i="64" s="1"/>
  <c r="G12" i="64" s="1"/>
  <c r="G13" i="64" s="1"/>
  <c r="G14" i="64" s="1"/>
  <c r="G15" i="64" s="1"/>
  <c r="G16" i="64" s="1"/>
  <c r="G17" i="64" s="1"/>
  <c r="G18" i="64" s="1"/>
  <c r="G19" i="64" s="1"/>
  <c r="G20" i="64" s="1"/>
  <c r="G21" i="64" s="1"/>
  <c r="A6" i="64"/>
  <c r="D3" i="64"/>
  <c r="A3" i="64"/>
  <c r="A2" i="64"/>
  <c r="A1" i="64"/>
  <c r="G22" i="62"/>
  <c r="D12" i="59" s="1"/>
  <c r="H9" i="62"/>
  <c r="H10" i="62" s="1"/>
  <c r="H11" i="62" s="1"/>
  <c r="H12" i="62" s="1"/>
  <c r="H13" i="62" s="1"/>
  <c r="H14" i="62" s="1"/>
  <c r="H15" i="62" s="1"/>
  <c r="H16" i="62" s="1"/>
  <c r="H17" i="62" s="1"/>
  <c r="H18" i="62" s="1"/>
  <c r="H19" i="62" s="1"/>
  <c r="H20" i="62" s="1"/>
  <c r="A7" i="62"/>
  <c r="A3" i="62"/>
  <c r="A2" i="62"/>
  <c r="A1" i="62"/>
  <c r="G35" i="61"/>
  <c r="E11" i="59" s="1"/>
  <c r="D11" i="59"/>
  <c r="H10" i="61"/>
  <c r="H11" i="61" s="1"/>
  <c r="H12" i="61" s="1"/>
  <c r="H13" i="61" s="1"/>
  <c r="H14" i="61" s="1"/>
  <c r="H15" i="61" s="1"/>
  <c r="H16" i="61" s="1"/>
  <c r="H17" i="61" s="1"/>
  <c r="H18" i="61" s="1"/>
  <c r="H19" i="61" s="1"/>
  <c r="H20" i="61" s="1"/>
  <c r="H21" i="61" s="1"/>
  <c r="H22" i="61" s="1"/>
  <c r="H23" i="61" s="1"/>
  <c r="H24" i="61" s="1"/>
  <c r="H25" i="61" s="1"/>
  <c r="H26" i="61" s="1"/>
  <c r="H27" i="61" s="1"/>
  <c r="H28" i="61" s="1"/>
  <c r="H29" i="61" s="1"/>
  <c r="H30" i="61" s="1"/>
  <c r="H31" i="61" s="1"/>
  <c r="H32" i="61" s="1"/>
  <c r="H33" i="61" s="1"/>
  <c r="F9" i="61"/>
  <c r="I9" i="61" s="1"/>
  <c r="I10" i="61" s="1"/>
  <c r="I11" i="61" s="1"/>
  <c r="I12" i="61" s="1"/>
  <c r="I13" i="61" s="1"/>
  <c r="I14" i="61" s="1"/>
  <c r="I15" i="61" s="1"/>
  <c r="I16" i="61" s="1"/>
  <c r="I17" i="61" s="1"/>
  <c r="I18" i="61" s="1"/>
  <c r="I19" i="61" s="1"/>
  <c r="I20" i="61" s="1"/>
  <c r="I21" i="61" s="1"/>
  <c r="I22" i="61" s="1"/>
  <c r="I23" i="61" s="1"/>
  <c r="A7" i="61"/>
  <c r="A3" i="61"/>
  <c r="A2" i="61"/>
  <c r="A1" i="61"/>
  <c r="H27" i="60"/>
  <c r="H26" i="60"/>
  <c r="F23" i="60"/>
  <c r="E10" i="59" s="1"/>
  <c r="D23" i="60"/>
  <c r="G10" i="60"/>
  <c r="G11" i="60" s="1"/>
  <c r="G12" i="60" s="1"/>
  <c r="G13" i="60" s="1"/>
  <c r="G14" i="60" s="1"/>
  <c r="G15" i="60" s="1"/>
  <c r="G16" i="60" s="1"/>
  <c r="G17" i="60" s="1"/>
  <c r="G18" i="60" s="1"/>
  <c r="G19" i="60" s="1"/>
  <c r="G20" i="60" s="1"/>
  <c r="G21" i="60" s="1"/>
  <c r="H9" i="60"/>
  <c r="H10" i="60" s="1"/>
  <c r="H11" i="60" s="1"/>
  <c r="H12" i="60" s="1"/>
  <c r="H13" i="60" s="1"/>
  <c r="H14" i="60" s="1"/>
  <c r="H15" i="60" s="1"/>
  <c r="H16" i="60" s="1"/>
  <c r="H17" i="60" s="1"/>
  <c r="H18" i="60" s="1"/>
  <c r="H19" i="60" s="1"/>
  <c r="H20" i="60" s="1"/>
  <c r="H21" i="60" s="1"/>
  <c r="A6" i="60"/>
  <c r="D3" i="60"/>
  <c r="A3" i="60"/>
  <c r="A2" i="60"/>
  <c r="A1" i="60"/>
  <c r="G22" i="58"/>
  <c r="E12" i="55" s="1"/>
  <c r="H9" i="58"/>
  <c r="H10" i="58" s="1"/>
  <c r="H11" i="58" s="1"/>
  <c r="H12" i="58" s="1"/>
  <c r="H13" i="58" s="1"/>
  <c r="H14" i="58" s="1"/>
  <c r="H15" i="58" s="1"/>
  <c r="H16" i="58" s="1"/>
  <c r="H17" i="58" s="1"/>
  <c r="H18" i="58" s="1"/>
  <c r="H19" i="58" s="1"/>
  <c r="H20" i="58" s="1"/>
  <c r="A7" i="58"/>
  <c r="A3" i="58"/>
  <c r="A2" i="58"/>
  <c r="A1" i="58"/>
  <c r="G39" i="57"/>
  <c r="E11" i="55" s="1"/>
  <c r="D11" i="55"/>
  <c r="H10" i="57"/>
  <c r="H11" i="57" s="1"/>
  <c r="H12" i="57" s="1"/>
  <c r="H13" i="57" s="1"/>
  <c r="H14" i="57" s="1"/>
  <c r="H15" i="57" s="1"/>
  <c r="H16" i="57" s="1"/>
  <c r="H17" i="57" s="1"/>
  <c r="H18" i="57" s="1"/>
  <c r="H19" i="57" s="1"/>
  <c r="H20" i="57" s="1"/>
  <c r="H21" i="57" s="1"/>
  <c r="H22" i="57" s="1"/>
  <c r="H23" i="57" s="1"/>
  <c r="H24" i="57" s="1"/>
  <c r="H25" i="57" s="1"/>
  <c r="H26" i="57" s="1"/>
  <c r="H27" i="57" s="1"/>
  <c r="H28" i="57" s="1"/>
  <c r="H29" i="57" s="1"/>
  <c r="H30" i="57" s="1"/>
  <c r="H31" i="57" s="1"/>
  <c r="H32" i="57" s="1"/>
  <c r="H33" i="57" s="1"/>
  <c r="H34" i="57" s="1"/>
  <c r="H35" i="57" s="1"/>
  <c r="H36" i="57" s="1"/>
  <c r="H37" i="57" s="1"/>
  <c r="F9" i="57"/>
  <c r="F10" i="57" s="1"/>
  <c r="F11" i="57" s="1"/>
  <c r="F12" i="57" s="1"/>
  <c r="F13" i="57" s="1"/>
  <c r="F14" i="57" s="1"/>
  <c r="F15" i="57" s="1"/>
  <c r="F16" i="57" s="1"/>
  <c r="F17" i="57" s="1"/>
  <c r="F18" i="57" s="1"/>
  <c r="F19" i="57" s="1"/>
  <c r="F20" i="57" s="1"/>
  <c r="F21" i="57" s="1"/>
  <c r="F22" i="57" s="1"/>
  <c r="F23" i="57" s="1"/>
  <c r="F24" i="57" s="1"/>
  <c r="F25" i="57" s="1"/>
  <c r="F26" i="57" s="1"/>
  <c r="F27" i="57" s="1"/>
  <c r="F28" i="57" s="1"/>
  <c r="F29" i="57" s="1"/>
  <c r="F30" i="57" s="1"/>
  <c r="F31" i="57" s="1"/>
  <c r="F32" i="57" s="1"/>
  <c r="F33" i="57" s="1"/>
  <c r="F34" i="57" s="1"/>
  <c r="F35" i="57" s="1"/>
  <c r="F36" i="57" s="1"/>
  <c r="F37" i="57" s="1"/>
  <c r="A7" i="57"/>
  <c r="A3" i="57"/>
  <c r="A2" i="57"/>
  <c r="A1" i="57"/>
  <c r="F28" i="56"/>
  <c r="D28" i="56"/>
  <c r="H27" i="56"/>
  <c r="H26" i="56"/>
  <c r="F23" i="56"/>
  <c r="E10" i="55" s="1"/>
  <c r="D23" i="56"/>
  <c r="D10" i="55" s="1"/>
  <c r="G10" i="56"/>
  <c r="G11" i="56" s="1"/>
  <c r="G12" i="56" s="1"/>
  <c r="G13" i="56" s="1"/>
  <c r="G14" i="56" s="1"/>
  <c r="G15" i="56" s="1"/>
  <c r="G16" i="56" s="1"/>
  <c r="G17" i="56" s="1"/>
  <c r="G18" i="56" s="1"/>
  <c r="G19" i="56" s="1"/>
  <c r="G20" i="56" s="1"/>
  <c r="G21" i="56" s="1"/>
  <c r="H9" i="56"/>
  <c r="H10" i="56" s="1"/>
  <c r="H11" i="56" s="1"/>
  <c r="H12" i="56" s="1"/>
  <c r="H13" i="56" s="1"/>
  <c r="H14" i="56" s="1"/>
  <c r="H15" i="56" s="1"/>
  <c r="H16" i="56" s="1"/>
  <c r="H17" i="56" s="1"/>
  <c r="H18" i="56" s="1"/>
  <c r="H19" i="56" s="1"/>
  <c r="H20" i="56" s="1"/>
  <c r="H21" i="56" s="1"/>
  <c r="A6" i="56"/>
  <c r="D3" i="56"/>
  <c r="A3" i="56"/>
  <c r="A2" i="56"/>
  <c r="A1" i="56"/>
  <c r="G22" i="54"/>
  <c r="E12" i="51" s="1"/>
  <c r="H9" i="54"/>
  <c r="H10" i="54" s="1"/>
  <c r="H11" i="54" s="1"/>
  <c r="H12" i="54" s="1"/>
  <c r="H13" i="54" s="1"/>
  <c r="H14" i="54" s="1"/>
  <c r="H15" i="54" s="1"/>
  <c r="H16" i="54" s="1"/>
  <c r="H17" i="54" s="1"/>
  <c r="H18" i="54" s="1"/>
  <c r="H19" i="54" s="1"/>
  <c r="H20" i="54" s="1"/>
  <c r="A7" i="54"/>
  <c r="A3" i="54"/>
  <c r="A2" i="54"/>
  <c r="A1" i="54"/>
  <c r="G35" i="53"/>
  <c r="E11" i="51" s="1"/>
  <c r="H10" i="53"/>
  <c r="H11" i="53" s="1"/>
  <c r="H12" i="53" s="1"/>
  <c r="H13" i="53" s="1"/>
  <c r="H14" i="53" s="1"/>
  <c r="H15" i="53" s="1"/>
  <c r="H16" i="53" s="1"/>
  <c r="H17" i="53" s="1"/>
  <c r="H18" i="53" s="1"/>
  <c r="H19" i="53" s="1"/>
  <c r="H20" i="53" s="1"/>
  <c r="H21" i="53" s="1"/>
  <c r="H22" i="53" s="1"/>
  <c r="H23" i="53" s="1"/>
  <c r="H24" i="53" s="1"/>
  <c r="H25" i="53" s="1"/>
  <c r="H26" i="53" s="1"/>
  <c r="H27" i="53" s="1"/>
  <c r="H28" i="53" s="1"/>
  <c r="H29" i="53" s="1"/>
  <c r="H30" i="53" s="1"/>
  <c r="H31" i="53" s="1"/>
  <c r="H32" i="53" s="1"/>
  <c r="H33" i="53" s="1"/>
  <c r="F9" i="53"/>
  <c r="I9" i="53" s="1"/>
  <c r="I10" i="53" s="1"/>
  <c r="I11" i="53" s="1"/>
  <c r="I12" i="53" s="1"/>
  <c r="I13" i="53" s="1"/>
  <c r="I14" i="53" s="1"/>
  <c r="I15" i="53" s="1"/>
  <c r="I16" i="53" s="1"/>
  <c r="I17" i="53" s="1"/>
  <c r="I18" i="53" s="1"/>
  <c r="I19" i="53" s="1"/>
  <c r="I20" i="53" s="1"/>
  <c r="I21" i="53" s="1"/>
  <c r="I22" i="53" s="1"/>
  <c r="I23" i="53" s="1"/>
  <c r="A7" i="53"/>
  <c r="A3" i="53"/>
  <c r="A2" i="53"/>
  <c r="A1" i="53"/>
  <c r="F28" i="52"/>
  <c r="D28" i="52"/>
  <c r="H27" i="52"/>
  <c r="H26" i="52"/>
  <c r="F23" i="52"/>
  <c r="E10" i="51" s="1"/>
  <c r="D23" i="52"/>
  <c r="D10" i="51" s="1"/>
  <c r="G10" i="52"/>
  <c r="G11" i="52" s="1"/>
  <c r="G12" i="52" s="1"/>
  <c r="G13" i="52" s="1"/>
  <c r="G14" i="52" s="1"/>
  <c r="G15" i="52" s="1"/>
  <c r="G16" i="52" s="1"/>
  <c r="G17" i="52" s="1"/>
  <c r="G18" i="52" s="1"/>
  <c r="G19" i="52" s="1"/>
  <c r="G20" i="52" s="1"/>
  <c r="G21" i="52" s="1"/>
  <c r="A6" i="52"/>
  <c r="D3" i="52"/>
  <c r="A3" i="52"/>
  <c r="A2" i="52"/>
  <c r="A1" i="52"/>
  <c r="G22" i="50"/>
  <c r="H9" i="50"/>
  <c r="H10" i="50" s="1"/>
  <c r="H11" i="50" s="1"/>
  <c r="H12" i="50" s="1"/>
  <c r="H13" i="50" s="1"/>
  <c r="H14" i="50" s="1"/>
  <c r="H15" i="50" s="1"/>
  <c r="H16" i="50" s="1"/>
  <c r="H17" i="50" s="1"/>
  <c r="H18" i="50" s="1"/>
  <c r="H19" i="50" s="1"/>
  <c r="H20" i="50" s="1"/>
  <c r="A7" i="50"/>
  <c r="A3" i="50"/>
  <c r="A2" i="50"/>
  <c r="A1" i="50"/>
  <c r="G39" i="49"/>
  <c r="E11" i="47" s="1"/>
  <c r="H10" i="49"/>
  <c r="H11" i="49" s="1"/>
  <c r="H12" i="49" s="1"/>
  <c r="H13" i="49" s="1"/>
  <c r="H14" i="49" s="1"/>
  <c r="H15" i="49" s="1"/>
  <c r="H16" i="49" s="1"/>
  <c r="H17" i="49" s="1"/>
  <c r="H18" i="49" s="1"/>
  <c r="H19" i="49" s="1"/>
  <c r="H20" i="49" s="1"/>
  <c r="H21" i="49" s="1"/>
  <c r="H22" i="49" s="1"/>
  <c r="H23" i="49" s="1"/>
  <c r="H24" i="49" s="1"/>
  <c r="H25" i="49" s="1"/>
  <c r="H26" i="49" s="1"/>
  <c r="H27" i="49" s="1"/>
  <c r="H28" i="49" s="1"/>
  <c r="H29" i="49" s="1"/>
  <c r="H30" i="49" s="1"/>
  <c r="H31" i="49" s="1"/>
  <c r="H32" i="49" s="1"/>
  <c r="H33" i="49" s="1"/>
  <c r="H34" i="49" s="1"/>
  <c r="H35" i="49" s="1"/>
  <c r="H36" i="49" s="1"/>
  <c r="H37" i="49" s="1"/>
  <c r="F9" i="49"/>
  <c r="F10" i="49" s="1"/>
  <c r="F11" i="49" s="1"/>
  <c r="F12" i="49" s="1"/>
  <c r="F13" i="49" s="1"/>
  <c r="F14" i="49" s="1"/>
  <c r="F15" i="49" s="1"/>
  <c r="F16" i="49" s="1"/>
  <c r="F17" i="49" s="1"/>
  <c r="F18" i="49" s="1"/>
  <c r="F19" i="49" s="1"/>
  <c r="F20" i="49" s="1"/>
  <c r="F21" i="49" s="1"/>
  <c r="F22" i="49" s="1"/>
  <c r="F23" i="49" s="1"/>
  <c r="F24" i="49" s="1"/>
  <c r="F25" i="49" s="1"/>
  <c r="F26" i="49" s="1"/>
  <c r="F27" i="49" s="1"/>
  <c r="F28" i="49" s="1"/>
  <c r="F29" i="49" s="1"/>
  <c r="F30" i="49" s="1"/>
  <c r="F31" i="49" s="1"/>
  <c r="F32" i="49" s="1"/>
  <c r="F33" i="49" s="1"/>
  <c r="F34" i="49" s="1"/>
  <c r="F35" i="49" s="1"/>
  <c r="F36" i="49" s="1"/>
  <c r="F37" i="49" s="1"/>
  <c r="A7" i="49"/>
  <c r="A3" i="49"/>
  <c r="A2" i="49"/>
  <c r="A1" i="49"/>
  <c r="F28" i="48"/>
  <c r="D28" i="48"/>
  <c r="H27" i="48"/>
  <c r="H26" i="48"/>
  <c r="F23" i="48"/>
  <c r="E10" i="47" s="1"/>
  <c r="D23" i="48"/>
  <c r="D10" i="47" s="1"/>
  <c r="G10" i="48"/>
  <c r="G11" i="48" s="1"/>
  <c r="G12" i="48" s="1"/>
  <c r="G13" i="48" s="1"/>
  <c r="G14" i="48" s="1"/>
  <c r="G15" i="48" s="1"/>
  <c r="G16" i="48" s="1"/>
  <c r="G17" i="48" s="1"/>
  <c r="G18" i="48" s="1"/>
  <c r="G19" i="48" s="1"/>
  <c r="G20" i="48" s="1"/>
  <c r="G21" i="48" s="1"/>
  <c r="A6" i="48"/>
  <c r="D3" i="48"/>
  <c r="A3" i="48"/>
  <c r="A2" i="48"/>
  <c r="A1" i="48"/>
  <c r="G22" i="46"/>
  <c r="E12" i="43" s="1"/>
  <c r="H9" i="46"/>
  <c r="H10" i="46" s="1"/>
  <c r="H11" i="46" s="1"/>
  <c r="H12" i="46" s="1"/>
  <c r="H13" i="46" s="1"/>
  <c r="H14" i="46" s="1"/>
  <c r="H15" i="46" s="1"/>
  <c r="H16" i="46" s="1"/>
  <c r="H17" i="46" s="1"/>
  <c r="H18" i="46" s="1"/>
  <c r="H19" i="46" s="1"/>
  <c r="H20" i="46" s="1"/>
  <c r="A7" i="46"/>
  <c r="A3" i="46"/>
  <c r="A2" i="46"/>
  <c r="A1" i="46"/>
  <c r="G37" i="45"/>
  <c r="E11" i="43" s="1"/>
  <c r="D11" i="43"/>
  <c r="H10" i="45"/>
  <c r="H11" i="45" s="1"/>
  <c r="H12" i="45" s="1"/>
  <c r="H13" i="45" s="1"/>
  <c r="H14" i="45" s="1"/>
  <c r="H15" i="45" s="1"/>
  <c r="H16" i="45" s="1"/>
  <c r="H17" i="45" s="1"/>
  <c r="H18" i="45" s="1"/>
  <c r="H19" i="45" s="1"/>
  <c r="H20" i="45" s="1"/>
  <c r="H21" i="45" s="1"/>
  <c r="H22" i="45" s="1"/>
  <c r="H23" i="45" s="1"/>
  <c r="H24" i="45" s="1"/>
  <c r="H25" i="45" s="1"/>
  <c r="H26" i="45" s="1"/>
  <c r="H27" i="45" s="1"/>
  <c r="H28" i="45" s="1"/>
  <c r="H29" i="45" s="1"/>
  <c r="H30" i="45" s="1"/>
  <c r="H31" i="45" s="1"/>
  <c r="H32" i="45" s="1"/>
  <c r="H33" i="45" s="1"/>
  <c r="H34" i="45" s="1"/>
  <c r="H35" i="45" s="1"/>
  <c r="F9" i="45"/>
  <c r="F10" i="45" s="1"/>
  <c r="F11" i="45" s="1"/>
  <c r="F12" i="45" s="1"/>
  <c r="F13" i="45" s="1"/>
  <c r="F14" i="45" s="1"/>
  <c r="F15" i="45" s="1"/>
  <c r="F16" i="45" s="1"/>
  <c r="F17" i="45" s="1"/>
  <c r="F18" i="45" s="1"/>
  <c r="F19" i="45" s="1"/>
  <c r="F20" i="45" s="1"/>
  <c r="F21" i="45" s="1"/>
  <c r="F22" i="45" s="1"/>
  <c r="F23" i="45" s="1"/>
  <c r="F24" i="45" s="1"/>
  <c r="F25" i="45" s="1"/>
  <c r="F26" i="45" s="1"/>
  <c r="F27" i="45" s="1"/>
  <c r="F28" i="45" s="1"/>
  <c r="F29" i="45" s="1"/>
  <c r="F30" i="45" s="1"/>
  <c r="F31" i="45" s="1"/>
  <c r="F32" i="45" s="1"/>
  <c r="A7" i="45"/>
  <c r="A3" i="45"/>
  <c r="A2" i="45"/>
  <c r="A1" i="45"/>
  <c r="H27" i="44"/>
  <c r="H26" i="44"/>
  <c r="F23" i="44"/>
  <c r="E10" i="43" s="1"/>
  <c r="D23" i="44"/>
  <c r="D10" i="43" s="1"/>
  <c r="G10" i="44"/>
  <c r="G11" i="44" s="1"/>
  <c r="G12" i="44" s="1"/>
  <c r="G13" i="44" s="1"/>
  <c r="G14" i="44" s="1"/>
  <c r="G15" i="44" s="1"/>
  <c r="G16" i="44" s="1"/>
  <c r="G17" i="44" s="1"/>
  <c r="G18" i="44" s="1"/>
  <c r="G19" i="44" s="1"/>
  <c r="G20" i="44" s="1"/>
  <c r="G21" i="44" s="1"/>
  <c r="H9" i="44"/>
  <c r="H10" i="44" s="1"/>
  <c r="H11" i="44" s="1"/>
  <c r="H12" i="44" s="1"/>
  <c r="H13" i="44" s="1"/>
  <c r="H14" i="44" s="1"/>
  <c r="H15" i="44" s="1"/>
  <c r="H16" i="44" s="1"/>
  <c r="H17" i="44" s="1"/>
  <c r="H18" i="44" s="1"/>
  <c r="H19" i="44" s="1"/>
  <c r="H20" i="44" s="1"/>
  <c r="H21" i="44" s="1"/>
  <c r="A6" i="44"/>
  <c r="D3" i="44"/>
  <c r="A3" i="44"/>
  <c r="A2" i="44"/>
  <c r="A1" i="44"/>
  <c r="G22" i="42"/>
  <c r="H9" i="42"/>
  <c r="H10" i="42" s="1"/>
  <c r="H11" i="42" s="1"/>
  <c r="H12" i="42" s="1"/>
  <c r="H13" i="42" s="1"/>
  <c r="H14" i="42" s="1"/>
  <c r="H15" i="42" s="1"/>
  <c r="H16" i="42" s="1"/>
  <c r="H17" i="42" s="1"/>
  <c r="H18" i="42" s="1"/>
  <c r="H19" i="42" s="1"/>
  <c r="H20" i="42" s="1"/>
  <c r="A7" i="42"/>
  <c r="A3" i="42"/>
  <c r="A2" i="42"/>
  <c r="A1" i="42"/>
  <c r="G39" i="41"/>
  <c r="E11" i="39" s="1"/>
  <c r="D11" i="39"/>
  <c r="H12" i="41"/>
  <c r="H13" i="41" s="1"/>
  <c r="H14" i="41" s="1"/>
  <c r="H15" i="41" s="1"/>
  <c r="H16" i="41" s="1"/>
  <c r="H17" i="41" s="1"/>
  <c r="H18" i="41" s="1"/>
  <c r="H19" i="41" s="1"/>
  <c r="H20" i="41" s="1"/>
  <c r="H21" i="41" s="1"/>
  <c r="H22" i="41" s="1"/>
  <c r="H23" i="41" s="1"/>
  <c r="H24" i="41" s="1"/>
  <c r="H25" i="41" s="1"/>
  <c r="H26" i="41" s="1"/>
  <c r="H27" i="41" s="1"/>
  <c r="H28" i="41" s="1"/>
  <c r="H29" i="41" s="1"/>
  <c r="H30" i="41" s="1"/>
  <c r="H31" i="41" s="1"/>
  <c r="H32" i="41" s="1"/>
  <c r="H33" i="41" s="1"/>
  <c r="H34" i="41" s="1"/>
  <c r="H35" i="41" s="1"/>
  <c r="H36" i="41" s="1"/>
  <c r="H37" i="41" s="1"/>
  <c r="F9" i="41"/>
  <c r="F10" i="41" s="1"/>
  <c r="F11" i="41" s="1"/>
  <c r="F12" i="41" s="1"/>
  <c r="F13" i="41" s="1"/>
  <c r="F14" i="41" s="1"/>
  <c r="F15" i="41" s="1"/>
  <c r="F16" i="41" s="1"/>
  <c r="F17" i="41" s="1"/>
  <c r="F18" i="41" s="1"/>
  <c r="F19" i="41" s="1"/>
  <c r="F20" i="41" s="1"/>
  <c r="F21" i="41" s="1"/>
  <c r="F22" i="41" s="1"/>
  <c r="F23" i="41" s="1"/>
  <c r="F24" i="41" s="1"/>
  <c r="F25" i="41" s="1"/>
  <c r="F26" i="41" s="1"/>
  <c r="F27" i="41" s="1"/>
  <c r="F28" i="41" s="1"/>
  <c r="F29" i="41" s="1"/>
  <c r="F30" i="41" s="1"/>
  <c r="F31" i="41" s="1"/>
  <c r="F32" i="41" s="1"/>
  <c r="F33" i="41" s="1"/>
  <c r="F34" i="41" s="1"/>
  <c r="F35" i="41" s="1"/>
  <c r="F36" i="41" s="1"/>
  <c r="F37" i="41" s="1"/>
  <c r="A7" i="41"/>
  <c r="A3" i="41"/>
  <c r="A2" i="41"/>
  <c r="A1" i="41"/>
  <c r="F26" i="40"/>
  <c r="E10" i="39" s="1"/>
  <c r="D26" i="40"/>
  <c r="D10" i="39" s="1"/>
  <c r="G10" i="40"/>
  <c r="G11" i="40" s="1"/>
  <c r="G12" i="40" s="1"/>
  <c r="G13" i="40" s="1"/>
  <c r="G14" i="40" s="1"/>
  <c r="G15" i="40" s="1"/>
  <c r="G16" i="40" s="1"/>
  <c r="G17" i="40" s="1"/>
  <c r="G18" i="40" s="1"/>
  <c r="G19" i="40" s="1"/>
  <c r="G20" i="40" s="1"/>
  <c r="G21" i="40" s="1"/>
  <c r="G22" i="40" s="1"/>
  <c r="G23" i="40" s="1"/>
  <c r="G24" i="40" s="1"/>
  <c r="H9" i="40"/>
  <c r="H10" i="40" s="1"/>
  <c r="H11" i="40" s="1"/>
  <c r="H12" i="40" s="1"/>
  <c r="H13" i="40" s="1"/>
  <c r="H14" i="40" s="1"/>
  <c r="H15" i="40" s="1"/>
  <c r="H16" i="40" s="1"/>
  <c r="H17" i="40" s="1"/>
  <c r="H18" i="40" s="1"/>
  <c r="H19" i="40" s="1"/>
  <c r="H20" i="40" s="1"/>
  <c r="H21" i="40" s="1"/>
  <c r="H22" i="40" s="1"/>
  <c r="H23" i="40" s="1"/>
  <c r="H24" i="40" s="1"/>
  <c r="A6" i="40"/>
  <c r="D3" i="40"/>
  <c r="A3" i="40"/>
  <c r="A2" i="40"/>
  <c r="A1" i="40"/>
  <c r="G22" i="38"/>
  <c r="E12" i="35" s="1"/>
  <c r="H9" i="38"/>
  <c r="H10" i="38" s="1"/>
  <c r="H11" i="38" s="1"/>
  <c r="H12" i="38" s="1"/>
  <c r="H13" i="38" s="1"/>
  <c r="H14" i="38" s="1"/>
  <c r="H15" i="38" s="1"/>
  <c r="H16" i="38" s="1"/>
  <c r="H17" i="38" s="1"/>
  <c r="H18" i="38" s="1"/>
  <c r="H19" i="38" s="1"/>
  <c r="H20" i="38" s="1"/>
  <c r="A7" i="38"/>
  <c r="A3" i="38"/>
  <c r="A2" i="38"/>
  <c r="A1" i="38"/>
  <c r="G37" i="37"/>
  <c r="E11" i="35" s="1"/>
  <c r="D11" i="35"/>
  <c r="H10" i="37"/>
  <c r="H11" i="37" s="1"/>
  <c r="H12" i="37" s="1"/>
  <c r="H13" i="37" s="1"/>
  <c r="H14" i="37" s="1"/>
  <c r="H15" i="37" s="1"/>
  <c r="H16" i="37" s="1"/>
  <c r="H17" i="37" s="1"/>
  <c r="H18" i="37" s="1"/>
  <c r="H19" i="37" s="1"/>
  <c r="H20" i="37" s="1"/>
  <c r="H21" i="37" s="1"/>
  <c r="H22" i="37" s="1"/>
  <c r="H23" i="37" s="1"/>
  <c r="H24" i="37" s="1"/>
  <c r="H25" i="37" s="1"/>
  <c r="H26" i="37" s="1"/>
  <c r="H27" i="37" s="1"/>
  <c r="H28" i="37" s="1"/>
  <c r="H29" i="37" s="1"/>
  <c r="H30" i="37" s="1"/>
  <c r="H31" i="37" s="1"/>
  <c r="H32" i="37" s="1"/>
  <c r="H33" i="37" s="1"/>
  <c r="H34" i="37" s="1"/>
  <c r="H35" i="37" s="1"/>
  <c r="F9" i="37"/>
  <c r="F10" i="37" s="1"/>
  <c r="F11" i="37" s="1"/>
  <c r="F12" i="37" s="1"/>
  <c r="F13" i="37" s="1"/>
  <c r="F14" i="37" s="1"/>
  <c r="F15" i="37" s="1"/>
  <c r="F16" i="37" s="1"/>
  <c r="F17" i="37" s="1"/>
  <c r="F18" i="37" s="1"/>
  <c r="F19" i="37" s="1"/>
  <c r="F20" i="37" s="1"/>
  <c r="F21" i="37" s="1"/>
  <c r="F22" i="37" s="1"/>
  <c r="F23" i="37" s="1"/>
  <c r="F24" i="37" s="1"/>
  <c r="F25" i="37" s="1"/>
  <c r="F26" i="37" s="1"/>
  <c r="F27" i="37" s="1"/>
  <c r="F28" i="37" s="1"/>
  <c r="F29" i="37" s="1"/>
  <c r="F30" i="37" s="1"/>
  <c r="F31" i="37" s="1"/>
  <c r="F32" i="37" s="1"/>
  <c r="F33" i="37" s="1"/>
  <c r="F34" i="37" s="1"/>
  <c r="F35" i="37" s="1"/>
  <c r="A7" i="37"/>
  <c r="A3" i="37"/>
  <c r="A2" i="37"/>
  <c r="A1" i="37"/>
  <c r="F28" i="36"/>
  <c r="D28" i="36"/>
  <c r="H27" i="36"/>
  <c r="H26" i="36"/>
  <c r="F23" i="36"/>
  <c r="E10" i="35" s="1"/>
  <c r="D23" i="36"/>
  <c r="D10" i="35" s="1"/>
  <c r="G10" i="36"/>
  <c r="G11" i="36" s="1"/>
  <c r="G12" i="36" s="1"/>
  <c r="G13" i="36" s="1"/>
  <c r="G14" i="36" s="1"/>
  <c r="G15" i="36" s="1"/>
  <c r="G16" i="36" s="1"/>
  <c r="G17" i="36" s="1"/>
  <c r="G18" i="36" s="1"/>
  <c r="G19" i="36" s="1"/>
  <c r="G20" i="36" s="1"/>
  <c r="G21" i="36" s="1"/>
  <c r="H9" i="36"/>
  <c r="H10" i="36" s="1"/>
  <c r="H11" i="36" s="1"/>
  <c r="H12" i="36" s="1"/>
  <c r="H13" i="36" s="1"/>
  <c r="H14" i="36" s="1"/>
  <c r="H15" i="36" s="1"/>
  <c r="H16" i="36" s="1"/>
  <c r="H17" i="36" s="1"/>
  <c r="H18" i="36" s="1"/>
  <c r="H19" i="36" s="1"/>
  <c r="H20" i="36" s="1"/>
  <c r="H21" i="36" s="1"/>
  <c r="A6" i="36"/>
  <c r="D3" i="36"/>
  <c r="A3" i="36"/>
  <c r="A2" i="36"/>
  <c r="A1" i="36"/>
  <c r="G22" i="34"/>
  <c r="H9" i="34"/>
  <c r="H10" i="34" s="1"/>
  <c r="H11" i="34" s="1"/>
  <c r="H12" i="34" s="1"/>
  <c r="H13" i="34" s="1"/>
  <c r="H14" i="34" s="1"/>
  <c r="H15" i="34" s="1"/>
  <c r="H16" i="34" s="1"/>
  <c r="H17" i="34" s="1"/>
  <c r="H18" i="34" s="1"/>
  <c r="H19" i="34" s="1"/>
  <c r="H20" i="34" s="1"/>
  <c r="A7" i="34"/>
  <c r="A3" i="34"/>
  <c r="A2" i="34"/>
  <c r="A1" i="34"/>
  <c r="G35" i="33"/>
  <c r="E11" i="31" s="1"/>
  <c r="H10" i="33"/>
  <c r="H11" i="33" s="1"/>
  <c r="H12" i="33" s="1"/>
  <c r="H13" i="33" s="1"/>
  <c r="H14" i="33" s="1"/>
  <c r="H15" i="33" s="1"/>
  <c r="H16" i="33" s="1"/>
  <c r="H17" i="33" s="1"/>
  <c r="H18" i="33" s="1"/>
  <c r="H19" i="33" s="1"/>
  <c r="H20" i="33" s="1"/>
  <c r="H21" i="33" s="1"/>
  <c r="H22" i="33" s="1"/>
  <c r="H23" i="33" s="1"/>
  <c r="H24" i="33" s="1"/>
  <c r="H25" i="33" s="1"/>
  <c r="H26" i="33" s="1"/>
  <c r="H27" i="33" s="1"/>
  <c r="H28" i="33" s="1"/>
  <c r="H29" i="33" s="1"/>
  <c r="H30" i="33" s="1"/>
  <c r="H31" i="33" s="1"/>
  <c r="H32" i="33" s="1"/>
  <c r="H33" i="33" s="1"/>
  <c r="F9" i="33"/>
  <c r="I9" i="33" s="1"/>
  <c r="I10" i="33" s="1"/>
  <c r="I11" i="33" s="1"/>
  <c r="I12" i="33" s="1"/>
  <c r="I13" i="33" s="1"/>
  <c r="I14" i="33" s="1"/>
  <c r="I15" i="33" s="1"/>
  <c r="I16" i="33" s="1"/>
  <c r="I17" i="33" s="1"/>
  <c r="I18" i="33" s="1"/>
  <c r="I19" i="33" s="1"/>
  <c r="I20" i="33" s="1"/>
  <c r="I21" i="33" s="1"/>
  <c r="I22" i="33" s="1"/>
  <c r="I23" i="33" s="1"/>
  <c r="A7" i="33"/>
  <c r="A3" i="33"/>
  <c r="A2" i="33"/>
  <c r="A1" i="33"/>
  <c r="F28" i="32"/>
  <c r="D28" i="32"/>
  <c r="H27" i="32"/>
  <c r="H26" i="32"/>
  <c r="F23" i="32"/>
  <c r="E10" i="31" s="1"/>
  <c r="D23" i="32"/>
  <c r="G10" i="32"/>
  <c r="G11" i="32" s="1"/>
  <c r="G12" i="32" s="1"/>
  <c r="G13" i="32" s="1"/>
  <c r="G14" i="32" s="1"/>
  <c r="G15" i="32" s="1"/>
  <c r="G16" i="32" s="1"/>
  <c r="G17" i="32" s="1"/>
  <c r="G18" i="32" s="1"/>
  <c r="G19" i="32" s="1"/>
  <c r="G20" i="32" s="1"/>
  <c r="G21" i="32" s="1"/>
  <c r="A6" i="32"/>
  <c r="D3" i="32"/>
  <c r="A3" i="32"/>
  <c r="A2" i="32"/>
  <c r="A1" i="32"/>
  <c r="H29" i="60" l="1"/>
  <c r="D12" i="39"/>
  <c r="E12" i="39"/>
  <c r="E18" i="39" s="1"/>
  <c r="I21" i="6" s="1"/>
  <c r="D12" i="63"/>
  <c r="E12" i="63"/>
  <c r="E17" i="63" s="1"/>
  <c r="I27" i="6" s="1"/>
  <c r="I29" i="73"/>
  <c r="I30" i="73" s="1"/>
  <c r="I31" i="73" s="1"/>
  <c r="I32" i="73" s="1"/>
  <c r="I33" i="73" s="1"/>
  <c r="I34" i="73" s="1"/>
  <c r="I35" i="73" s="1"/>
  <c r="I36" i="73" s="1"/>
  <c r="I37" i="73" s="1"/>
  <c r="I24" i="61"/>
  <c r="I25" i="61" s="1"/>
  <c r="I26" i="61" s="1"/>
  <c r="I27" i="61" s="1"/>
  <c r="I28" i="61" s="1"/>
  <c r="I29" i="61" s="1"/>
  <c r="I30" i="61" s="1"/>
  <c r="I31" i="61" s="1"/>
  <c r="I32" i="61" s="1"/>
  <c r="I33" i="61" s="1"/>
  <c r="I24" i="53"/>
  <c r="I25" i="53" s="1"/>
  <c r="I26" i="53" s="1"/>
  <c r="I27" i="53" s="1"/>
  <c r="I28" i="53" s="1"/>
  <c r="I29" i="53" s="1"/>
  <c r="I30" i="53" s="1"/>
  <c r="I31" i="53" s="1"/>
  <c r="I32" i="53" s="1"/>
  <c r="I33" i="53" s="1"/>
  <c r="I24" i="33"/>
  <c r="I25" i="33" s="1"/>
  <c r="I26" i="33" s="1"/>
  <c r="I27" i="33" s="1"/>
  <c r="I28" i="33" s="1"/>
  <c r="I29" i="33" s="1"/>
  <c r="I30" i="33" s="1"/>
  <c r="I31" i="33" s="1"/>
  <c r="I32" i="33" s="1"/>
  <c r="I33" i="33" s="1"/>
  <c r="D12" i="47"/>
  <c r="E12" i="47"/>
  <c r="E18" i="47" s="1"/>
  <c r="I23" i="6" s="1"/>
  <c r="D12" i="91"/>
  <c r="E12" i="91"/>
  <c r="E14" i="75"/>
  <c r="E14" i="83"/>
  <c r="I32" i="6" s="1"/>
  <c r="E14" i="87"/>
  <c r="I33" i="6" s="1"/>
  <c r="D15" i="91"/>
  <c r="E15" i="91"/>
  <c r="D12" i="31"/>
  <c r="E12" i="31"/>
  <c r="E17" i="31" s="1"/>
  <c r="I19" i="6" s="1"/>
  <c r="D12" i="100"/>
  <c r="E12" i="100"/>
  <c r="E17" i="100" s="1"/>
  <c r="I36" i="6" s="1"/>
  <c r="E16" i="71"/>
  <c r="I29" i="6" s="1"/>
  <c r="E18" i="59"/>
  <c r="I26" i="6" s="1"/>
  <c r="E17" i="51"/>
  <c r="I24" i="6" s="1"/>
  <c r="E17" i="67"/>
  <c r="I28" i="6" s="1"/>
  <c r="E18" i="35"/>
  <c r="E17" i="55"/>
  <c r="E17" i="43"/>
  <c r="I22" i="6" s="1"/>
  <c r="E17" i="79"/>
  <c r="I31" i="6" s="1"/>
  <c r="D12" i="43"/>
  <c r="F12" i="43" s="1"/>
  <c r="D12" i="71"/>
  <c r="D12" i="51"/>
  <c r="F12" i="51" s="1"/>
  <c r="H28" i="44"/>
  <c r="D12" i="55"/>
  <c r="D17" i="55" s="1"/>
  <c r="H25" i="6" s="1"/>
  <c r="F12" i="75"/>
  <c r="D12" i="79"/>
  <c r="D12" i="35"/>
  <c r="D18" i="35" s="1"/>
  <c r="H20" i="6" s="1"/>
  <c r="H28" i="32"/>
  <c r="H9" i="68"/>
  <c r="H10" i="68" s="1"/>
  <c r="H11" i="68" s="1"/>
  <c r="H12" i="68" s="1"/>
  <c r="H13" i="68" s="1"/>
  <c r="H14" i="68" s="1"/>
  <c r="H15" i="68" s="1"/>
  <c r="H16" i="68" s="1"/>
  <c r="H17" i="68" s="1"/>
  <c r="H18" i="68" s="1"/>
  <c r="H19" i="68" s="1"/>
  <c r="H20" i="68" s="1"/>
  <c r="H21" i="68" s="1"/>
  <c r="H23" i="60"/>
  <c r="F10" i="59" s="1"/>
  <c r="H28" i="88"/>
  <c r="H28" i="84"/>
  <c r="F10" i="89"/>
  <c r="F11" i="89" s="1"/>
  <c r="F12" i="89" s="1"/>
  <c r="F13" i="89" s="1"/>
  <c r="F14" i="89" s="1"/>
  <c r="F15" i="89" s="1"/>
  <c r="F16" i="89" s="1"/>
  <c r="F17" i="89" s="1"/>
  <c r="F18" i="89" s="1"/>
  <c r="F19" i="89" s="1"/>
  <c r="F20" i="89" s="1"/>
  <c r="F21" i="89" s="1"/>
  <c r="F12" i="83"/>
  <c r="I9" i="77"/>
  <c r="I10" i="77" s="1"/>
  <c r="I11" i="77" s="1"/>
  <c r="I12" i="77" s="1"/>
  <c r="I13" i="77" s="1"/>
  <c r="I14" i="77" s="1"/>
  <c r="I15" i="77" s="1"/>
  <c r="I16" i="77" s="1"/>
  <c r="I17" i="77" s="1"/>
  <c r="I18" i="77" s="1"/>
  <c r="I19" i="77" s="1"/>
  <c r="I20" i="77" s="1"/>
  <c r="I21" i="77" s="1"/>
  <c r="H28" i="48"/>
  <c r="H28" i="72"/>
  <c r="I30" i="98"/>
  <c r="F11" i="96" s="1"/>
  <c r="I23" i="77"/>
  <c r="I35" i="65"/>
  <c r="F11" i="63" s="1"/>
  <c r="H28" i="36"/>
  <c r="H23" i="36"/>
  <c r="F10" i="35" s="1"/>
  <c r="D11" i="63"/>
  <c r="I39" i="49"/>
  <c r="F10" i="73"/>
  <c r="F11" i="73" s="1"/>
  <c r="F12" i="73" s="1"/>
  <c r="F13" i="73" s="1"/>
  <c r="F14" i="73" s="1"/>
  <c r="F15" i="73" s="1"/>
  <c r="F16" i="73" s="1"/>
  <c r="F17" i="73" s="1"/>
  <c r="F18" i="73" s="1"/>
  <c r="F19" i="73" s="1"/>
  <c r="F20" i="73" s="1"/>
  <c r="F21" i="73" s="1"/>
  <c r="F22" i="73" s="1"/>
  <c r="F23" i="73" s="1"/>
  <c r="F24" i="73" s="1"/>
  <c r="F25" i="73" s="1"/>
  <c r="F26" i="73" s="1"/>
  <c r="F27" i="73" s="1"/>
  <c r="F28" i="73" s="1"/>
  <c r="F29" i="73" s="1"/>
  <c r="F30" i="73" s="1"/>
  <c r="F31" i="73" s="1"/>
  <c r="F32" i="73" s="1"/>
  <c r="F33" i="73" s="1"/>
  <c r="F34" i="73" s="1"/>
  <c r="F35" i="73" s="1"/>
  <c r="F36" i="73" s="1"/>
  <c r="F37" i="73" s="1"/>
  <c r="I9" i="49"/>
  <c r="I10" i="49" s="1"/>
  <c r="I11" i="49" s="1"/>
  <c r="I12" i="49" s="1"/>
  <c r="I13" i="49" s="1"/>
  <c r="I14" i="49" s="1"/>
  <c r="I15" i="49" s="1"/>
  <c r="I16" i="49" s="1"/>
  <c r="I17" i="49" s="1"/>
  <c r="I18" i="49" s="1"/>
  <c r="I19" i="49" s="1"/>
  <c r="I20" i="49" s="1"/>
  <c r="I21" i="49" s="1"/>
  <c r="I22" i="49" s="1"/>
  <c r="I23" i="49" s="1"/>
  <c r="I24" i="49" s="1"/>
  <c r="I25" i="49" s="1"/>
  <c r="I26" i="49" s="1"/>
  <c r="I27" i="49" s="1"/>
  <c r="I28" i="49" s="1"/>
  <c r="F10" i="33"/>
  <c r="F11" i="33" s="1"/>
  <c r="F12" i="33" s="1"/>
  <c r="F13" i="33" s="1"/>
  <c r="F14" i="33" s="1"/>
  <c r="F15" i="33" s="1"/>
  <c r="F16" i="33" s="1"/>
  <c r="F17" i="33" s="1"/>
  <c r="F18" i="33" s="1"/>
  <c r="F19" i="33" s="1"/>
  <c r="F20" i="33" s="1"/>
  <c r="F21" i="33" s="1"/>
  <c r="F22" i="33" s="1"/>
  <c r="F23" i="33" s="1"/>
  <c r="F24" i="33" s="1"/>
  <c r="F25" i="33" s="1"/>
  <c r="F26" i="33" s="1"/>
  <c r="F27" i="33" s="1"/>
  <c r="F28" i="33" s="1"/>
  <c r="F29" i="33" s="1"/>
  <c r="F30" i="33" s="1"/>
  <c r="H28" i="52"/>
  <c r="I37" i="81"/>
  <c r="F10" i="53"/>
  <c r="F11" i="53" s="1"/>
  <c r="F12" i="53" s="1"/>
  <c r="F13" i="53" s="1"/>
  <c r="F14" i="53" s="1"/>
  <c r="F15" i="53" s="1"/>
  <c r="F16" i="53" s="1"/>
  <c r="F17" i="53" s="1"/>
  <c r="F18" i="53" s="1"/>
  <c r="F19" i="53" s="1"/>
  <c r="F20" i="53" s="1"/>
  <c r="F21" i="53" s="1"/>
  <c r="F22" i="53" s="1"/>
  <c r="F23" i="53" s="1"/>
  <c r="F24" i="53" s="1"/>
  <c r="F25" i="53" s="1"/>
  <c r="F26" i="53" s="1"/>
  <c r="F27" i="53" s="1"/>
  <c r="F28" i="53" s="1"/>
  <c r="F29" i="53" s="1"/>
  <c r="F30" i="53" s="1"/>
  <c r="F31" i="53" s="1"/>
  <c r="F32" i="53" s="1"/>
  <c r="F33" i="53" s="1"/>
  <c r="H28" i="56"/>
  <c r="H9" i="64"/>
  <c r="H10" i="64" s="1"/>
  <c r="H11" i="64" s="1"/>
  <c r="H12" i="64" s="1"/>
  <c r="H13" i="64" s="1"/>
  <c r="H14" i="64" s="1"/>
  <c r="H15" i="64" s="1"/>
  <c r="H16" i="64" s="1"/>
  <c r="H17" i="64" s="1"/>
  <c r="H18" i="64" s="1"/>
  <c r="H19" i="64" s="1"/>
  <c r="H20" i="64" s="1"/>
  <c r="H21" i="64" s="1"/>
  <c r="H23" i="88"/>
  <c r="F10" i="87" s="1"/>
  <c r="H28" i="101"/>
  <c r="H23" i="44"/>
  <c r="F10" i="43" s="1"/>
  <c r="I35" i="53"/>
  <c r="I39" i="93"/>
  <c r="F12" i="67"/>
  <c r="F12" i="96"/>
  <c r="I23" i="85"/>
  <c r="I37" i="102"/>
  <c r="I39" i="41"/>
  <c r="H9" i="76"/>
  <c r="H10" i="76" s="1"/>
  <c r="H11" i="76" s="1"/>
  <c r="H12" i="76" s="1"/>
  <c r="H13" i="76" s="1"/>
  <c r="H14" i="76" s="1"/>
  <c r="H15" i="76" s="1"/>
  <c r="H16" i="76" s="1"/>
  <c r="H17" i="76" s="1"/>
  <c r="H18" i="76" s="1"/>
  <c r="H19" i="76" s="1"/>
  <c r="H20" i="76" s="1"/>
  <c r="H21" i="76" s="1"/>
  <c r="H9" i="80"/>
  <c r="H10" i="80" s="1"/>
  <c r="H11" i="80" s="1"/>
  <c r="H12" i="80" s="1"/>
  <c r="H13" i="80" s="1"/>
  <c r="H14" i="80" s="1"/>
  <c r="H15" i="80" s="1"/>
  <c r="H16" i="80" s="1"/>
  <c r="H17" i="80" s="1"/>
  <c r="H18" i="80" s="1"/>
  <c r="H19" i="80" s="1"/>
  <c r="H20" i="80" s="1"/>
  <c r="H21" i="80" s="1"/>
  <c r="H23" i="84"/>
  <c r="F10" i="83" s="1"/>
  <c r="D17" i="67"/>
  <c r="H28" i="6" s="1"/>
  <c r="H23" i="32"/>
  <c r="F10" i="31" s="1"/>
  <c r="I35" i="33"/>
  <c r="I39" i="57"/>
  <c r="D10" i="87"/>
  <c r="D14" i="87" s="1"/>
  <c r="H33" i="6" s="1"/>
  <c r="I23" i="89"/>
  <c r="F12" i="87"/>
  <c r="H28" i="92"/>
  <c r="I35" i="6"/>
  <c r="D11" i="96"/>
  <c r="D16" i="96" s="1"/>
  <c r="H35" i="6" s="1"/>
  <c r="I37" i="45"/>
  <c r="H23" i="48"/>
  <c r="F10" i="47" s="1"/>
  <c r="D10" i="59"/>
  <c r="D18" i="59" s="1"/>
  <c r="H26" i="6" s="1"/>
  <c r="I9" i="69"/>
  <c r="I10" i="69" s="1"/>
  <c r="I11" i="69" s="1"/>
  <c r="I12" i="69" s="1"/>
  <c r="I13" i="69" s="1"/>
  <c r="I14" i="69" s="1"/>
  <c r="I15" i="69" s="1"/>
  <c r="I16" i="69" s="1"/>
  <c r="I17" i="69" s="1"/>
  <c r="I18" i="69" s="1"/>
  <c r="I19" i="69" s="1"/>
  <c r="I20" i="69" s="1"/>
  <c r="I21" i="69" s="1"/>
  <c r="I22" i="69" s="1"/>
  <c r="I23" i="69" s="1"/>
  <c r="I24" i="69" s="1"/>
  <c r="I25" i="69" s="1"/>
  <c r="I26" i="69" s="1"/>
  <c r="I27" i="69" s="1"/>
  <c r="I28" i="69" s="1"/>
  <c r="I29" i="69" s="1"/>
  <c r="I30" i="69" s="1"/>
  <c r="I31" i="69" s="1"/>
  <c r="I32" i="69" s="1"/>
  <c r="I30" i="6"/>
  <c r="I9" i="85"/>
  <c r="I10" i="85" s="1"/>
  <c r="I11" i="85" s="1"/>
  <c r="I12" i="85" s="1"/>
  <c r="I13" i="85" s="1"/>
  <c r="I14" i="85" s="1"/>
  <c r="I15" i="85" s="1"/>
  <c r="I16" i="85" s="1"/>
  <c r="I17" i="85" s="1"/>
  <c r="I18" i="85" s="1"/>
  <c r="I19" i="85" s="1"/>
  <c r="I20" i="85" s="1"/>
  <c r="I21" i="85" s="1"/>
  <c r="I9" i="93"/>
  <c r="I10" i="93" s="1"/>
  <c r="I11" i="93" s="1"/>
  <c r="I12" i="93" s="1"/>
  <c r="I13" i="93" s="1"/>
  <c r="I14" i="93" s="1"/>
  <c r="I15" i="93" s="1"/>
  <c r="I16" i="93" s="1"/>
  <c r="I17" i="93" s="1"/>
  <c r="I18" i="93" s="1"/>
  <c r="I19" i="93" s="1"/>
  <c r="I20" i="93" s="1"/>
  <c r="I21" i="93" s="1"/>
  <c r="I22" i="93" s="1"/>
  <c r="I23" i="93" s="1"/>
  <c r="I24" i="93" s="1"/>
  <c r="I25" i="93" s="1"/>
  <c r="I26" i="93" s="1"/>
  <c r="I27" i="93" s="1"/>
  <c r="I28" i="93" s="1"/>
  <c r="I9" i="98"/>
  <c r="I10" i="98" s="1"/>
  <c r="I11" i="98" s="1"/>
  <c r="I12" i="98" s="1"/>
  <c r="I13" i="98" s="1"/>
  <c r="I14" i="98" s="1"/>
  <c r="I15" i="98" s="1"/>
  <c r="I16" i="98" s="1"/>
  <c r="I17" i="98" s="1"/>
  <c r="I18" i="98" s="1"/>
  <c r="I19" i="98" s="1"/>
  <c r="I20" i="98" s="1"/>
  <c r="I21" i="98" s="1"/>
  <c r="I22" i="98" s="1"/>
  <c r="I23" i="98" s="1"/>
  <c r="I24" i="98" s="1"/>
  <c r="I25" i="98" s="1"/>
  <c r="I26" i="98" s="1"/>
  <c r="I27" i="98" s="1"/>
  <c r="I28" i="98" s="1"/>
  <c r="H26" i="40"/>
  <c r="F10" i="39" s="1"/>
  <c r="D11" i="83"/>
  <c r="D14" i="83" s="1"/>
  <c r="H32" i="6" s="1"/>
  <c r="D10" i="31"/>
  <c r="I9" i="45"/>
  <c r="I10" i="45" s="1"/>
  <c r="I11" i="45" s="1"/>
  <c r="I12" i="45" s="1"/>
  <c r="I13" i="45" s="1"/>
  <c r="I14" i="45" s="1"/>
  <c r="I15" i="45" s="1"/>
  <c r="I16" i="45" s="1"/>
  <c r="I17" i="45" s="1"/>
  <c r="I18" i="45" s="1"/>
  <c r="I19" i="45" s="1"/>
  <c r="I20" i="45" s="1"/>
  <c r="I21" i="45" s="1"/>
  <c r="I22" i="45" s="1"/>
  <c r="I23" i="45" s="1"/>
  <c r="I24" i="45" s="1"/>
  <c r="I25" i="45" s="1"/>
  <c r="I26" i="45" s="1"/>
  <c r="I27" i="45" s="1"/>
  <c r="I28" i="45" s="1"/>
  <c r="I29" i="45" s="1"/>
  <c r="I30" i="45" s="1"/>
  <c r="I31" i="45" s="1"/>
  <c r="I32" i="45" s="1"/>
  <c r="I33" i="45" s="1"/>
  <c r="I34" i="45" s="1"/>
  <c r="I35" i="45" s="1"/>
  <c r="H9" i="52"/>
  <c r="H10" i="52" s="1"/>
  <c r="H11" i="52" s="1"/>
  <c r="H12" i="52" s="1"/>
  <c r="H13" i="52" s="1"/>
  <c r="H14" i="52" s="1"/>
  <c r="H15" i="52" s="1"/>
  <c r="H16" i="52" s="1"/>
  <c r="H17" i="52" s="1"/>
  <c r="H18" i="52" s="1"/>
  <c r="H19" i="52" s="1"/>
  <c r="H20" i="52" s="1"/>
  <c r="H21" i="52" s="1"/>
  <c r="I9" i="57"/>
  <c r="I10" i="57" s="1"/>
  <c r="I11" i="57" s="1"/>
  <c r="I12" i="57" s="1"/>
  <c r="I13" i="57" s="1"/>
  <c r="I14" i="57" s="1"/>
  <c r="I15" i="57" s="1"/>
  <c r="I16" i="57" s="1"/>
  <c r="I17" i="57" s="1"/>
  <c r="I18" i="57" s="1"/>
  <c r="I19" i="57" s="1"/>
  <c r="I20" i="57" s="1"/>
  <c r="I21" i="57" s="1"/>
  <c r="I22" i="57" s="1"/>
  <c r="I23" i="57" s="1"/>
  <c r="I24" i="57" s="1"/>
  <c r="I25" i="57" s="1"/>
  <c r="I26" i="57" s="1"/>
  <c r="I27" i="57" s="1"/>
  <c r="I28" i="57" s="1"/>
  <c r="I29" i="57" s="1"/>
  <c r="I30" i="57" s="1"/>
  <c r="I31" i="57" s="1"/>
  <c r="I32" i="57" s="1"/>
  <c r="I33" i="57" s="1"/>
  <c r="I34" i="57" s="1"/>
  <c r="I35" i="57" s="1"/>
  <c r="I36" i="57" s="1"/>
  <c r="I37" i="57" s="1"/>
  <c r="D11" i="31"/>
  <c r="D11" i="47"/>
  <c r="F12" i="59"/>
  <c r="H23" i="68"/>
  <c r="F10" i="67" s="1"/>
  <c r="I37" i="69"/>
  <c r="I39" i="73"/>
  <c r="H28" i="80"/>
  <c r="D11" i="100"/>
  <c r="H23" i="101"/>
  <c r="F10" i="100" s="1"/>
  <c r="I9" i="102"/>
  <c r="I10" i="102" s="1"/>
  <c r="I11" i="102" s="1"/>
  <c r="I12" i="102" s="1"/>
  <c r="I13" i="102" s="1"/>
  <c r="I14" i="102" s="1"/>
  <c r="I15" i="102" s="1"/>
  <c r="I16" i="102" s="1"/>
  <c r="I17" i="102" s="1"/>
  <c r="I18" i="102" s="1"/>
  <c r="I19" i="102" s="1"/>
  <c r="I20" i="102" s="1"/>
  <c r="I21" i="102" s="1"/>
  <c r="I22" i="102" s="1"/>
  <c r="I23" i="102" s="1"/>
  <c r="I24" i="102" s="1"/>
  <c r="I25" i="102" s="1"/>
  <c r="I26" i="102" s="1"/>
  <c r="I27" i="102" s="1"/>
  <c r="I28" i="102" s="1"/>
  <c r="I29" i="102" s="1"/>
  <c r="I30" i="102" s="1"/>
  <c r="I31" i="102" s="1"/>
  <c r="I32" i="102" s="1"/>
  <c r="I33" i="102" s="1"/>
  <c r="I34" i="102" s="1"/>
  <c r="I35" i="102" s="1"/>
  <c r="H23" i="92"/>
  <c r="H9" i="92"/>
  <c r="H10" i="92" s="1"/>
  <c r="H11" i="92" s="1"/>
  <c r="H12" i="92" s="1"/>
  <c r="H13" i="92" s="1"/>
  <c r="H14" i="92" s="1"/>
  <c r="H15" i="92" s="1"/>
  <c r="H16" i="92" s="1"/>
  <c r="H17" i="92" s="1"/>
  <c r="H18" i="92" s="1"/>
  <c r="H19" i="92" s="1"/>
  <c r="H20" i="92" s="1"/>
  <c r="H21" i="92" s="1"/>
  <c r="H9" i="88"/>
  <c r="H10" i="88" s="1"/>
  <c r="H11" i="88" s="1"/>
  <c r="H12" i="88" s="1"/>
  <c r="H13" i="88" s="1"/>
  <c r="H14" i="88" s="1"/>
  <c r="H15" i="88" s="1"/>
  <c r="H16" i="88" s="1"/>
  <c r="H17" i="88" s="1"/>
  <c r="H18" i="88" s="1"/>
  <c r="H19" i="88" s="1"/>
  <c r="H20" i="88" s="1"/>
  <c r="H21" i="88" s="1"/>
  <c r="H9" i="84"/>
  <c r="H10" i="84" s="1"/>
  <c r="H11" i="84" s="1"/>
  <c r="H12" i="84" s="1"/>
  <c r="H13" i="84" s="1"/>
  <c r="H14" i="84" s="1"/>
  <c r="H15" i="84" s="1"/>
  <c r="H16" i="84" s="1"/>
  <c r="H17" i="84" s="1"/>
  <c r="H18" i="84" s="1"/>
  <c r="H19" i="84" s="1"/>
  <c r="H20" i="84" s="1"/>
  <c r="H21" i="84" s="1"/>
  <c r="H23" i="80"/>
  <c r="F10" i="79" s="1"/>
  <c r="I9" i="81"/>
  <c r="I10" i="81" s="1"/>
  <c r="I11" i="81" s="1"/>
  <c r="I12" i="81" s="1"/>
  <c r="I13" i="81" s="1"/>
  <c r="I14" i="81" s="1"/>
  <c r="I15" i="81" s="1"/>
  <c r="I16" i="81" s="1"/>
  <c r="I17" i="81" s="1"/>
  <c r="I18" i="81" s="1"/>
  <c r="I19" i="81" s="1"/>
  <c r="I20" i="81" s="1"/>
  <c r="I21" i="81" s="1"/>
  <c r="I22" i="81" s="1"/>
  <c r="I23" i="81" s="1"/>
  <c r="I24" i="81" s="1"/>
  <c r="I25" i="81" s="1"/>
  <c r="I26" i="81" s="1"/>
  <c r="I27" i="81" s="1"/>
  <c r="I28" i="81" s="1"/>
  <c r="I29" i="81" s="1"/>
  <c r="I30" i="81" s="1"/>
  <c r="I31" i="81" s="1"/>
  <c r="I32" i="81" s="1"/>
  <c r="I33" i="81" s="1"/>
  <c r="I34" i="81" s="1"/>
  <c r="I35" i="81" s="1"/>
  <c r="D11" i="75"/>
  <c r="D14" i="75" s="1"/>
  <c r="H30" i="6" s="1"/>
  <c r="H23" i="76"/>
  <c r="F10" i="75" s="1"/>
  <c r="D11" i="71"/>
  <c r="H23" i="72"/>
  <c r="F10" i="71" s="1"/>
  <c r="H23" i="64"/>
  <c r="F10" i="63" s="1"/>
  <c r="I9" i="65"/>
  <c r="I10" i="65" s="1"/>
  <c r="I11" i="65" s="1"/>
  <c r="I12" i="65" s="1"/>
  <c r="I13" i="65" s="1"/>
  <c r="I14" i="65" s="1"/>
  <c r="I15" i="65" s="1"/>
  <c r="I16" i="65" s="1"/>
  <c r="I17" i="65" s="1"/>
  <c r="I18" i="65" s="1"/>
  <c r="I19" i="65" s="1"/>
  <c r="I20" i="65" s="1"/>
  <c r="I21" i="65" s="1"/>
  <c r="I22" i="65" s="1"/>
  <c r="I23" i="65" s="1"/>
  <c r="F10" i="61"/>
  <c r="F11" i="61" s="1"/>
  <c r="F12" i="61" s="1"/>
  <c r="F13" i="61" s="1"/>
  <c r="F14" i="61" s="1"/>
  <c r="F15" i="61" s="1"/>
  <c r="F16" i="61" s="1"/>
  <c r="F17" i="61" s="1"/>
  <c r="F18" i="61" s="1"/>
  <c r="F19" i="61" s="1"/>
  <c r="F20" i="61" s="1"/>
  <c r="F21" i="61" s="1"/>
  <c r="F22" i="61" s="1"/>
  <c r="F23" i="61" s="1"/>
  <c r="F24" i="61" s="1"/>
  <c r="F25" i="61" s="1"/>
  <c r="F26" i="61" s="1"/>
  <c r="F27" i="61" s="1"/>
  <c r="F28" i="61" s="1"/>
  <c r="F29" i="61" s="1"/>
  <c r="F30" i="61" s="1"/>
  <c r="I35" i="61"/>
  <c r="H23" i="56"/>
  <c r="F10" i="55" s="1"/>
  <c r="D11" i="51"/>
  <c r="H23" i="52"/>
  <c r="F10" i="51" s="1"/>
  <c r="H9" i="48"/>
  <c r="H10" i="48" s="1"/>
  <c r="H11" i="48" s="1"/>
  <c r="H12" i="48" s="1"/>
  <c r="H13" i="48" s="1"/>
  <c r="H14" i="48" s="1"/>
  <c r="H15" i="48" s="1"/>
  <c r="H16" i="48" s="1"/>
  <c r="H17" i="48" s="1"/>
  <c r="H18" i="48" s="1"/>
  <c r="H19" i="48" s="1"/>
  <c r="H20" i="48" s="1"/>
  <c r="H21" i="48" s="1"/>
  <c r="I9" i="41"/>
  <c r="I37" i="37"/>
  <c r="I9" i="37"/>
  <c r="I10" i="37" s="1"/>
  <c r="I11" i="37" s="1"/>
  <c r="I12" i="37" s="1"/>
  <c r="I13" i="37" s="1"/>
  <c r="I14" i="37" s="1"/>
  <c r="I15" i="37" s="1"/>
  <c r="I16" i="37" s="1"/>
  <c r="I17" i="37" s="1"/>
  <c r="I18" i="37" s="1"/>
  <c r="I19" i="37" s="1"/>
  <c r="I20" i="37" s="1"/>
  <c r="I21" i="37" s="1"/>
  <c r="I22" i="37" s="1"/>
  <c r="I23" i="37" s="1"/>
  <c r="I24" i="37" s="1"/>
  <c r="I25" i="37" s="1"/>
  <c r="I26" i="37" s="1"/>
  <c r="I27" i="37" s="1"/>
  <c r="I28" i="37" s="1"/>
  <c r="I29" i="37" s="1"/>
  <c r="I30" i="37" s="1"/>
  <c r="I31" i="37" s="1"/>
  <c r="I32" i="37" s="1"/>
  <c r="I33" i="37" s="1"/>
  <c r="I34" i="37" s="1"/>
  <c r="I35" i="37" s="1"/>
  <c r="H9" i="32"/>
  <c r="H10" i="32" s="1"/>
  <c r="H11" i="32" s="1"/>
  <c r="H12" i="32" s="1"/>
  <c r="H13" i="32" s="1"/>
  <c r="H14" i="32" s="1"/>
  <c r="H15" i="32" s="1"/>
  <c r="H16" i="32" s="1"/>
  <c r="H17" i="32" s="1"/>
  <c r="H18" i="32" s="1"/>
  <c r="H19" i="32" s="1"/>
  <c r="H20" i="32" s="1"/>
  <c r="H21" i="32" s="1"/>
  <c r="F12" i="39" l="1"/>
  <c r="D18" i="39"/>
  <c r="H21" i="6" s="1"/>
  <c r="F12" i="91"/>
  <c r="F12" i="63"/>
  <c r="F12" i="47"/>
  <c r="D17" i="100"/>
  <c r="H36" i="6" s="1"/>
  <c r="D18" i="47"/>
  <c r="H23" i="6" s="1"/>
  <c r="E18" i="91"/>
  <c r="I34" i="6" s="1"/>
  <c r="D17" i="63"/>
  <c r="H27" i="6" s="1"/>
  <c r="D18" i="91"/>
  <c r="H34" i="6" s="1"/>
  <c r="I29" i="93"/>
  <c r="I30" i="93" s="1"/>
  <c r="I31" i="93" s="1"/>
  <c r="I32" i="93" s="1"/>
  <c r="I33" i="93" s="1"/>
  <c r="I34" i="93" s="1"/>
  <c r="I35" i="93" s="1"/>
  <c r="I36" i="93" s="1"/>
  <c r="I37" i="93" s="1"/>
  <c r="I24" i="65"/>
  <c r="I25" i="65" s="1"/>
  <c r="I26" i="65" s="1"/>
  <c r="I27" i="65" s="1"/>
  <c r="I28" i="65" s="1"/>
  <c r="I29" i="65" s="1"/>
  <c r="I30" i="65" s="1"/>
  <c r="I31" i="65" s="1"/>
  <c r="I32" i="65" s="1"/>
  <c r="I33" i="65" s="1"/>
  <c r="I29" i="49"/>
  <c r="I30" i="49" s="1"/>
  <c r="I31" i="49" s="1"/>
  <c r="I32" i="49" s="1"/>
  <c r="I33" i="49" s="1"/>
  <c r="I34" i="49" s="1"/>
  <c r="I35" i="49" s="1"/>
  <c r="I36" i="49" s="1"/>
  <c r="I37" i="49" s="1"/>
  <c r="D17" i="51"/>
  <c r="H24" i="6" s="1"/>
  <c r="D17" i="43"/>
  <c r="H22" i="6" s="1"/>
  <c r="F15" i="91"/>
  <c r="D17" i="31"/>
  <c r="H19" i="6" s="1"/>
  <c r="F12" i="79"/>
  <c r="F12" i="71"/>
  <c r="F12" i="55"/>
  <c r="D16" i="71"/>
  <c r="H29" i="6" s="1"/>
  <c r="D17" i="79"/>
  <c r="H31" i="6" s="1"/>
  <c r="F12" i="35"/>
  <c r="F18" i="35"/>
  <c r="J20" i="6" s="1"/>
  <c r="F11" i="87"/>
  <c r="O27" i="6"/>
  <c r="F11" i="83"/>
  <c r="F11" i="75"/>
  <c r="O30" i="6"/>
  <c r="F11" i="43"/>
  <c r="O22" i="6"/>
  <c r="F11" i="35"/>
  <c r="O20" i="6"/>
  <c r="F11" i="31"/>
  <c r="O19" i="6"/>
  <c r="F11" i="100"/>
  <c r="O36" i="6"/>
  <c r="F17" i="67"/>
  <c r="J28" i="6" s="1"/>
  <c r="F11" i="67"/>
  <c r="O28" i="6"/>
  <c r="F11" i="51"/>
  <c r="O24" i="6"/>
  <c r="F11" i="79"/>
  <c r="O31" i="6"/>
  <c r="F11" i="71"/>
  <c r="O29" i="6"/>
  <c r="F11" i="55"/>
  <c r="O25" i="6"/>
  <c r="F11" i="47"/>
  <c r="O23" i="6"/>
  <c r="F11" i="91"/>
  <c r="O34" i="6"/>
  <c r="I10" i="41"/>
  <c r="I11" i="41" s="1"/>
  <c r="I12" i="41" s="1"/>
  <c r="I13" i="41" s="1"/>
  <c r="I14" i="41" s="1"/>
  <c r="I15" i="41" s="1"/>
  <c r="I16" i="41" s="1"/>
  <c r="I17" i="41" s="1"/>
  <c r="I18" i="41" s="1"/>
  <c r="I19" i="41" s="1"/>
  <c r="I20" i="41" s="1"/>
  <c r="I21" i="41" s="1"/>
  <c r="I22" i="41" s="1"/>
  <c r="I23" i="41" s="1"/>
  <c r="I24" i="41" s="1"/>
  <c r="I25" i="41" s="1"/>
  <c r="I26" i="41" s="1"/>
  <c r="I27" i="41" s="1"/>
  <c r="I28" i="41" s="1"/>
  <c r="I29" i="41" s="1"/>
  <c r="I30" i="41" s="1"/>
  <c r="I31" i="41" s="1"/>
  <c r="I32" i="41" s="1"/>
  <c r="I33" i="41" s="1"/>
  <c r="I34" i="41" s="1"/>
  <c r="I35" i="41" s="1"/>
  <c r="I36" i="41" s="1"/>
  <c r="I37" i="41" s="1"/>
  <c r="F11" i="39"/>
  <c r="O21" i="6"/>
  <c r="F11" i="59"/>
  <c r="O26" i="6"/>
  <c r="F18" i="39"/>
  <c r="J21" i="6" s="1"/>
  <c r="F16" i="96"/>
  <c r="J35" i="6" s="1"/>
  <c r="F17" i="55"/>
  <c r="J25" i="6" s="1"/>
  <c r="I25" i="6"/>
  <c r="F18" i="59"/>
  <c r="J26" i="6" s="1"/>
  <c r="F14" i="87"/>
  <c r="J33" i="6" s="1"/>
  <c r="F14" i="83"/>
  <c r="J32" i="6" s="1"/>
  <c r="F14" i="75"/>
  <c r="J30" i="6" s="1"/>
  <c r="F17" i="100" l="1"/>
  <c r="J36" i="6" s="1"/>
  <c r="F18" i="47"/>
  <c r="J23" i="6" s="1"/>
  <c r="F18" i="91"/>
  <c r="J34" i="6" s="1"/>
  <c r="F17" i="63"/>
  <c r="J27" i="6" s="1"/>
  <c r="F17" i="43"/>
  <c r="J22" i="6" s="1"/>
  <c r="F17" i="51"/>
  <c r="J24" i="6" s="1"/>
  <c r="F17" i="31"/>
  <c r="J19" i="6" s="1"/>
  <c r="F17" i="79"/>
  <c r="J31" i="6" s="1"/>
  <c r="F16" i="71"/>
  <c r="J29" i="6" s="1"/>
  <c r="I20" i="6"/>
  <c r="G22" i="30"/>
  <c r="D12" i="27" s="1"/>
  <c r="H9" i="30"/>
  <c r="H10" i="30" s="1"/>
  <c r="H11" i="30" s="1"/>
  <c r="H12" i="30" s="1"/>
  <c r="H13" i="30" s="1"/>
  <c r="H14" i="30" s="1"/>
  <c r="H15" i="30" s="1"/>
  <c r="H16" i="30" s="1"/>
  <c r="H17" i="30" s="1"/>
  <c r="H18" i="30" s="1"/>
  <c r="H19" i="30" s="1"/>
  <c r="H20" i="30" s="1"/>
  <c r="A7" i="30"/>
  <c r="A3" i="30"/>
  <c r="A2" i="30"/>
  <c r="A1" i="30"/>
  <c r="G23" i="29"/>
  <c r="E11" i="27" s="1"/>
  <c r="D11" i="27"/>
  <c r="H10" i="29"/>
  <c r="H11" i="29" s="1"/>
  <c r="H12" i="29" s="1"/>
  <c r="H13" i="29" s="1"/>
  <c r="H14" i="29" s="1"/>
  <c r="H15" i="29" s="1"/>
  <c r="H16" i="29" s="1"/>
  <c r="H17" i="29" s="1"/>
  <c r="H18" i="29" s="1"/>
  <c r="H19" i="29" s="1"/>
  <c r="H20" i="29" s="1"/>
  <c r="H21" i="29" s="1"/>
  <c r="F9" i="29"/>
  <c r="F10" i="29" s="1"/>
  <c r="F11" i="29" s="1"/>
  <c r="F12" i="29" s="1"/>
  <c r="F13" i="29" s="1"/>
  <c r="F14" i="29" s="1"/>
  <c r="F15" i="29" s="1"/>
  <c r="F16" i="29" s="1"/>
  <c r="F17" i="29" s="1"/>
  <c r="F18" i="29" s="1"/>
  <c r="F19" i="29" s="1"/>
  <c r="F20" i="29" s="1"/>
  <c r="F21" i="29" s="1"/>
  <c r="A7" i="29"/>
  <c r="A3" i="29"/>
  <c r="A2" i="29"/>
  <c r="A1" i="29"/>
  <c r="F28" i="28"/>
  <c r="D28" i="28"/>
  <c r="H27" i="28"/>
  <c r="H26" i="28"/>
  <c r="F23" i="28"/>
  <c r="E10" i="27" s="1"/>
  <c r="D23" i="28"/>
  <c r="D10" i="27" s="1"/>
  <c r="G10" i="28"/>
  <c r="G11" i="28" s="1"/>
  <c r="G12" i="28" s="1"/>
  <c r="G13" i="28" s="1"/>
  <c r="G14" i="28" s="1"/>
  <c r="G15" i="28" s="1"/>
  <c r="G16" i="28" s="1"/>
  <c r="G17" i="28" s="1"/>
  <c r="G18" i="28" s="1"/>
  <c r="G19" i="28" s="1"/>
  <c r="G20" i="28" s="1"/>
  <c r="G21" i="28" s="1"/>
  <c r="A6" i="28"/>
  <c r="D3" i="28"/>
  <c r="A3" i="28"/>
  <c r="A2" i="28"/>
  <c r="A1" i="28"/>
  <c r="G22" i="26"/>
  <c r="D12" i="23" s="1"/>
  <c r="H9" i="26"/>
  <c r="H10" i="26" s="1"/>
  <c r="H11" i="26" s="1"/>
  <c r="H12" i="26" s="1"/>
  <c r="H13" i="26" s="1"/>
  <c r="H14" i="26" s="1"/>
  <c r="H15" i="26" s="1"/>
  <c r="H16" i="26" s="1"/>
  <c r="H17" i="26" s="1"/>
  <c r="H18" i="26" s="1"/>
  <c r="H19" i="26" s="1"/>
  <c r="H20" i="26" s="1"/>
  <c r="A7" i="26"/>
  <c r="A3" i="26"/>
  <c r="A2" i="26"/>
  <c r="A1" i="26"/>
  <c r="G23" i="25"/>
  <c r="E11" i="23" s="1"/>
  <c r="H10" i="25"/>
  <c r="H11" i="25" s="1"/>
  <c r="H12" i="25" s="1"/>
  <c r="H13" i="25" s="1"/>
  <c r="H14" i="25" s="1"/>
  <c r="H15" i="25" s="1"/>
  <c r="H16" i="25" s="1"/>
  <c r="H17" i="25" s="1"/>
  <c r="H18" i="25" s="1"/>
  <c r="H19" i="25" s="1"/>
  <c r="H20" i="25" s="1"/>
  <c r="H21" i="25" s="1"/>
  <c r="F9" i="25"/>
  <c r="F10" i="25" s="1"/>
  <c r="F11" i="25" s="1"/>
  <c r="F12" i="25" s="1"/>
  <c r="F13" i="25" s="1"/>
  <c r="F14" i="25" s="1"/>
  <c r="F15" i="25" s="1"/>
  <c r="F16" i="25" s="1"/>
  <c r="F17" i="25" s="1"/>
  <c r="F18" i="25" s="1"/>
  <c r="F19" i="25" s="1"/>
  <c r="F20" i="25" s="1"/>
  <c r="F21" i="25" s="1"/>
  <c r="A7" i="25"/>
  <c r="A3" i="25"/>
  <c r="A2" i="25"/>
  <c r="A1" i="25"/>
  <c r="F28" i="24"/>
  <c r="D28" i="24"/>
  <c r="H27" i="24"/>
  <c r="H26" i="24"/>
  <c r="F23" i="24"/>
  <c r="E10" i="23" s="1"/>
  <c r="D23" i="24"/>
  <c r="G10" i="24"/>
  <c r="G11" i="24" s="1"/>
  <c r="G12" i="24" s="1"/>
  <c r="G13" i="24" s="1"/>
  <c r="G14" i="24" s="1"/>
  <c r="G15" i="24" s="1"/>
  <c r="G16" i="24" s="1"/>
  <c r="G17" i="24" s="1"/>
  <c r="G18" i="24" s="1"/>
  <c r="G19" i="24" s="1"/>
  <c r="G20" i="24" s="1"/>
  <c r="G21" i="24" s="1"/>
  <c r="A6" i="24"/>
  <c r="D3" i="24"/>
  <c r="A3" i="24"/>
  <c r="A2" i="24"/>
  <c r="A1" i="24"/>
  <c r="E14" i="23" l="1"/>
  <c r="E14" i="27"/>
  <c r="I18" i="6" s="1"/>
  <c r="I23" i="29"/>
  <c r="F11" i="27" s="1"/>
  <c r="H28" i="28"/>
  <c r="I23" i="25"/>
  <c r="F11" i="23" s="1"/>
  <c r="H28" i="24"/>
  <c r="I9" i="25"/>
  <c r="I10" i="25" s="1"/>
  <c r="I11" i="25" s="1"/>
  <c r="I12" i="25" s="1"/>
  <c r="I13" i="25" s="1"/>
  <c r="I14" i="25" s="1"/>
  <c r="I15" i="25" s="1"/>
  <c r="I16" i="25" s="1"/>
  <c r="I17" i="25" s="1"/>
  <c r="I18" i="25" s="1"/>
  <c r="I19" i="25" s="1"/>
  <c r="I20" i="25" s="1"/>
  <c r="I21" i="25" s="1"/>
  <c r="H23" i="24"/>
  <c r="F10" i="23" s="1"/>
  <c r="I17" i="6"/>
  <c r="H9" i="24"/>
  <c r="H10" i="24" s="1"/>
  <c r="H11" i="24" s="1"/>
  <c r="H12" i="24" s="1"/>
  <c r="H13" i="24" s="1"/>
  <c r="H14" i="24" s="1"/>
  <c r="H15" i="24" s="1"/>
  <c r="H16" i="24" s="1"/>
  <c r="H17" i="24" s="1"/>
  <c r="H18" i="24" s="1"/>
  <c r="H19" i="24" s="1"/>
  <c r="H20" i="24" s="1"/>
  <c r="H21" i="24" s="1"/>
  <c r="F12" i="27"/>
  <c r="H9" i="28"/>
  <c r="H10" i="28" s="1"/>
  <c r="H11" i="28" s="1"/>
  <c r="H12" i="28" s="1"/>
  <c r="H13" i="28" s="1"/>
  <c r="H14" i="28" s="1"/>
  <c r="H15" i="28" s="1"/>
  <c r="H16" i="28" s="1"/>
  <c r="H17" i="28" s="1"/>
  <c r="H18" i="28" s="1"/>
  <c r="H19" i="28" s="1"/>
  <c r="H20" i="28" s="1"/>
  <c r="H21" i="28" s="1"/>
  <c r="F12" i="23"/>
  <c r="H23" i="28"/>
  <c r="F10" i="27" s="1"/>
  <c r="D10" i="23"/>
  <c r="D14" i="27"/>
  <c r="H18" i="6" s="1"/>
  <c r="I9" i="29"/>
  <c r="I10" i="29" s="1"/>
  <c r="I11" i="29" s="1"/>
  <c r="I12" i="29" s="1"/>
  <c r="I13" i="29" s="1"/>
  <c r="I14" i="29" s="1"/>
  <c r="I15" i="29" s="1"/>
  <c r="I16" i="29" s="1"/>
  <c r="I17" i="29" s="1"/>
  <c r="I18" i="29" s="1"/>
  <c r="I19" i="29" s="1"/>
  <c r="I20" i="29" s="1"/>
  <c r="I21" i="29" s="1"/>
  <c r="D11" i="23"/>
  <c r="G36" i="6"/>
  <c r="C8" i="100" s="1"/>
  <c r="F14" i="27" l="1"/>
  <c r="J18" i="6" s="1"/>
  <c r="D14" i="23"/>
  <c r="H17" i="6" s="1"/>
  <c r="C17" i="100"/>
  <c r="G17" i="100"/>
  <c r="K36" i="6" s="1"/>
  <c r="F14" i="23" l="1"/>
  <c r="J17" i="6" s="1"/>
  <c r="F31" i="22"/>
  <c r="D31" i="22"/>
  <c r="H28" i="22"/>
  <c r="H29" i="22"/>
  <c r="H30" i="22"/>
  <c r="H27" i="22"/>
  <c r="F24" i="22"/>
  <c r="E13" i="2" s="1"/>
  <c r="D24" i="22"/>
  <c r="G10" i="22"/>
  <c r="G11" i="22" s="1"/>
  <c r="G12" i="22" s="1"/>
  <c r="G13" i="22" s="1"/>
  <c r="G14" i="22" s="1"/>
  <c r="G15" i="22" s="1"/>
  <c r="G16" i="22" s="1"/>
  <c r="G17" i="22" s="1"/>
  <c r="G18" i="22" s="1"/>
  <c r="G19" i="22" s="1"/>
  <c r="G20" i="22" s="1"/>
  <c r="G21" i="22" s="1"/>
  <c r="G22" i="22" s="1"/>
  <c r="H9" i="22"/>
  <c r="H10" i="22" s="1"/>
  <c r="H11" i="22" s="1"/>
  <c r="H12" i="22" s="1"/>
  <c r="H13" i="22" s="1"/>
  <c r="H14" i="22" s="1"/>
  <c r="H15" i="22" s="1"/>
  <c r="H16" i="22" s="1"/>
  <c r="H17" i="22" s="1"/>
  <c r="H18" i="22" s="1"/>
  <c r="H19" i="22" s="1"/>
  <c r="H20" i="22" s="1"/>
  <c r="H21" i="22" s="1"/>
  <c r="H22" i="22" s="1"/>
  <c r="A6" i="22"/>
  <c r="D3" i="22"/>
  <c r="A3" i="22"/>
  <c r="A2" i="22"/>
  <c r="A1" i="22"/>
  <c r="H31" i="22" l="1"/>
  <c r="H24" i="22"/>
  <c r="F13" i="2" s="1"/>
  <c r="D13" i="2"/>
  <c r="G12" i="8" l="1"/>
  <c r="G11" i="8" l="1"/>
  <c r="G47" i="8" s="1"/>
  <c r="E11" i="7" s="1"/>
  <c r="E14" i="7" s="1"/>
  <c r="A1" i="21" l="1"/>
  <c r="G22" i="21"/>
  <c r="E12" i="18" s="1"/>
  <c r="H9" i="21"/>
  <c r="H10" i="21" s="1"/>
  <c r="H11" i="21" s="1"/>
  <c r="H12" i="21" s="1"/>
  <c r="H13" i="21" s="1"/>
  <c r="H14" i="21" s="1"/>
  <c r="H15" i="21" s="1"/>
  <c r="H16" i="21" s="1"/>
  <c r="H17" i="21" s="1"/>
  <c r="H18" i="21" s="1"/>
  <c r="H19" i="21" s="1"/>
  <c r="H20" i="21" s="1"/>
  <c r="A7" i="21"/>
  <c r="A3" i="21"/>
  <c r="A2" i="21"/>
  <c r="H10" i="20"/>
  <c r="H11" i="20" s="1"/>
  <c r="H12" i="20" s="1"/>
  <c r="H13" i="20" s="1"/>
  <c r="H14" i="20" s="1"/>
  <c r="H15" i="20" s="1"/>
  <c r="H16" i="20" s="1"/>
  <c r="H17" i="20" s="1"/>
  <c r="H18" i="20" s="1"/>
  <c r="H19" i="20" s="1"/>
  <c r="H20" i="20" s="1"/>
  <c r="H21" i="20" s="1"/>
  <c r="H22" i="20" s="1"/>
  <c r="H23" i="20" s="1"/>
  <c r="H24" i="20" s="1"/>
  <c r="H25" i="20" s="1"/>
  <c r="H26" i="20" s="1"/>
  <c r="H27" i="20" s="1"/>
  <c r="H28" i="20" s="1"/>
  <c r="H29" i="20" s="1"/>
  <c r="H30" i="20" s="1"/>
  <c r="H31" i="20" s="1"/>
  <c r="H32" i="20" s="1"/>
  <c r="H33" i="20" s="1"/>
  <c r="H34" i="20" s="1"/>
  <c r="H35" i="20" s="1"/>
  <c r="H36" i="20" s="1"/>
  <c r="H37" i="20" s="1"/>
  <c r="F9" i="20"/>
  <c r="I9" i="20" s="1"/>
  <c r="I10" i="20" s="1"/>
  <c r="I11" i="20" s="1"/>
  <c r="I12" i="20" s="1"/>
  <c r="I13" i="20" s="1"/>
  <c r="I14" i="20" s="1"/>
  <c r="I15" i="20" s="1"/>
  <c r="I16" i="20" s="1"/>
  <c r="I17" i="20" s="1"/>
  <c r="I18" i="20" s="1"/>
  <c r="I19" i="20" s="1"/>
  <c r="I20" i="20" s="1"/>
  <c r="I21" i="20" s="1"/>
  <c r="I22" i="20" s="1"/>
  <c r="I23" i="20" s="1"/>
  <c r="I24" i="20" s="1"/>
  <c r="I25" i="20" s="1"/>
  <c r="I26" i="20" s="1"/>
  <c r="I27" i="20" s="1"/>
  <c r="I28" i="20" s="1"/>
  <c r="I29" i="20" s="1"/>
  <c r="I30" i="20" s="1"/>
  <c r="I31" i="20" s="1"/>
  <c r="I32" i="20" s="1"/>
  <c r="I33" i="20" s="1"/>
  <c r="I34" i="20" s="1"/>
  <c r="I35" i="20" s="1"/>
  <c r="I36" i="20" s="1"/>
  <c r="I37" i="20" s="1"/>
  <c r="A7" i="20"/>
  <c r="A3" i="20"/>
  <c r="A2" i="20"/>
  <c r="A1" i="20"/>
  <c r="F23" i="19"/>
  <c r="E13" i="18" s="1"/>
  <c r="D23" i="19"/>
  <c r="D13" i="18" s="1"/>
  <c r="G10" i="19"/>
  <c r="G11" i="19" s="1"/>
  <c r="G12" i="19" s="1"/>
  <c r="G13" i="19" s="1"/>
  <c r="G14" i="19" s="1"/>
  <c r="G15" i="19" s="1"/>
  <c r="G16" i="19" s="1"/>
  <c r="G17" i="19" s="1"/>
  <c r="G18" i="19" s="1"/>
  <c r="G19" i="19" s="1"/>
  <c r="G20" i="19" s="1"/>
  <c r="G21" i="19" s="1"/>
  <c r="H9" i="19"/>
  <c r="H10" i="19" s="1"/>
  <c r="H11" i="19" s="1"/>
  <c r="H12" i="19" s="1"/>
  <c r="H13" i="19" s="1"/>
  <c r="H14" i="19" s="1"/>
  <c r="H15" i="19" s="1"/>
  <c r="H16" i="19" s="1"/>
  <c r="H17" i="19" s="1"/>
  <c r="H18" i="19" s="1"/>
  <c r="H19" i="19" s="1"/>
  <c r="H20" i="19" s="1"/>
  <c r="H21" i="19" s="1"/>
  <c r="A6" i="19"/>
  <c r="D3" i="19"/>
  <c r="A3" i="19"/>
  <c r="A2" i="19"/>
  <c r="A1" i="19"/>
  <c r="E17" i="18" l="1"/>
  <c r="I16" i="6" s="1"/>
  <c r="D12" i="18"/>
  <c r="F10" i="20"/>
  <c r="F11" i="20" s="1"/>
  <c r="F12" i="20" s="1"/>
  <c r="F13" i="20" s="1"/>
  <c r="F14" i="20" s="1"/>
  <c r="F15" i="20" s="1"/>
  <c r="F16" i="20" s="1"/>
  <c r="F17" i="20" s="1"/>
  <c r="F18" i="20" s="1"/>
  <c r="F19" i="20" s="1"/>
  <c r="F20" i="20" s="1"/>
  <c r="F21" i="20" s="1"/>
  <c r="F22" i="20" s="1"/>
  <c r="F23" i="20" s="1"/>
  <c r="F24" i="20" s="1"/>
  <c r="F25" i="20" s="1"/>
  <c r="F26" i="20" s="1"/>
  <c r="F27" i="20" s="1"/>
  <c r="F28" i="20" s="1"/>
  <c r="F29" i="20" s="1"/>
  <c r="F30" i="20" s="1"/>
  <c r="F31" i="20" s="1"/>
  <c r="F32" i="20" s="1"/>
  <c r="F33" i="20" s="1"/>
  <c r="F34" i="20" s="1"/>
  <c r="F35" i="20" s="1"/>
  <c r="F36" i="20" s="1"/>
  <c r="F37" i="20" s="1"/>
  <c r="I39" i="20"/>
  <c r="F11" i="18" s="1"/>
  <c r="D11" i="18"/>
  <c r="H23" i="19"/>
  <c r="F13" i="18" s="1"/>
  <c r="G11" i="4"/>
  <c r="G10" i="4"/>
  <c r="G11" i="11"/>
  <c r="G10" i="11"/>
  <c r="D17" i="18" l="1"/>
  <c r="H16" i="6" s="1"/>
  <c r="F12" i="18"/>
  <c r="O16" i="6"/>
  <c r="G43" i="4"/>
  <c r="E11" i="2" s="1"/>
  <c r="F17" i="18" l="1"/>
  <c r="J16" i="6" s="1"/>
  <c r="G22" i="16"/>
  <c r="D12" i="13" s="1"/>
  <c r="H9" i="16"/>
  <c r="H10" i="16" s="1"/>
  <c r="H11" i="16" s="1"/>
  <c r="H12" i="16" s="1"/>
  <c r="H13" i="16" s="1"/>
  <c r="H14" i="16" s="1"/>
  <c r="H15" i="16" s="1"/>
  <c r="H16" i="16" s="1"/>
  <c r="H17" i="16" s="1"/>
  <c r="H18" i="16" s="1"/>
  <c r="H19" i="16" s="1"/>
  <c r="H20" i="16" s="1"/>
  <c r="A7" i="16"/>
  <c r="A3" i="16"/>
  <c r="A2" i="16"/>
  <c r="A1" i="16"/>
  <c r="G26" i="15"/>
  <c r="E11" i="13" s="1"/>
  <c r="D11" i="13"/>
  <c r="H10" i="15"/>
  <c r="H11" i="15" s="1"/>
  <c r="H12" i="15" s="1"/>
  <c r="H13" i="15" s="1"/>
  <c r="H14" i="15" s="1"/>
  <c r="H15" i="15" s="1"/>
  <c r="H16" i="15" s="1"/>
  <c r="H17" i="15" s="1"/>
  <c r="H18" i="15" s="1"/>
  <c r="H19" i="15" s="1"/>
  <c r="H20" i="15" s="1"/>
  <c r="H21" i="15" s="1"/>
  <c r="H22" i="15" s="1"/>
  <c r="H23" i="15" s="1"/>
  <c r="H24" i="15" s="1"/>
  <c r="F9" i="15"/>
  <c r="I9" i="15" s="1"/>
  <c r="I10" i="15" s="1"/>
  <c r="I11" i="15" s="1"/>
  <c r="I12" i="15" s="1"/>
  <c r="I13" i="15" s="1"/>
  <c r="I14" i="15" s="1"/>
  <c r="I15" i="15" s="1"/>
  <c r="I16" i="15" s="1"/>
  <c r="I17" i="15" s="1"/>
  <c r="I18" i="15" s="1"/>
  <c r="I19" i="15" s="1"/>
  <c r="I20" i="15" s="1"/>
  <c r="I21" i="15" s="1"/>
  <c r="I22" i="15" s="1"/>
  <c r="I23" i="15" s="1"/>
  <c r="I24" i="15" s="1"/>
  <c r="A7" i="15"/>
  <c r="A3" i="15"/>
  <c r="A2" i="15"/>
  <c r="A1" i="15"/>
  <c r="F23" i="14"/>
  <c r="E10" i="13" s="1"/>
  <c r="D23" i="14"/>
  <c r="D10" i="13" s="1"/>
  <c r="G10" i="14"/>
  <c r="G11" i="14" s="1"/>
  <c r="G12" i="14" s="1"/>
  <c r="G13" i="14" s="1"/>
  <c r="G14" i="14" s="1"/>
  <c r="G15" i="14" s="1"/>
  <c r="G16" i="14" s="1"/>
  <c r="G17" i="14" s="1"/>
  <c r="G18" i="14" s="1"/>
  <c r="G19" i="14" s="1"/>
  <c r="G20" i="14" s="1"/>
  <c r="G21" i="14" s="1"/>
  <c r="H9" i="14"/>
  <c r="H10" i="14" s="1"/>
  <c r="H11" i="14" s="1"/>
  <c r="H12" i="14" s="1"/>
  <c r="H13" i="14" s="1"/>
  <c r="H14" i="14" s="1"/>
  <c r="H15" i="14" s="1"/>
  <c r="H16" i="14" s="1"/>
  <c r="H17" i="14" s="1"/>
  <c r="H18" i="14" s="1"/>
  <c r="H19" i="14" s="1"/>
  <c r="H20" i="14" s="1"/>
  <c r="H21" i="14" s="1"/>
  <c r="A6" i="14"/>
  <c r="D3" i="14"/>
  <c r="A3" i="14"/>
  <c r="A2" i="14"/>
  <c r="A1" i="14"/>
  <c r="C14" i="13"/>
  <c r="E14" i="13" l="1"/>
  <c r="I37" i="6" s="1"/>
  <c r="F10" i="15"/>
  <c r="F11" i="15" s="1"/>
  <c r="F12" i="15" s="1"/>
  <c r="F13" i="15" s="1"/>
  <c r="F14" i="15" s="1"/>
  <c r="F15" i="15" s="1"/>
  <c r="F16" i="15" s="1"/>
  <c r="F17" i="15" s="1"/>
  <c r="F18" i="15" s="1"/>
  <c r="F19" i="15" s="1"/>
  <c r="F20" i="15" s="1"/>
  <c r="F21" i="15" s="1"/>
  <c r="F22" i="15" s="1"/>
  <c r="F23" i="15" s="1"/>
  <c r="F24" i="15" s="1"/>
  <c r="D14" i="13"/>
  <c r="H37" i="6" s="1"/>
  <c r="I26" i="15"/>
  <c r="H23" i="14"/>
  <c r="F10" i="13" s="1"/>
  <c r="F12" i="13"/>
  <c r="G22" i="12"/>
  <c r="E12" i="9" s="1"/>
  <c r="H9" i="12"/>
  <c r="H10" i="12" s="1"/>
  <c r="H11" i="12" s="1"/>
  <c r="H12" i="12" s="1"/>
  <c r="H13" i="12" s="1"/>
  <c r="H14" i="12" s="1"/>
  <c r="H15" i="12" s="1"/>
  <c r="H16" i="12" s="1"/>
  <c r="H17" i="12" s="1"/>
  <c r="H18" i="12" s="1"/>
  <c r="H19" i="12" s="1"/>
  <c r="H20" i="12" s="1"/>
  <c r="A7" i="12"/>
  <c r="A3" i="12"/>
  <c r="A2" i="12"/>
  <c r="A1" i="12"/>
  <c r="G43" i="11"/>
  <c r="E11" i="9" s="1"/>
  <c r="H10" i="11"/>
  <c r="H11" i="11" s="1"/>
  <c r="H12" i="11" s="1"/>
  <c r="H13" i="11" s="1"/>
  <c r="H14" i="11" s="1"/>
  <c r="H15" i="11" s="1"/>
  <c r="H16" i="11" s="1"/>
  <c r="H17" i="11" s="1"/>
  <c r="H18" i="11" s="1"/>
  <c r="H19" i="11" s="1"/>
  <c r="H20" i="11" s="1"/>
  <c r="H21" i="11" s="1"/>
  <c r="H22" i="11" s="1"/>
  <c r="H23" i="11" s="1"/>
  <c r="H24" i="11" s="1"/>
  <c r="H25" i="11" s="1"/>
  <c r="H26" i="11" s="1"/>
  <c r="H27" i="11" s="1"/>
  <c r="H28" i="11" s="1"/>
  <c r="H29" i="11" s="1"/>
  <c r="H30" i="11" s="1"/>
  <c r="H31" i="11" s="1"/>
  <c r="H32" i="11" s="1"/>
  <c r="H33" i="11" s="1"/>
  <c r="H34" i="11" s="1"/>
  <c r="H35" i="11" s="1"/>
  <c r="H36" i="11" s="1"/>
  <c r="H37" i="11" s="1"/>
  <c r="H38" i="11" s="1"/>
  <c r="H39" i="11" s="1"/>
  <c r="H40" i="11" s="1"/>
  <c r="H41" i="11" s="1"/>
  <c r="F9" i="11"/>
  <c r="F10" i="11" s="1"/>
  <c r="F11" i="11" s="1"/>
  <c r="F12" i="11" s="1"/>
  <c r="F13" i="11" s="1"/>
  <c r="F14" i="11" s="1"/>
  <c r="F15" i="11" s="1"/>
  <c r="F16" i="11" s="1"/>
  <c r="F17" i="11" s="1"/>
  <c r="F18" i="11" s="1"/>
  <c r="F19" i="11" s="1"/>
  <c r="F20" i="11" s="1"/>
  <c r="F21" i="11" s="1"/>
  <c r="F22" i="11" s="1"/>
  <c r="F23" i="11" s="1"/>
  <c r="F24" i="11" s="1"/>
  <c r="F25" i="11" s="1"/>
  <c r="F26" i="11" s="1"/>
  <c r="F27" i="11" s="1"/>
  <c r="F28" i="11" s="1"/>
  <c r="F29" i="11" s="1"/>
  <c r="F30" i="11" s="1"/>
  <c r="F31" i="11" s="1"/>
  <c r="F32" i="11" s="1"/>
  <c r="F33" i="11" s="1"/>
  <c r="F34" i="11" s="1"/>
  <c r="F35" i="11" s="1"/>
  <c r="F36" i="11" s="1"/>
  <c r="F37" i="11" s="1"/>
  <c r="F38" i="11" s="1"/>
  <c r="A7" i="11"/>
  <c r="A3" i="11"/>
  <c r="A2" i="11"/>
  <c r="A1" i="11"/>
  <c r="H27" i="10"/>
  <c r="H26" i="10"/>
  <c r="F23" i="10"/>
  <c r="E10" i="9" s="1"/>
  <c r="D23" i="10"/>
  <c r="D10" i="9" s="1"/>
  <c r="G10" i="10"/>
  <c r="G11" i="10" s="1"/>
  <c r="G12" i="10" s="1"/>
  <c r="G13" i="10" s="1"/>
  <c r="G14" i="10" s="1"/>
  <c r="G15" i="10" s="1"/>
  <c r="G16" i="10" s="1"/>
  <c r="G17" i="10" s="1"/>
  <c r="G18" i="10" s="1"/>
  <c r="G19" i="10" s="1"/>
  <c r="G20" i="10" s="1"/>
  <c r="G21" i="10" s="1"/>
  <c r="H9" i="10"/>
  <c r="H10" i="10" s="1"/>
  <c r="H11" i="10" s="1"/>
  <c r="H12" i="10" s="1"/>
  <c r="H13" i="10" s="1"/>
  <c r="H14" i="10" s="1"/>
  <c r="H15" i="10" s="1"/>
  <c r="H16" i="10" s="1"/>
  <c r="H17" i="10" s="1"/>
  <c r="H18" i="10" s="1"/>
  <c r="H19" i="10" s="1"/>
  <c r="H20" i="10" s="1"/>
  <c r="H21" i="10" s="1"/>
  <c r="A6" i="10"/>
  <c r="D3" i="10"/>
  <c r="A3" i="10"/>
  <c r="A2" i="10"/>
  <c r="A1" i="10"/>
  <c r="C8" i="9"/>
  <c r="H29" i="10" l="1"/>
  <c r="E17" i="9"/>
  <c r="I14" i="6" s="1"/>
  <c r="D12" i="9"/>
  <c r="F11" i="13"/>
  <c r="G14" i="13"/>
  <c r="K37" i="6" s="1"/>
  <c r="F14" i="13"/>
  <c r="J37" i="6" s="1"/>
  <c r="H23" i="10"/>
  <c r="F10" i="9" s="1"/>
  <c r="I43" i="11"/>
  <c r="F11" i="9" s="1"/>
  <c r="I9" i="11"/>
  <c r="I10" i="11" s="1"/>
  <c r="I11" i="11" s="1"/>
  <c r="I12" i="11" s="1"/>
  <c r="I13" i="11" s="1"/>
  <c r="I14" i="11" s="1"/>
  <c r="I15" i="11" s="1"/>
  <c r="I16" i="11" s="1"/>
  <c r="I17" i="11" s="1"/>
  <c r="I18" i="11" s="1"/>
  <c r="I19" i="11" s="1"/>
  <c r="I20" i="11" s="1"/>
  <c r="I21" i="11" s="1"/>
  <c r="I22" i="11" s="1"/>
  <c r="I23" i="11" s="1"/>
  <c r="I24" i="11" s="1"/>
  <c r="I25" i="11" s="1"/>
  <c r="I26" i="11" s="1"/>
  <c r="I27" i="11" s="1"/>
  <c r="I28" i="11" s="1"/>
  <c r="I29" i="11" s="1"/>
  <c r="I30" i="11" s="1"/>
  <c r="I31" i="11" s="1"/>
  <c r="I32" i="11" s="1"/>
  <c r="I33" i="11" s="1"/>
  <c r="I34" i="11" s="1"/>
  <c r="I35" i="11" s="1"/>
  <c r="I36" i="11" s="1"/>
  <c r="I37" i="11" s="1"/>
  <c r="I38" i="11" s="1"/>
  <c r="I39" i="11" s="1"/>
  <c r="I40" i="11" s="1"/>
  <c r="I41" i="11" s="1"/>
  <c r="D11" i="9"/>
  <c r="C17" i="9"/>
  <c r="C8" i="7"/>
  <c r="D17" i="9" l="1"/>
  <c r="H14" i="6" s="1"/>
  <c r="F12" i="9"/>
  <c r="O14" i="6"/>
  <c r="D28" i="3"/>
  <c r="H27" i="3"/>
  <c r="H26" i="3"/>
  <c r="F17" i="9" l="1"/>
  <c r="J14" i="6" s="1"/>
  <c r="G17" i="9"/>
  <c r="K14" i="6" s="1"/>
  <c r="H28" i="3"/>
  <c r="F28" i="3"/>
  <c r="H10" i="8" l="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H36" i="8" s="1"/>
  <c r="H37" i="8" s="1"/>
  <c r="H38" i="8" s="1"/>
  <c r="H39" i="8" s="1"/>
  <c r="H40" i="8" s="1"/>
  <c r="H41" i="8" s="1"/>
  <c r="H42" i="8" s="1"/>
  <c r="H43" i="8" s="1"/>
  <c r="H44" i="8" s="1"/>
  <c r="H45" i="8" s="1"/>
  <c r="F9" i="8"/>
  <c r="F10" i="8" s="1"/>
  <c r="F11" i="8" s="1"/>
  <c r="F12" i="8" s="1"/>
  <c r="F13" i="8" s="1"/>
  <c r="F14" i="8" s="1"/>
  <c r="F15" i="8" s="1"/>
  <c r="F16" i="8" s="1"/>
  <c r="F17" i="8" s="1"/>
  <c r="F18" i="8" s="1"/>
  <c r="F19" i="8" s="1"/>
  <c r="F20" i="8" s="1"/>
  <c r="F21" i="8" s="1"/>
  <c r="F22" i="8" s="1"/>
  <c r="F23" i="8" s="1"/>
  <c r="F24" i="8" s="1"/>
  <c r="F25" i="8" s="1"/>
  <c r="F26" i="8" s="1"/>
  <c r="F27" i="8" s="1"/>
  <c r="F28" i="8" s="1"/>
  <c r="F29" i="8" s="1"/>
  <c r="F30" i="8" s="1"/>
  <c r="F31" i="8" s="1"/>
  <c r="F32" i="8" s="1"/>
  <c r="F33" i="8" s="1"/>
  <c r="F34" i="8" s="1"/>
  <c r="F35" i="8" s="1"/>
  <c r="F36" i="8" s="1"/>
  <c r="F37" i="8" s="1"/>
  <c r="F38" i="8" s="1"/>
  <c r="F39" i="8" s="1"/>
  <c r="F40" i="8" s="1"/>
  <c r="F41" i="8" s="1"/>
  <c r="F42" i="8" s="1"/>
  <c r="F43" i="8" s="1"/>
  <c r="F44" i="8" s="1"/>
  <c r="F45" i="8" s="1"/>
  <c r="A7" i="8"/>
  <c r="A3" i="8"/>
  <c r="A2" i="8"/>
  <c r="A1" i="8"/>
  <c r="C14" i="7"/>
  <c r="I47" i="8" l="1"/>
  <c r="I9" i="8"/>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I36" i="8" s="1"/>
  <c r="I37" i="8" s="1"/>
  <c r="I38" i="8" s="1"/>
  <c r="I39" i="8" s="1"/>
  <c r="I40" i="8" s="1"/>
  <c r="I41" i="8" s="1"/>
  <c r="I42" i="8" s="1"/>
  <c r="I43" i="8" s="1"/>
  <c r="I44" i="8" s="1"/>
  <c r="I45" i="8" s="1"/>
  <c r="D11" i="7"/>
  <c r="F11" i="7" l="1"/>
  <c r="F45" i="6"/>
  <c r="G35" i="6"/>
  <c r="C8" i="96" s="1"/>
  <c r="G34" i="6"/>
  <c r="C8" i="91" s="1"/>
  <c r="G33" i="6"/>
  <c r="C8" i="87" s="1"/>
  <c r="G32" i="6"/>
  <c r="C8" i="83" s="1"/>
  <c r="G31" i="6"/>
  <c r="C8" i="79" s="1"/>
  <c r="G30" i="6"/>
  <c r="C8" i="75" s="1"/>
  <c r="G29" i="6"/>
  <c r="C8" i="71" s="1"/>
  <c r="G28" i="6"/>
  <c r="C8" i="67" s="1"/>
  <c r="G27" i="6"/>
  <c r="C8" i="63" s="1"/>
  <c r="G26" i="6"/>
  <c r="C8" i="59" s="1"/>
  <c r="G25" i="6"/>
  <c r="C8" i="55" s="1"/>
  <c r="G24" i="6"/>
  <c r="C8" i="51" s="1"/>
  <c r="G23" i="6"/>
  <c r="C8" i="47" s="1"/>
  <c r="G22" i="6"/>
  <c r="C8" i="43" s="1"/>
  <c r="G21" i="6"/>
  <c r="C8" i="39" s="1"/>
  <c r="G20" i="6"/>
  <c r="C8" i="35" s="1"/>
  <c r="G19" i="6"/>
  <c r="C8" i="31" s="1"/>
  <c r="G18" i="6"/>
  <c r="C8" i="27" s="1"/>
  <c r="G17" i="6"/>
  <c r="C8" i="23" s="1"/>
  <c r="G16" i="6"/>
  <c r="C8" i="18" s="1"/>
  <c r="G15" i="6"/>
  <c r="C8" i="2" s="1"/>
  <c r="C19" i="2" s="1"/>
  <c r="G11" i="6"/>
  <c r="J49" i="6"/>
  <c r="G22" i="5"/>
  <c r="E12" i="2" s="1"/>
  <c r="H9" i="5"/>
  <c r="H10" i="5" s="1"/>
  <c r="H11" i="5" s="1"/>
  <c r="H12" i="5" s="1"/>
  <c r="H13" i="5" s="1"/>
  <c r="H14" i="5" s="1"/>
  <c r="H15" i="5" s="1"/>
  <c r="H16" i="5" s="1"/>
  <c r="H17" i="5" s="1"/>
  <c r="H18" i="5" s="1"/>
  <c r="H19" i="5" s="1"/>
  <c r="H20" i="5" s="1"/>
  <c r="A7" i="5"/>
  <c r="A3" i="5"/>
  <c r="A2" i="5"/>
  <c r="A1" i="5"/>
  <c r="H10" i="4"/>
  <c r="H11" i="4" s="1"/>
  <c r="H12" i="4" s="1"/>
  <c r="H13" i="4" s="1"/>
  <c r="H14" i="4" s="1"/>
  <c r="H15" i="4" s="1"/>
  <c r="H16" i="4" s="1"/>
  <c r="H17" i="4" s="1"/>
  <c r="H18" i="4" s="1"/>
  <c r="H19" i="4" s="1"/>
  <c r="H20" i="4" s="1"/>
  <c r="H21" i="4" s="1"/>
  <c r="H22" i="4" s="1"/>
  <c r="H23" i="4" s="1"/>
  <c r="H24" i="4" s="1"/>
  <c r="H25" i="4" s="1"/>
  <c r="H26" i="4" s="1"/>
  <c r="H27" i="4" s="1"/>
  <c r="H28" i="4" s="1"/>
  <c r="H29" i="4" s="1"/>
  <c r="H30" i="4" s="1"/>
  <c r="H31" i="4" s="1"/>
  <c r="H32" i="4" s="1"/>
  <c r="H33" i="4" s="1"/>
  <c r="H34" i="4" s="1"/>
  <c r="H35" i="4" s="1"/>
  <c r="H36" i="4" s="1"/>
  <c r="H37" i="4" s="1"/>
  <c r="H38" i="4" s="1"/>
  <c r="H39" i="4" s="1"/>
  <c r="H40" i="4" s="1"/>
  <c r="H41" i="4" s="1"/>
  <c r="F9" i="4"/>
  <c r="I9" i="4" s="1"/>
  <c r="I10" i="4" s="1"/>
  <c r="I11" i="4" s="1"/>
  <c r="I12" i="4" s="1"/>
  <c r="I13" i="4" s="1"/>
  <c r="I14" i="4" s="1"/>
  <c r="I15" i="4" s="1"/>
  <c r="I16" i="4" s="1"/>
  <c r="I17" i="4" s="1"/>
  <c r="I18" i="4" s="1"/>
  <c r="I19" i="4" s="1"/>
  <c r="I20" i="4" s="1"/>
  <c r="I21" i="4" s="1"/>
  <c r="I22" i="4" s="1"/>
  <c r="I23" i="4" s="1"/>
  <c r="I24" i="4" s="1"/>
  <c r="I25" i="4" s="1"/>
  <c r="I26" i="4" s="1"/>
  <c r="I27" i="4" s="1"/>
  <c r="I28" i="4" s="1"/>
  <c r="I29" i="4" s="1"/>
  <c r="I30" i="4" s="1"/>
  <c r="I31" i="4" s="1"/>
  <c r="I32" i="4" s="1"/>
  <c r="I33" i="4" s="1"/>
  <c r="I34" i="4" s="1"/>
  <c r="I35" i="4" s="1"/>
  <c r="I36" i="4" s="1"/>
  <c r="I37" i="4" s="1"/>
  <c r="I38" i="4" s="1"/>
  <c r="I39" i="4" s="1"/>
  <c r="I40" i="4" s="1"/>
  <c r="I41" i="4" s="1"/>
  <c r="A7" i="4"/>
  <c r="A3" i="4"/>
  <c r="A2" i="4"/>
  <c r="A1" i="4"/>
  <c r="F23" i="3"/>
  <c r="D23" i="3"/>
  <c r="G10" i="3"/>
  <c r="G11" i="3" s="1"/>
  <c r="G12" i="3" s="1"/>
  <c r="G13" i="3" s="1"/>
  <c r="G14" i="3" s="1"/>
  <c r="G15" i="3" s="1"/>
  <c r="G16" i="3" s="1"/>
  <c r="G17" i="3" s="1"/>
  <c r="G18" i="3" s="1"/>
  <c r="G19" i="3" s="1"/>
  <c r="G20" i="3" s="1"/>
  <c r="G21" i="3" s="1"/>
  <c r="A6" i="3"/>
  <c r="D3" i="3"/>
  <c r="A3" i="3"/>
  <c r="A2" i="3"/>
  <c r="A1" i="3"/>
  <c r="I11" i="6" l="1"/>
  <c r="E10" i="2"/>
  <c r="E19" i="2" s="1"/>
  <c r="I15" i="6" s="1"/>
  <c r="C14" i="75"/>
  <c r="G14" i="75"/>
  <c r="K30" i="6" s="1"/>
  <c r="C18" i="47"/>
  <c r="G18" i="47"/>
  <c r="K23" i="6" s="1"/>
  <c r="C17" i="79"/>
  <c r="G17" i="79"/>
  <c r="K31" i="6" s="1"/>
  <c r="C14" i="83"/>
  <c r="G14" i="83"/>
  <c r="K32" i="6" s="1"/>
  <c r="C14" i="23"/>
  <c r="G14" i="23"/>
  <c r="K17" i="6" s="1"/>
  <c r="C17" i="55"/>
  <c r="G17" i="55"/>
  <c r="K25" i="6" s="1"/>
  <c r="C14" i="87"/>
  <c r="G14" i="87"/>
  <c r="K33" i="6" s="1"/>
  <c r="C17" i="43"/>
  <c r="G17" i="43"/>
  <c r="K22" i="6" s="1"/>
  <c r="C18" i="59"/>
  <c r="G18" i="59"/>
  <c r="K26" i="6" s="1"/>
  <c r="C18" i="91"/>
  <c r="G18" i="91"/>
  <c r="K34" i="6" s="1"/>
  <c r="C17" i="31"/>
  <c r="G17" i="31"/>
  <c r="K19" i="6" s="1"/>
  <c r="C17" i="63"/>
  <c r="G17" i="63"/>
  <c r="K27" i="6" s="1"/>
  <c r="C16" i="96"/>
  <c r="G16" i="96"/>
  <c r="K35" i="6" s="1"/>
  <c r="C14" i="27"/>
  <c r="G14" i="27"/>
  <c r="K18" i="6" s="1"/>
  <c r="C18" i="35"/>
  <c r="G18" i="35"/>
  <c r="K20" i="6" s="1"/>
  <c r="C17" i="67"/>
  <c r="G17" i="67"/>
  <c r="K28" i="6" s="1"/>
  <c r="C17" i="51"/>
  <c r="G17" i="51"/>
  <c r="K24" i="6" s="1"/>
  <c r="C18" i="39"/>
  <c r="G18" i="39"/>
  <c r="K21" i="6" s="1"/>
  <c r="C16" i="71"/>
  <c r="G16" i="71"/>
  <c r="K29" i="6" s="1"/>
  <c r="C17" i="18"/>
  <c r="G17" i="18"/>
  <c r="K16" i="6" s="1"/>
  <c r="I43" i="4"/>
  <c r="D12" i="2"/>
  <c r="F12" i="2" s="1"/>
  <c r="F12" i="7"/>
  <c r="D11" i="2"/>
  <c r="D10" i="2"/>
  <c r="G14" i="6"/>
  <c r="G45" i="6" s="1"/>
  <c r="E6" i="6" s="1"/>
  <c r="E7" i="6" s="1"/>
  <c r="H9" i="3"/>
  <c r="H10" i="3" s="1"/>
  <c r="H11" i="3" s="1"/>
  <c r="H12" i="3" s="1"/>
  <c r="H13" i="3" s="1"/>
  <c r="H14" i="3" s="1"/>
  <c r="H15" i="3" s="1"/>
  <c r="H16" i="3" s="1"/>
  <c r="H17" i="3" s="1"/>
  <c r="H18" i="3" s="1"/>
  <c r="H19" i="3" s="1"/>
  <c r="H20" i="3" s="1"/>
  <c r="H21" i="3" s="1"/>
  <c r="H23" i="3"/>
  <c r="F10" i="4"/>
  <c r="F11" i="4" s="1"/>
  <c r="F12" i="4" s="1"/>
  <c r="F13" i="4" s="1"/>
  <c r="F14" i="4" s="1"/>
  <c r="F15" i="4" s="1"/>
  <c r="F16" i="4" s="1"/>
  <c r="F17" i="4" s="1"/>
  <c r="F18" i="4" s="1"/>
  <c r="F19" i="4" s="1"/>
  <c r="F20" i="4" s="1"/>
  <c r="F21" i="4" s="1"/>
  <c r="F22" i="4" s="1"/>
  <c r="F23" i="4" s="1"/>
  <c r="F24" i="4" s="1"/>
  <c r="F25" i="4" s="1"/>
  <c r="F26" i="4" s="1"/>
  <c r="F27" i="4" s="1"/>
  <c r="F28" i="4" s="1"/>
  <c r="F29" i="4" s="1"/>
  <c r="F30" i="4" s="1"/>
  <c r="F31" i="4" s="1"/>
  <c r="F32" i="4" s="1"/>
  <c r="F33" i="4" s="1"/>
  <c r="F34" i="4" s="1"/>
  <c r="F35" i="4" s="1"/>
  <c r="F36" i="4" s="1"/>
  <c r="F37" i="4" s="1"/>
  <c r="F38" i="4" s="1"/>
  <c r="I45" i="6" l="1"/>
  <c r="D19" i="2"/>
  <c r="F11" i="2"/>
  <c r="O15" i="6"/>
  <c r="O45" i="6" s="1"/>
  <c r="D14" i="7"/>
  <c r="H11" i="6" s="1"/>
  <c r="K47" i="6"/>
  <c r="F10" i="2"/>
  <c r="F19" i="2" l="1"/>
  <c r="J15" i="6" s="1"/>
  <c r="H15" i="6"/>
  <c r="H45" i="6" s="1"/>
  <c r="J50" i="6" s="1"/>
  <c r="K50" i="6" s="1"/>
  <c r="G19" i="2"/>
  <c r="K15" i="6" s="1"/>
  <c r="F14" i="7"/>
  <c r="J11" i="6" s="1"/>
  <c r="G14" i="7"/>
  <c r="K11" i="6" s="1"/>
  <c r="K45" i="6" l="1"/>
  <c r="K48" i="6" s="1"/>
  <c r="J45" i="6"/>
  <c r="K51" i="6" l="1"/>
  <c r="D27" i="113" l="1"/>
  <c r="F27" i="113"/>
  <c r="H27" i="113" l="1"/>
  <c r="D34" i="125" l="1"/>
  <c r="D35" i="125" s="1"/>
  <c r="F34" i="125" l="1"/>
  <c r="F35" i="125" s="1"/>
  <c r="H34" i="125" l="1"/>
  <c r="H35" i="1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Huggins, Joni [DAS]</author>
    <author>tc={75262FAA-EEC0-4BDE-A782-FEEC238C7BC6}</author>
    <author>tc={E3771EC8-E3E8-4BAB-B85E-06E2CCCDD150}</author>
    <author>tc={C281CA90-3FC3-4DA2-A279-34D1AB7D2F7A}</author>
    <author>tc={11081C4B-67CB-4179-B015-E61E6A2AA2A5}</author>
    <author>tc={64EFD3BF-2BAD-47E1-935A-420DE517328A}</author>
    <author>tc={074CC874-BC28-4C37-B225-0A85BACC14C9}</author>
    <author>tc={4AF41963-9482-4359-A0A7-4ED9D0E35B35}</author>
  </authors>
  <commentList>
    <comment ref="E13" authorId="0" shapeId="0" xr:uid="{A62357FF-5BFF-4E4A-A685-C5ED13C963A6}">
      <text>
        <r>
          <rPr>
            <b/>
            <sz val="11"/>
            <color indexed="81"/>
            <rFont val="Tahoma"/>
            <family val="2"/>
          </rPr>
          <t>Huggins, Joni [DAS]:</t>
        </r>
        <r>
          <rPr>
            <sz val="11"/>
            <color indexed="81"/>
            <rFont val="Tahoma"/>
            <family val="2"/>
          </rPr>
          <t xml:space="preserve">
9455.00 - Giangreco Hall Water Infiltration Mitigation - MM26 - Return of Funds
$Joni
Elliott, Jennie
Sat, Jan 24, 1:07 PM (2 days ago)
to me, Geoff, Jennifer
Please reduce the Overall Budget for 9455.00 in MM26 from $4,600,000.00 down to $3,700,000.00.
The remaining $900,000.00 can be returned to the Total Unassigned/Unallocated budget in MM26.
Thank you,
Jennie Elliott
Elliott, Jennie
​Huggins, Joni​
​Wheelock, Geoff​
Yes, please.  Now that the change orders are processed to move the project to DA27, we can complete the following....
9455.00 in MM26 can be reduced to $6,610.38.  The remaining $3,402.430.58 can be returned to the Total Unassigned/Unallocated line.
</t>
        </r>
      </text>
    </comment>
    <comment ref="E15" authorId="1" shapeId="0" xr:uid="{75262FAA-EEC0-4BDE-A782-FEEC238C7BC6}">
      <text>
        <t xml:space="preserve">[Threaded comment]
Your version of Excel allows you to read this threaded comment; however, any edits to it will get removed if the file is opened in a newer version of Excel. Learn more: https://go.microsoft.com/fwlink/?linkid=870924
Comment:
    Please make the following shifts within MM26:
Project  9484.00 - Reduce budget by $100,000 as bids came in better than expected. Shift the $100,000 into project 9483.00.
Project  9483.00 - If OK with Geoff and Jennifer please pull another $90,000 from the non-allocated funds of $131,688 to fund the balance of needed funds on the current project. 
Thank you,
Brad Tonyan, CPM, LEED Green Associate
Please make the following shifts within MM26:
Project  9484.00 - Reduce budget by $100,000 as bids came in better than expected. Shift the $100,000 into project 9483.00.
Project  9483.00 - If OK with Geoff and Jennifer please pull another $90,000 from the non-allocated funds of $131,688 to fund the balance of needed funds on the current project. 
Thank you,
Brad Tonyan, CPM, LEED Green Associate
</t>
      </text>
    </comment>
    <comment ref="E16" authorId="0" shapeId="0" xr:uid="{2965E8F9-EE97-403F-A7CD-6398CA3FE3E8}">
      <text>
        <r>
          <rPr>
            <b/>
            <sz val="11"/>
            <color indexed="81"/>
            <rFont val="Tahoma"/>
            <family val="2"/>
          </rPr>
          <t>Huggins, Joni [DAS]:</t>
        </r>
        <r>
          <rPr>
            <sz val="11"/>
            <color indexed="81"/>
            <rFont val="Tahoma"/>
            <family val="2"/>
          </rPr>
          <t xml:space="preserve">
Major Maintenance Fund Return 3-2-2026
$Joni
Shimp, Oliver
Mon, Mar 2, 12:52 PM (20 hours ago)
to me, Geoff, Brandon, Jennifer
Good Afternoon, 
Could you please return the below dollar amounts from their projects to their respective Major Maintenance funds?
MM26
9491.00 DOC 7 JD RTU #2 Replacement; return $150,000.00 of unallocated to MM26 pool</t>
        </r>
      </text>
    </comment>
    <comment ref="E19" authorId="2" shapeId="0" xr:uid="{E3771EC8-E3E8-4BAB-B85E-06E2CCCDD150}">
      <text>
        <t xml:space="preserve">[Threaded comment]
Your version of Excel allows you to read this threaded comment; however, any edits to it will get removed if the file is opened in a newer version of Excel. Learn more: https://go.microsoft.com/fwlink/?linkid=870924
Comment:
    Elliott, Jennie
​DAS Finance Payables Infrastructure​
​Wheelock, Geoff​
Finance,
  Can you please transfer an additional $120,000.00 from the total unassigned/unallocated line in MM26 to project 9496.00 - DOC NCCF Replace Windows in Education Building.
Thank you,
Jennie Elliott
</t>
      </text>
    </comment>
    <comment ref="E21" authorId="0" shapeId="0" xr:uid="{0B9A122F-B575-40BB-A43A-03D7BB36BA5E}">
      <text>
        <r>
          <rPr>
            <b/>
            <sz val="11"/>
            <color indexed="81"/>
            <rFont val="Tahoma"/>
            <family val="2"/>
          </rPr>
          <t>Huggins, Joni [DAS]:</t>
        </r>
        <r>
          <rPr>
            <sz val="11"/>
            <color indexed="81"/>
            <rFont val="Tahoma"/>
            <family val="2"/>
          </rPr>
          <t xml:space="preserve">
</t>
        </r>
        <r>
          <rPr>
            <b/>
            <sz val="11"/>
            <color indexed="81"/>
            <rFont val="Tahoma"/>
            <family val="2"/>
          </rPr>
          <t>9498.00 - DAS TH Parking Lot Retaining Wall Repairs - MM26 Budget
$Joni
Trower, James
9:19 AM (3 hours ago)
to me
Finance -
Please add $35,000 in MM26 funds to project 9498.00. Of that $35,000, please increase PM Time by $2,000.
Thanks,
James Trower
Trower, James
​DAS Finance Payables Infrastructure​
Finance -
Please increase the funding (MM26) for project 9498.00 by $95,000.
Thanks,
James Trower, Licensed Architect, LEED AP</t>
        </r>
      </text>
    </comment>
    <comment ref="E22" authorId="3" shapeId="0" xr:uid="{C281CA90-3FC3-4DA2-A279-34D1AB7D2F7A}">
      <text>
        <t xml:space="preserve">[Threaded comment]
Your version of Excel allows you to read this threaded comment; however, any edits to it will get removed if the file is opened in a newer version of Excel. Learn more: https://go.microsoft.com/fwlink/?linkid=870924
Comment:
    Adams, Brandon
​DAS Finance Payables Infrastructure​
​Wheelock, Geoff;​Kleene, Jennifer​
Finance,
Please make the following changes:
MM26 - 9499.00 DOE IPBS 6535 Parking Lot Replacement - Please return $200,000 to MM26
MM26 - 9511.00 DPS Post 13 Upper Parking Lot Replacement - Please increase funds by $60,000
Regards,
Brandon Adams 
</t>
      </text>
    </comment>
    <comment ref="E23" authorId="4" shapeId="0" xr:uid="{11081C4B-67CB-4179-B015-E61E6A2AA2A5}">
      <text>
        <t xml:space="preserve">[Threaded comment]
Your version of Excel allows you to read this threaded comment; however, any edits to it will get removed if the file is opened in a newer version of Excel. Learn more: https://go.microsoft.com/fwlink/?linkid=870924
Comment:
    Adams, Brandon
​DAS Finance Payables Infrastructure​
​Wheelock, Geoff;​Kleene, Jennifer​
Finance,
Please increase project MM26 9500.00 MPCF Diesel Tanks by $150,000 with MM26 funds.
Regards,
Brandon Adams 
</t>
      </text>
    </comment>
    <comment ref="E26" authorId="0" shapeId="0" xr:uid="{888DD70C-A7CA-4372-ABC8-29B99A1E5907}">
      <text>
        <r>
          <rPr>
            <b/>
            <sz val="11"/>
            <color indexed="81"/>
            <rFont val="Tahoma"/>
            <family val="2"/>
          </rPr>
          <t>Huggins, Joni [DAS]:</t>
        </r>
        <r>
          <rPr>
            <sz val="11"/>
            <color indexed="81"/>
            <rFont val="Tahoma"/>
            <family val="2"/>
          </rPr>
          <t xml:space="preserve">
MM26 9502.00 Added Funds
$Joni
Adams, Brandon
10:37 AM (0 minutes ago)
to me, Geoff, Jennifer
Finance,
Please add $450,000 to MM26 9502.00 DOC MPCF Hot and Cold Water Main Replacement project from MM26 funds.
Regards,
Brandon Adams</t>
        </r>
      </text>
    </comment>
    <comment ref="E28" authorId="0" shapeId="0" xr:uid="{18267B53-1CCE-4D4E-A8C1-0917D4B7BAB5}">
      <text>
        <r>
          <rPr>
            <b/>
            <sz val="11"/>
            <color indexed="81"/>
            <rFont val="Tahoma"/>
            <family val="2"/>
          </rPr>
          <t>Huggins, Joni [DAS]:</t>
        </r>
        <r>
          <rPr>
            <sz val="11"/>
            <color indexed="81"/>
            <rFont val="Tahoma"/>
            <family val="2"/>
          </rPr>
          <t xml:space="preserve">
9505.00 - DOC FDCF Sally Port Operator Replacement - MM26
$Joni
Elliott, Jennie
2:14 PM (2 minutes ago)
to me, Geoff
Please increase the budget in MM26 for project 9505.00 by $106,000.  This should bring the total project budget to $491,000.00
Thank you,
Jennie Elliott</t>
        </r>
      </text>
    </comment>
    <comment ref="E34" authorId="5" shapeId="0" xr:uid="{64EFD3BF-2BAD-47E1-935A-420DE517328A}">
      <text>
        <t xml:space="preserve">[Threaded comment]
Your version of Excel allows you to read this threaded comment; however, any edits to it will get removed if the file is opened in a newer version of Excel. Learn more: https://go.microsoft.com/fwlink/?linkid=870924
Comment:
    Adams, Brandon
​DAS Finance Payables Infrastructure​
Wheelock, Geoff;​Kleene, Jennifer​
Finance,
Please make the following changes:
MM26 - 9499.00 DOE IPBS 6535 Parking Lot Replacement - Please return $200,000 to MM26
MM26 - 9511.00 DPS Post 13 Upper Parking Lot Replacement - Please increase funds by $60,000
Regards,
Brandon Adams 
</t>
      </text>
    </comment>
    <comment ref="E37" authorId="6" shapeId="0" xr:uid="{074CC874-BC28-4C37-B225-0A85BACC14C9}">
      <text>
        <t xml:space="preserve">[Threaded comment]
Your version of Excel allows you to read this threaded comment; however, any edits to it will get removed if the file is opened in a newer version of Excel. Learn more: https://go.microsoft.com/fwlink/?linkid=870924
Comment:
    Shimp, Oliver
​DAS Finance Payables Infrastructure​
​Wheelock, Geoff​
Good Morning,
Project MM26 9514.00 DAS Union Sunday School Investigation can be closed. PM Time and Misc. Contracts are all final completed. Please return any remaining funds to the MM26 funding pool.
Thank you,
Oliver Shimp
</t>
      </text>
    </comment>
    <comment ref="E39" authorId="7" shapeId="0" xr:uid="{4AF41963-9482-4359-A0A7-4ED9D0E35B35}">
      <text>
        <t xml:space="preserve">[Threaded comment]
Your version of Excel allows you to read this threaded comment; however, any edits to it will get removed if the file is opened in a newer version of Excel. Learn more: https://go.microsoft.com/fwlink/?linkid=870924
Comment:
    Adams, Brandon
​DAS Finance Payables Infrastructure​
​Wheelock, Geoff;​Kleene, Jennifer;​Elliott, Jennie;​Tonyan, Brad;​Trower, James​
Finance,
Can you please return funds for the following projects:
MM25 - 9422.00 DOC ASP Tuck Pointing 7,8 &amp; 9 - $450,000
MM26 - 9521.00 DPS D1 1333 Ohio Roof Replacement - $700,000
Regards,
Brandon Adams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Jurgenson, John [DAS]</author>
  </authors>
  <commentList>
    <comment ref="E9" authorId="0" shapeId="0" xr:uid="{A4A3E45B-8EB6-48CD-8BFC-A8A94E055631}">
      <text>
        <r>
          <rPr>
            <b/>
            <sz val="9"/>
            <color indexed="81"/>
            <rFont val="Tahoma"/>
            <family val="2"/>
          </rPr>
          <t>Jurgenson, John [DAS]:</t>
        </r>
        <r>
          <rPr>
            <sz val="9"/>
            <color indexed="81"/>
            <rFont val="Tahoma"/>
            <family val="2"/>
          </rPr>
          <t xml:space="preserve">
Re: FY 26 9997.26 PM Time
Inbox
Cross, Charlee
8:33 AM (1 minute ago)
to me
Yes.  Thank you!
Charlee Cross
Chief Operating Officer 
General Services Enterprise 
Iowa Department of Administrative Services
109 SE 13th Street
Des Moines, Iowa 50319
515-725-2281 (desk)
515-802-1653 (mobile)
charlee.cross@iowa.gov 
https://das.iowa.gov
On Thu, Jul 3, 2025 at 8:25 AM Jurgenson, John &lt;john.jurgenson@iowa.gov&gt; wrote:
Hello Charlee
May I have permission to set up a 9997.26 FY26 PM time budget as we have in the past with a $75,000.00 budget?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9E61930E-3789-4B30-95DB-58A8F9924ED2}">
      <text>
        <r>
          <rPr>
            <b/>
            <sz val="11"/>
            <color indexed="81"/>
            <rFont val="Tahoma"/>
            <family val="2"/>
          </rPr>
          <t>Huggins, Joni [DAS]:</t>
        </r>
        <r>
          <rPr>
            <sz val="11"/>
            <color indexed="81"/>
            <rFont val="Tahoma"/>
            <family val="2"/>
          </rPr>
          <t xml:space="preserve">
Re: FY26 - New Project Set Up Request in MM26
$Joni
Tonyan, Brad
Wed, Jul 16, 2:29 PM (16 hours ago)
to me
Joni,
Yes, please see below:
9483.00 - Set up PM time of $75,000
9484.00 - Set up PM time of $20,000
Thank you,
Brad Tonyan, CPM, 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8CE74B7B-3D4F-431C-8A86-5908EA6A01EB}">
      <text>
        <r>
          <rPr>
            <b/>
            <sz val="11"/>
            <color indexed="81"/>
            <rFont val="Tahoma"/>
            <family val="2"/>
          </rPr>
          <t>Huggins, Joni [DAS]:</t>
        </r>
        <r>
          <rPr>
            <sz val="11"/>
            <color indexed="81"/>
            <rFont val="Tahoma"/>
            <family val="2"/>
          </rPr>
          <t xml:space="preserve">
Re: FY26 - New Project Set Up Request in MM26
$Joni
Tonyan, Brad
Wed, Jul 16, 2:29 PM (16 hours ago)
to me
Joni,
Yes, please see below:
9483.00 - Set up PM time of $75,000
9484.00 - Set up PM time of $20,000
Thank you,
Brad Tonyan, CPM, LEED Green Assoc</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841EB8BA-92F9-49CA-B7C8-F5592ED92285}">
      <text>
        <r>
          <rPr>
            <b/>
            <sz val="11"/>
            <color indexed="81"/>
            <rFont val="Tahoma"/>
            <family val="2"/>
          </rPr>
          <t>Huggins, Joni [DAS]:</t>
        </r>
        <r>
          <rPr>
            <sz val="11"/>
            <color indexed="81"/>
            <rFont val="Tahoma"/>
            <family val="2"/>
          </rPr>
          <t xml:space="preserve">
Shimp, Oliver
Mon, Nov 10, 3:36 PM (2 days ago)
to me
Good Afternoon Joni,
Thank you for putting these together,
Could you please make the following adjustments to these projects?
DA25 9358.01 (154.79) Please increase the PM time budget for this project by $500.00 to $5,557.50 from the unallocated budget.
MM24 9386.01 (988.08) Please increase the PM time budget by $3,000.00 to $25,450.87 from the unallocated budget.
MM24 9393.00 (532.02) Please ask James Trower to confirm this project PM time cost
MM26 9491.00 (101.20) Please increase the PM time budget by $5,000.00 to $10,000.00  from the unallocated budget.
Re: February PM Time Posted
$Joni
Shimp, Oliver
Mar 13, 2026, 8:26 AM (3 days ago)
to me
Good Morning, 
Thank for you the list, could you please make the following adjustments?
DA25 9358.01  $(361.98)
Please move $5,000.00 from unallocated to PM Time
DA26 9534.00  $(298.97)
Please move $5,000.00 from unallocated to PM Time
MM24 9226.00 $(290.03)
Please move $5,000.00 from unallocated to PM Time.
MM24 9392.00 $(264.99)
Please move $3,000 from unallocated to PM Time
MM25 9451.00 $(130.91)
Please move $2,000.00 from unallocated to PM Time
MM26 9491.00 $(646.75)
Please move $5,000.00 from unallocated to PM Time
MM26 9512.00 $(560.94)
Please move $5,000 from unallocated to PM Time
X674  9464.00  $(96.94)
I'll have Brent add additional $100 to this project.
Thank you,
Oliver Shimp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B17" authorId="0" shapeId="0" xr:uid="{46B405F1-F429-4FC2-8384-655661E0CEAE}">
      <text>
        <r>
          <rPr>
            <b/>
            <sz val="11"/>
            <color indexed="81"/>
            <rFont val="Tahoma"/>
            <family val="2"/>
          </rPr>
          <t>Huggins, Joni [DAS]:</t>
        </r>
        <r>
          <rPr>
            <sz val="11"/>
            <color indexed="81"/>
            <rFont val="Tahoma"/>
            <family val="2"/>
          </rPr>
          <t xml:space="preserve">
Re: MM26 Projects Set Up
$Joni
Wheelock, Geoff
Oct 3, 2025, 12:22 PM (3 days ago)
to me
Good afternoon,
I apologize for having to ask to make this change. Can you please make the following changes:
Increase budget for 9474.00 to be $1,500,000
Close 9495 - This project number can be reused for a different project we will be looking to set up in Q3. If you would like to know which project so you don't have to close the job please let me know. 
The reason for this change is because 9474 is the design portion of 9495 and it makes more sense to continue utilizing the remaining excess of MM25 for the continuation of that project, freeing up MM26 funds for true FY26 project setups. 
If you have any questions please feel free to reach out. 
Thank you,
Geoff Wheelock
Bureau Chief, State Design &amp; Construction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B76521FF-C3CC-4ACC-A875-B53898A462F2}">
      <text>
        <r>
          <rPr>
            <b/>
            <sz val="11"/>
            <color indexed="81"/>
            <rFont val="Tahoma"/>
            <family val="2"/>
          </rPr>
          <t>Huggins, Joni [DAS]:</t>
        </r>
        <r>
          <rPr>
            <sz val="11"/>
            <color indexed="81"/>
            <rFont val="Tahoma"/>
            <family val="2"/>
          </rPr>
          <t xml:space="preserve">
PM Time Budgets to Establish
$Joni
Elliott, Jennie
Nov 2, 2025, 4:38 PM (2 days ago)
to me
Please establish a PM Time budget in these projects as follows: 
9496.00 - NCCF Replace Window in Educ. Bldg - $10,000.00
9501.00 - NCCF Air Handler Replacement Units A &amp; B - $10,000.00
9505.00 - FDCF Sally Port Operator Replace - $11,800.00
9513.00 - CHMHI Tuckpointing Phase 2.2 - $20,000.00
Thank you,
Jennie Elliott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EB4BE836-6D44-4F51-A565-6AB16BCF15D6}">
      <text>
        <r>
          <rPr>
            <b/>
            <sz val="11"/>
            <color indexed="81"/>
            <rFont val="Tahoma"/>
            <family val="2"/>
          </rPr>
          <t>Huggins, Joni [DAS]:</t>
        </r>
        <r>
          <rPr>
            <sz val="11"/>
            <color indexed="81"/>
            <rFont val="Tahoma"/>
            <family val="2"/>
          </rPr>
          <t xml:space="preserve">
Shimp, Oliver
Nov 10, 2025, 3:36 PM (2 days ago)
to me
Good Afternoon Joni,
Thank you for putting these together,
Could you please make the following adjustments to these projects?
DA25 9358.01 (154.79) Please increase the PM time budget for this project by $500.00 to $5,557.50 from the unallocated budget.
MM24 9386.01 (988.08) Please increase the PM time budget by $3,000.00 to $25,450.87 from the unallocated budget.
MM24 9393.00 (532.02) Please ask James Trower to confirm this project PM time cost
MM26 9491.00 (101.20) Please increase the PM time budget by $5,000.00 to $10,000.00  from the unallocated budget.
MM26 9497.00 (858.68) Please increase the PM time budget by $10,000.00 to $10,000.00  from the unallocated budget.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CB092113-D862-4AA6-A457-CBF0E1F5EEAD}">
      <text>
        <r>
          <rPr>
            <b/>
            <sz val="11"/>
            <color indexed="81"/>
            <rFont val="Tahoma"/>
            <family val="2"/>
          </rPr>
          <t>Huggins, Joni [DAS]:</t>
        </r>
        <r>
          <rPr>
            <sz val="11"/>
            <color indexed="81"/>
            <rFont val="Tahoma"/>
            <family val="2"/>
          </rPr>
          <t xml:space="preserve">
9498.00 - DAS TH Parking Lot Retaining Wall Repairs - MM26 Budget
$Joni
Trower, James
9:19 AM (3 hours ago)
to me
Finance -
Please add $35,000 in MM26 funds to project 9498.00. Of that $35,000, please increase PM Time by $2,000.
Thanks,
James Trower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8ED0825D-3074-43BC-B02A-C6B2CB0C196E}">
      <text>
        <r>
          <rPr>
            <b/>
            <sz val="11"/>
            <color indexed="81"/>
            <rFont val="Tahoma"/>
            <family val="2"/>
          </rPr>
          <t>Huggins, Joni [DAS]:</t>
        </r>
        <r>
          <rPr>
            <sz val="11"/>
            <color indexed="81"/>
            <rFont val="Tahoma"/>
            <family val="2"/>
          </rPr>
          <t xml:space="preserve">
Adams, Brandon
Huggins, Joni
MM24 9354.00  -1,436.56 - Please increase by $1,436.56 and close PM Time for MM24
MM24  9541.00  -557.15 - Please increase by $10,000
MM25  9422.00  -1,291.63 - Please increase by $1,291.63 and close PM Time - Still waiting for 29c20 reimbursement before project can close
MM26 9499.00  -564.54 - Please increase by $2,000
Brandon Adams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tc={F5C13E41-084B-49B4-A65E-E1D23F4151B3}</author>
  </authors>
  <commentList>
    <comment ref="E9" authorId="0" shapeId="0" xr:uid="{F5C13E41-084B-49B4-A65E-E1D23F4151B3}">
      <text>
        <t xml:space="preserve">[Threaded comment]
Your version of Excel allows you to read this threaded comment; however, any edits to it will get removed if the file is opened in a newer version of Excel. Learn more: https://go.microsoft.com/fwlink/?linkid=870924
Comment:
    Adams, Brandon
Please increase the following PM Time:
Unit MM23 Project 9465.00 (854.26)  Increase by $1,500
Unit MM23 Project 9533.00 (1,179.31)  Increase by $2,500
Unit MM24 Project 9541.00 (1,954.84)  Increase by $8,000
Unit MM26 Project 9500.00 (170.70)  Increase by $5,000
Regards,
Brandon Adams 
</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69371F3E-8CF4-4886-B3F4-E0BAE970797C}">
      <text>
        <r>
          <rPr>
            <b/>
            <sz val="11"/>
            <color indexed="81"/>
            <rFont val="Tahoma"/>
            <family val="2"/>
          </rPr>
          <t>Huggins, Joni [DAS]:</t>
        </r>
        <r>
          <rPr>
            <sz val="11"/>
            <color indexed="81"/>
            <rFont val="Tahoma"/>
            <family val="2"/>
          </rPr>
          <t xml:space="preserve">
PM Time Budgets to Establish
$Joni
Elliott, Jennie
Sun, Nov 2, 4:38 PM (2 days ago)
to me
Please establish a PM Time budget in these projects as follows: 
9496.00 - NCCF Replace Window in Educ. Bldg - $10,000.00
9501.00 - NCCF Air Handler Replacement Units A &amp; B - $10,000.00
9505.00 - FDCF Sally Port Operator Replace - $11,800.00
9513.00 - CHMHI Tuckpointing Phase 2.2 - $20,000.00
Thank you,
Jennie Elliott</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8F4F1319-A554-4311-82AB-1EB2F94C486A}">
      <text>
        <r>
          <rPr>
            <b/>
            <sz val="11"/>
            <color indexed="81"/>
            <rFont val="Tahoma"/>
            <family val="2"/>
          </rPr>
          <t>Huggins, Joni [DAS]:</t>
        </r>
        <r>
          <rPr>
            <sz val="11"/>
            <color indexed="81"/>
            <rFont val="Tahoma"/>
            <family val="2"/>
          </rPr>
          <t xml:space="preserve">
Kleene, Jennifer
DAS Finance Payables Infrastructure
Wheelock, Geoff
Please increase the DAS Cost budget for MM26 9503.00 by $4,000.00 and increase the DAS Cost budget for MM26 9504.00 by $3,000.00.
Regards,
Jennifer
Jennifer Kleene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AEF17478-C07A-476E-850E-176769ABC4A8}">
      <text>
        <r>
          <rPr>
            <b/>
            <sz val="11"/>
            <color indexed="81"/>
            <rFont val="Tahoma"/>
            <family val="2"/>
          </rPr>
          <t>Huggins, Joni [DAS]:</t>
        </r>
        <r>
          <rPr>
            <sz val="11"/>
            <color indexed="81"/>
            <rFont val="Tahoma"/>
            <family val="2"/>
          </rPr>
          <t xml:space="preserve">
Kleene, Jennifer
DAS Finance Payables Infrastructure
Wheelock, Geoff
Please increase the DAS Cost budget for MM26 9503.00 by $4,000.00 and increase the DAS Cost budget for MM26 9504.00 by $3,000.00.
Regards,
Jennifer
Jennifer Kleene
Owner’s Representative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A64AC92-14EB-476F-8407-F0F3311BE55D}">
      <text>
        <r>
          <rPr>
            <b/>
            <sz val="11"/>
            <color indexed="81"/>
            <rFont val="Tahoma"/>
            <family val="2"/>
          </rPr>
          <t>Huggins, Joni [DAS]:</t>
        </r>
        <r>
          <rPr>
            <sz val="11"/>
            <color indexed="81"/>
            <rFont val="Tahoma"/>
            <family val="2"/>
          </rPr>
          <t xml:space="preserve">
PM Time Budgets to Establish
$Joni
Elliott, Jennie
Sun, Nov 2, 4:38 PM (2 days ago)
to me
Please establish a PM Time budget in these projects as follows: 
9496.00 - NCCF Replace Window in Educ. Bldg - $10,000.00
9501.00 - NCCF Air Handler Replacement Units A &amp; B - $10,000.00
9505.00 - FDCF Sally Port Operator Replace - $11,800.00
9513.00 - CHMHI Tuckpointing Phase 2.2 - $20,000.00
Thank you,
Jennie Elliott</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D7FF068D-6A7B-4A1E-B266-D52FA41FBE38}">
      <text>
        <r>
          <rPr>
            <b/>
            <sz val="11"/>
            <color indexed="81"/>
            <rFont val="Tahoma"/>
            <family val="2"/>
          </rPr>
          <t>Huggins, Joni [DAS]:</t>
        </r>
        <r>
          <rPr>
            <sz val="11"/>
            <color indexed="81"/>
            <rFont val="Tahoma"/>
            <family val="2"/>
          </rPr>
          <t xml:space="preserve">
Project #s 9507 &amp; 9508
$Joni
Wheelock, Geoff
Mon, Nov 24, 4:37 PM (15 hours ago)
to me
Could you please set up a PM Time budget for these referenced projects in the amount of:
9507.00 = $15,000
9508.00 = $36,000
I greatly appreciate your help on this. 
Thank you,</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E132915D-5D31-4FC7-8285-C375141F4E32}">
      <text>
        <r>
          <rPr>
            <b/>
            <sz val="11"/>
            <color indexed="81"/>
            <rFont val="Tahoma"/>
            <family val="2"/>
          </rPr>
          <t>Huggins, Joni [DAS]:</t>
        </r>
        <r>
          <rPr>
            <sz val="11"/>
            <color indexed="81"/>
            <rFont val="Tahoma"/>
            <family val="2"/>
          </rPr>
          <t xml:space="preserve">
PM Time Budget Request
$Joni
Elliott, Jennie
Sun, Nov 2, 4:38 PM (2 days ago)
to me, Geoff
Please establish a PM Time budget in the project as follows: 
9508.00 - FDCF Unit A, B, &amp; G Roof Reply - $9,500.00
Thank you,
Jennie Elliott
Project #s 9507 &amp; 9508
$Joni
Wheelock, Geoff
Nov 24, 2025, 4:37 PM (15 hours ago)
to me
Could you please set up a PM Time budget for these referenced projects in the amount of:
9507.00 = $15,000
9508.00 = $36,000
I greatly appreciate your help on this. 
Thank you,</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B17" authorId="0" shapeId="0" xr:uid="{222665AF-0B0D-4E52-98DC-6D09D85F7B2C}">
      <text>
        <r>
          <rPr>
            <b/>
            <sz val="11"/>
            <color indexed="81"/>
            <rFont val="Tahoma"/>
            <family val="2"/>
          </rPr>
          <t>Huggins, Joni [DAS]:</t>
        </r>
        <r>
          <rPr>
            <sz val="11"/>
            <color indexed="81"/>
            <rFont val="Tahoma"/>
            <family val="2"/>
          </rPr>
          <t xml:space="preserve">
Project 9508/9509/9510
$Joni
Wheelock, Geoff
Mon, Nov 24, 12:42 PM (19 hours ago)
to me, Jennie
Good Morning,
These projects were all being rolled up into 9508 with their respective budgets being moved into 9508. Can you please assist with closing out 9509 &amp; 9510 and moving all items to the 9508 project?
Thank you,
Geoff Wheelock
Bureau Chief, State Design &amp; Construction</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B17" authorId="0" shapeId="0" xr:uid="{53AC5AF8-E6A5-4F3E-9E64-517353699C6D}">
      <text>
        <r>
          <rPr>
            <b/>
            <sz val="11"/>
            <color indexed="81"/>
            <rFont val="Tahoma"/>
            <family val="2"/>
          </rPr>
          <t>Huggins, Joni [DAS]:</t>
        </r>
        <r>
          <rPr>
            <sz val="11"/>
            <color indexed="81"/>
            <rFont val="Tahoma"/>
            <family val="2"/>
          </rPr>
          <t xml:space="preserve">
Project 9508/9509/9510
$Joni
Wheelock, Geoff
Mon, Nov 24, 12:42 PM (19 hours ago)
to me, Jennie
Good Morning,
These projects were all being rolled up into 9508 with their respective budgets being moved into 9508. Can you please assist with closing out 9509 &amp; 9510 and moving all items to the 9508 project?
Thank you,
Geoff Wheelock
Bureau Chief, State Design &amp; Construction</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9112AD08-F66F-4C4B-85AA-239BA4E72B45}">
      <text>
        <r>
          <rPr>
            <b/>
            <sz val="11"/>
            <color indexed="81"/>
            <rFont val="Tahoma"/>
            <family val="2"/>
          </rPr>
          <t>Huggins, Joni [DAS]:</t>
        </r>
        <r>
          <rPr>
            <sz val="11"/>
            <color indexed="81"/>
            <rFont val="Tahoma"/>
            <family val="2"/>
          </rPr>
          <t xml:space="preserve">
Re: February PM Time Posted
$Joni
Shimp, Oliver
Mar 13, 2026, 8:26 AM (3 days ago)
to me
Good Morning, 
Thank for you the list, could you please make the following adjustments?
DA25 9358.01  $(361.98)
Please move $5,000.00 from unallocated to PM Time
DA26 9534.00  $(298.97)
Please move $5,000.00 from unallocated to PM Time
MM24 9226.00 $(290.03)
Please move $5,000.00 from unallocated to PM Time.
MM24 9392.00 $(264.99)
Please move $3,000 from unallocated to PM Time
MM25 9451.00 $(130.91)
Please move $2,000.00 from unallocated to PM Time
MM26 9491.00 $(646.75)
Please move $5,000.00 from unallocated to PM Time
MM26 9512.00 $(560.94)
Please move $5,000 from unallocated to PM Time
X674  9464.00  $(96.94)
I'll have Brent add additional $100 to this project.
Thank you,
Oliver Shimp</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6FA583DA-59C6-4A70-8347-A43E02B3E546}">
      <text>
        <r>
          <rPr>
            <b/>
            <sz val="11"/>
            <color indexed="81"/>
            <rFont val="Tahoma"/>
            <family val="2"/>
          </rPr>
          <t>Huggins, Joni [DAS]:</t>
        </r>
        <r>
          <rPr>
            <sz val="11"/>
            <color indexed="81"/>
            <rFont val="Tahoma"/>
            <family val="2"/>
          </rPr>
          <t xml:space="preserve">
PM Time Budgets to Establish
$Joni
Elliott, Jennie
Nov 2, 2025, 4:38 PM (2 days ago)
to me
Please establish a PM Time budget in these projects as follows: 
9496.00 - NCCF Replace Window in Educ. Bldg - $10,000.00
9501.00 - NCCF Air Handler Replacement Units A &amp; B - $10,000.00
9505.00 - FDCF Sally Port Operator Replace - $11,800.00
9513.00 - CHMHI Tuckpointing Phase 2.2 - $20,000.00
Thank you,
Jennie Elliott</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543C73EC-148E-4694-8E5D-6674059CC889}">
      <text>
        <r>
          <rPr>
            <b/>
            <sz val="11"/>
            <color indexed="81"/>
            <rFont val="Tahoma"/>
            <family val="2"/>
          </rPr>
          <t>Huggins, Joni [DAS]:</t>
        </r>
        <r>
          <rPr>
            <sz val="11"/>
            <color indexed="81"/>
            <rFont val="Tahoma"/>
            <family val="2"/>
          </rPr>
          <t xml:space="preserve">
Shimp, Oliver
Nov 10, 2025, 3:36 PM (2 days ago)
to me
Good Afternoon Joni,
Thank you for putting these together,
Could you please make the following adjustments to these projects?
DA25 9358.01 (154.79) Please increase the PM time budget for this project by $500.00 to $5,557.50 from the unallocated budget.
MM24 9386.01 (988.08) Please increase the PM time budget by $3,000.00 to $25,450.87 from the unallocated budget.
MM24 9393.00 (532.02) Please ask James Trower to confirm this project PM time cost
MM26 9491.00 (101.20) Please increase the PM time budget by $5,000.00 to $10,000.00  from the unallocated budget.
MM26 9497.00 (858.68) Please increase the PM time budget by $10,000.00 to $10,000.00  from the unallocated budget.
MM26 9514.00 (1,400.83) Please increase the PM time budget by $2,000.00 to $2,000.00 from the unallocated budget.
Shimp, Oliver
​DAS Finance Payables Infrastructure​
​Wheelock, Geoff​
Good Morning,
Project MM26 9514.00 DAS Union Sunday School Investigation can be closed. PM Time and Misc. Contracts are all final completed. Please return any remaining funds to the MM26 funding pool.
Thank you,
Oliver Shimp</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tc={0E561AAE-7C90-462E-B711-F47CF70646A6}</author>
  </authors>
  <commentList>
    <comment ref="E9" authorId="0" shapeId="0" xr:uid="{0E561AAE-7C90-462E-B711-F47CF70646A6}">
      <text>
        <t xml:space="preserve">[Threaded comment]
Your version of Excel allows you to read this threaded comment; however, any edits to it will get removed if the file is opened in a newer version of Excel. Learn more: https://go.microsoft.com/fwlink/?linkid=870924
Comment:
    Trower, James
​Huggins, Joni;​DAS Finance Payables Infrastructure​
Finance -
Please increase PM Time by $15,000 for project 9519.00 (MM26)
Thanks,
James Trower, Licensed Architect, LEED AP
</t>
      </text>
    </comment>
  </commentList>
</comments>
</file>

<file path=xl/sharedStrings.xml><?xml version="1.0" encoding="utf-8"?>
<sst xmlns="http://schemas.openxmlformats.org/spreadsheetml/2006/main" count="7060" uniqueCount="1597">
  <si>
    <t>Major Program xxxx</t>
  </si>
  <si>
    <t>Recap</t>
  </si>
  <si>
    <t xml:space="preserve"> </t>
  </si>
  <si>
    <t>TRANSFERS</t>
  </si>
  <si>
    <t>CONTRACTED</t>
  </si>
  <si>
    <t>EXPENDED</t>
  </si>
  <si>
    <t>CONTRACTED,  NOT EXPENDED</t>
  </si>
  <si>
    <t>UNDER(OVER)
Budget</t>
  </si>
  <si>
    <t>Budget</t>
  </si>
  <si>
    <t>VendorA</t>
  </si>
  <si>
    <t>PM TIME</t>
  </si>
  <si>
    <t>Misc.</t>
  </si>
  <si>
    <t>Total Project Cost</t>
  </si>
  <si>
    <t>Vendor A</t>
  </si>
  <si>
    <t>Vendor:</t>
  </si>
  <si>
    <t>Activity code:</t>
  </si>
  <si>
    <t>Doc
  #</t>
  </si>
  <si>
    <t>Date</t>
  </si>
  <si>
    <t>Activity</t>
  </si>
  <si>
    <t>Contract 
&amp; C.O.'s</t>
  </si>
  <si>
    <t>Contract
Total</t>
  </si>
  <si>
    <t>Payment 
Amount</t>
  </si>
  <si>
    <t>Total
Paid</t>
  </si>
  <si>
    <t>Balance</t>
  </si>
  <si>
    <t>Totals:</t>
  </si>
  <si>
    <t>Internal documents</t>
  </si>
  <si>
    <t>eDAS</t>
  </si>
  <si>
    <t>Object Code</t>
  </si>
  <si>
    <t>Activity Code</t>
  </si>
  <si>
    <t>Budget amount</t>
  </si>
  <si>
    <t>Misc</t>
  </si>
  <si>
    <t>Do not code PM, EADOC, or Builders Risk here</t>
  </si>
  <si>
    <t xml:space="preserve">Doc #  </t>
  </si>
  <si>
    <t>Invoice</t>
  </si>
  <si>
    <t>Status</t>
  </si>
  <si>
    <t>PROJECT NUMBER</t>
  </si>
  <si>
    <t>PROJECT TITLE</t>
  </si>
  <si>
    <t>Project Mgr.</t>
  </si>
  <si>
    <t>Vertical Infrastructure Project Allocation</t>
  </si>
  <si>
    <t>Additional Funds</t>
  </si>
  <si>
    <t>Total Project Budget</t>
  </si>
  <si>
    <t>Contracted Amount</t>
  </si>
  <si>
    <t>Expended Amount</t>
  </si>
  <si>
    <t>Contracted Not Expended</t>
  </si>
  <si>
    <t>Not                Encumbered</t>
  </si>
  <si>
    <t>Sales Tax Refunds</t>
  </si>
  <si>
    <t>Total Funds &amp; Sales Tax Refunds</t>
  </si>
  <si>
    <t>.</t>
  </si>
  <si>
    <t>Less: Total Assigned</t>
  </si>
  <si>
    <t>Total Unassigned / Unallocated</t>
  </si>
  <si>
    <t>Major Maintenance Projects</t>
  </si>
  <si>
    <t>hard code</t>
  </si>
  <si>
    <t>link to project recap</t>
  </si>
  <si>
    <t>link to this page budget column</t>
  </si>
  <si>
    <t>Funds Received</t>
  </si>
  <si>
    <t>Project Management Time</t>
  </si>
  <si>
    <t>Major Maintenance Totals</t>
  </si>
  <si>
    <t>Total funds not allocated to the projects listed above</t>
  </si>
  <si>
    <t>For these projects the recap budget page will link to the Vertical Infrastructure project allocation and not the Total Budget column</t>
  </si>
  <si>
    <t>Subtotal</t>
  </si>
  <si>
    <t>Total funds Available</t>
  </si>
  <si>
    <t>Total obligated by contract or PO</t>
  </si>
  <si>
    <t>Variance</t>
  </si>
  <si>
    <t>9997.26</t>
  </si>
  <si>
    <t>Acct. Codes-0017-335-MM26</t>
  </si>
  <si>
    <r>
      <t>Acct. Codes-0017-335-MM26-</t>
    </r>
    <r>
      <rPr>
        <b/>
        <sz val="11"/>
        <color indexed="10"/>
        <rFont val="Arial"/>
        <family val="2"/>
      </rPr>
      <t>xxxx</t>
    </r>
  </si>
  <si>
    <t>Acct. Codes-0017-335-MM26-xxxx</t>
  </si>
  <si>
    <t>Total:</t>
  </si>
  <si>
    <t>Project # 9997.26</t>
  </si>
  <si>
    <t>Program code 999726</t>
  </si>
  <si>
    <t>eDAS: 733L</t>
  </si>
  <si>
    <t>9483.00</t>
  </si>
  <si>
    <t>9484.00</t>
  </si>
  <si>
    <t>DVA IVH Dack and Malloy Building Roof Replacements</t>
  </si>
  <si>
    <t>ILEA JOH Hydraulic Elevator Replacement</t>
  </si>
  <si>
    <t>Brad T.</t>
  </si>
  <si>
    <t>Project # 9483.00</t>
  </si>
  <si>
    <t>Program code 948300</t>
  </si>
  <si>
    <t>Project Manager - Brad T.</t>
  </si>
  <si>
    <t>Major Program 4D02</t>
  </si>
  <si>
    <t>Project # 9484.00</t>
  </si>
  <si>
    <t>Program code 948400</t>
  </si>
  <si>
    <t>Major Program 4D03</t>
  </si>
  <si>
    <t>eDAS:  733Q</t>
  </si>
  <si>
    <t>eDAS:  733R</t>
  </si>
  <si>
    <t>Total Appropriation R52</t>
  </si>
  <si>
    <t>2024 Iowa Acts, Chapter 1155, Section 1 (FY2025)</t>
  </si>
  <si>
    <t>IET DAS202601115300001</t>
  </si>
  <si>
    <t>Finance Support for July 01-31, 2025</t>
  </si>
  <si>
    <t>DAS Support for July 01-31, 2025</t>
  </si>
  <si>
    <t>9491.00</t>
  </si>
  <si>
    <t>DOC 7 JD RTU #2 Replacement</t>
  </si>
  <si>
    <t>Project # 9491.00</t>
  </si>
  <si>
    <t>Program code 949100</t>
  </si>
  <si>
    <t>Major Program 4B01</t>
  </si>
  <si>
    <t>Shipping Code:</t>
  </si>
  <si>
    <t>eDAS:  911F</t>
  </si>
  <si>
    <t>Project Manager - Geoff W.</t>
  </si>
  <si>
    <t>Geoff W.</t>
  </si>
  <si>
    <t>CDE 33526246821</t>
  </si>
  <si>
    <t>Move expense to 9436.00</t>
  </si>
  <si>
    <t>Move expense to 9440.00</t>
  </si>
  <si>
    <t>Move expense to 9420.00</t>
  </si>
  <si>
    <t>DCI Group</t>
  </si>
  <si>
    <t>Acct. Codes-0017-335-MM26-9255</t>
  </si>
  <si>
    <t>Vendor:  00003025029</t>
  </si>
  <si>
    <t>RFP1821335228-DCI11012021</t>
  </si>
  <si>
    <t>Activity code:  CMGR</t>
  </si>
  <si>
    <t>PO 33526255901</t>
  </si>
  <si>
    <t>PO Procore</t>
  </si>
  <si>
    <t>CM Services</t>
  </si>
  <si>
    <t>Reimbursables</t>
  </si>
  <si>
    <t>PO 33526259901</t>
  </si>
  <si>
    <t>Shipping Code:  558</t>
  </si>
  <si>
    <t>OPN Architects</t>
  </si>
  <si>
    <t>Acct. Codes-0017-335-MM26-9260</t>
  </si>
  <si>
    <t>Vendor:  00003035830</t>
  </si>
  <si>
    <t>RFP#948400-01</t>
  </si>
  <si>
    <t>Activity code:  DSGN</t>
  </si>
  <si>
    <t>PO 33526259909</t>
  </si>
  <si>
    <t>Investigation &amp; Design Docs</t>
  </si>
  <si>
    <t>Construction Docs</t>
  </si>
  <si>
    <t>Construction Phase</t>
  </si>
  <si>
    <t>IET DAS202602115300001</t>
  </si>
  <si>
    <t>Finance Support for August 01-31, 2025</t>
  </si>
  <si>
    <t>DAS Support for August 01-31, 2025</t>
  </si>
  <si>
    <t>PRC 3352625PA5901</t>
  </si>
  <si>
    <t>Inv. 25-022 PC 01</t>
  </si>
  <si>
    <t>9494.00</t>
  </si>
  <si>
    <t>9495.00</t>
  </si>
  <si>
    <t>9496.00</t>
  </si>
  <si>
    <t>9497.00</t>
  </si>
  <si>
    <t>9498.00</t>
  </si>
  <si>
    <t>9499.00</t>
  </si>
  <si>
    <t>9500.00</t>
  </si>
  <si>
    <t>9501.00</t>
  </si>
  <si>
    <t>9502.00</t>
  </si>
  <si>
    <t>9503.00</t>
  </si>
  <si>
    <t>9504.00</t>
  </si>
  <si>
    <t>9505.00</t>
  </si>
  <si>
    <t>9506.00</t>
  </si>
  <si>
    <t>9507.00</t>
  </si>
  <si>
    <t>9508.00</t>
  </si>
  <si>
    <t>9509.00</t>
  </si>
  <si>
    <t>9510.00</t>
  </si>
  <si>
    <t>9511.00</t>
  </si>
  <si>
    <t>9512.00</t>
  </si>
  <si>
    <t>9513.00</t>
  </si>
  <si>
    <t>IDOE ISD Giangreco Hall Gutter, Dentil and Roof Repairs</t>
  </si>
  <si>
    <t>HHS IMHI Boiler #3 Replacement</t>
  </si>
  <si>
    <t>DOC NCCF Replace Windows in Education Building</t>
  </si>
  <si>
    <t>HHS IMHI Warehouse Roof Replacement</t>
  </si>
  <si>
    <t>DAS TH Parking Lot Retaining Wall Repairs</t>
  </si>
  <si>
    <t>IPBS 6535 Corporate Drive Parking Lot Replacement</t>
  </si>
  <si>
    <t>DOC MPCF Spill Containment for Diesel Tank</t>
  </si>
  <si>
    <t>HHS WRC CDC Freezer Repair</t>
  </si>
  <si>
    <t>HHS WRC Food Service Elevator Replacement</t>
  </si>
  <si>
    <t>DOC FDCF Sally Port Operator Replacement</t>
  </si>
  <si>
    <t>DOC IMCC Cooling Tower Replacement</t>
  </si>
  <si>
    <t>DOC FDCF Unit A Roof Replacement</t>
  </si>
  <si>
    <t>DOC FDCF Boone Unit Roof Replacement</t>
  </si>
  <si>
    <t>DOC FDCF Grove Unit Roof Replacement</t>
  </si>
  <si>
    <t>DPS P13 Upper Parking Lot Replacement</t>
  </si>
  <si>
    <t>IDOE IPBS 6450 Corporate Drive Repair Auditorium Exterior Fire Exit</t>
  </si>
  <si>
    <t>HHS CHMHI Tuckpointing Phase 2.2</t>
  </si>
  <si>
    <t>Jennie E.</t>
  </si>
  <si>
    <t>Oliver S.(JE)</t>
  </si>
  <si>
    <t>James T.</t>
  </si>
  <si>
    <t>Brandon A.</t>
  </si>
  <si>
    <t>Jennifer K.</t>
  </si>
  <si>
    <t>Geoff W(JK)</t>
  </si>
  <si>
    <t>Geoff W(JE)</t>
  </si>
  <si>
    <t>DOC MPCF Hot and Cold Water Mains Replacement</t>
  </si>
  <si>
    <t>DOC MPCF Perimeter Fence and Wagon Gates</t>
  </si>
  <si>
    <t>Project # 9494.00</t>
  </si>
  <si>
    <t>Project Manager - Jennie E.</t>
  </si>
  <si>
    <t>Project # 9495.00</t>
  </si>
  <si>
    <t>Program code 949500</t>
  </si>
  <si>
    <t>Project Manager - Oliver S. (JE)</t>
  </si>
  <si>
    <t>Program code 949400</t>
  </si>
  <si>
    <t>Major Program 4E02</t>
  </si>
  <si>
    <t>Major Program 4E19</t>
  </si>
  <si>
    <t>Project # 9496.00</t>
  </si>
  <si>
    <t>Program code 949600</t>
  </si>
  <si>
    <t>Major Program 4E01</t>
  </si>
  <si>
    <t>Project # 9497.00</t>
  </si>
  <si>
    <t>Program code 949700</t>
  </si>
  <si>
    <t>Project # 9498.00</t>
  </si>
  <si>
    <t>Program code 949800</t>
  </si>
  <si>
    <t>Major Program 4D04</t>
  </si>
  <si>
    <t>Project Manager - James T.</t>
  </si>
  <si>
    <t>Project # 9499.00</t>
  </si>
  <si>
    <t>Program code 949900</t>
  </si>
  <si>
    <t>Project # 9500.00</t>
  </si>
  <si>
    <t>Program code 950000</t>
  </si>
  <si>
    <t>Project Manager - Brandon A.</t>
  </si>
  <si>
    <t>Project # 9501.00</t>
  </si>
  <si>
    <t>Major Program 4F03</t>
  </si>
  <si>
    <t>Program code 950100</t>
  </si>
  <si>
    <t>Project # 9502.00</t>
  </si>
  <si>
    <t>Program code 950200</t>
  </si>
  <si>
    <t>Major Program 4F04</t>
  </si>
  <si>
    <t>Project # 9503.00</t>
  </si>
  <si>
    <t>Program code 950300</t>
  </si>
  <si>
    <t>Project Manager - Jennifer K.</t>
  </si>
  <si>
    <t>Project # 9504.00</t>
  </si>
  <si>
    <t>Program code 950400</t>
  </si>
  <si>
    <t>Project # 9505.00</t>
  </si>
  <si>
    <t>Program code 950500</t>
  </si>
  <si>
    <t>Project # 9506.00</t>
  </si>
  <si>
    <t>Program code 950600</t>
  </si>
  <si>
    <t>Project # 9507.00</t>
  </si>
  <si>
    <t>Program code 950700</t>
  </si>
  <si>
    <t>Project Manager - Geoff W.(JK)</t>
  </si>
  <si>
    <t>Project # 9508.00</t>
  </si>
  <si>
    <t>Program code 950800</t>
  </si>
  <si>
    <t>Project Manager - Geoff W.(JE)</t>
  </si>
  <si>
    <t>Project # 9509.00</t>
  </si>
  <si>
    <t>Program code 950900</t>
  </si>
  <si>
    <t>Project Manager - Geoff W. (JE)</t>
  </si>
  <si>
    <t>Project # 9510.00</t>
  </si>
  <si>
    <t>Program code 951000</t>
  </si>
  <si>
    <t>Project # 9511.00</t>
  </si>
  <si>
    <t>Program code 951100</t>
  </si>
  <si>
    <t>Major Program 4E12</t>
  </si>
  <si>
    <t>Project # 9512.00</t>
  </si>
  <si>
    <t>Program code 951200</t>
  </si>
  <si>
    <t>Project # 9513.00</t>
  </si>
  <si>
    <t>Program code 951300</t>
  </si>
  <si>
    <t>Major Program 4E10</t>
  </si>
  <si>
    <t>eDAS  734J</t>
  </si>
  <si>
    <t>eDAS  734K</t>
  </si>
  <si>
    <t>eDAS 734L</t>
  </si>
  <si>
    <t>eDAS 734M</t>
  </si>
  <si>
    <t>eDAS 734N</t>
  </si>
  <si>
    <t>eDAS  734O</t>
  </si>
  <si>
    <t>eDAS 734P</t>
  </si>
  <si>
    <t>eDAS 734Q</t>
  </si>
  <si>
    <t>eDAS 734R</t>
  </si>
  <si>
    <t>eDAS 734S</t>
  </si>
  <si>
    <t>eDAS 734T</t>
  </si>
  <si>
    <t>eDAS  734U</t>
  </si>
  <si>
    <t>eDAS 734V</t>
  </si>
  <si>
    <t>eDAS 734W</t>
  </si>
  <si>
    <t>eDAS 734X</t>
  </si>
  <si>
    <t>eDAS 734Y</t>
  </si>
  <si>
    <t>eDAS 734Z</t>
  </si>
  <si>
    <t>eDAS 735A</t>
  </si>
  <si>
    <t>eDAS 735B</t>
  </si>
  <si>
    <t>eDAS 735C</t>
  </si>
  <si>
    <t>C</t>
  </si>
  <si>
    <t>Closing Per Geoff Wheelock Email 10/03/25</t>
  </si>
  <si>
    <t>PO 33526279901</t>
  </si>
  <si>
    <t>McGough Construction</t>
  </si>
  <si>
    <t>Vendor:  00003193334</t>
  </si>
  <si>
    <t>RFP1821335228-McGough11012021</t>
  </si>
  <si>
    <t>9514.00</t>
  </si>
  <si>
    <t>DAS Union Sunday School Structural Investigation</t>
  </si>
  <si>
    <t>Project # 9514.00</t>
  </si>
  <si>
    <t>Program code 951400</t>
  </si>
  <si>
    <t>IET DAS202603115300001</t>
  </si>
  <si>
    <t>2507</t>
  </si>
  <si>
    <t>Finance Support for September 01-30, 2025</t>
  </si>
  <si>
    <t>DAS Support for September 01-30, 2025</t>
  </si>
  <si>
    <t>CDE 33526281901</t>
  </si>
  <si>
    <t>Moving cost from MM26 9495.00 to MM25 9474.00</t>
  </si>
  <si>
    <t>PRC 3352625PB5901</t>
  </si>
  <si>
    <t>Inv. 25-022 PC 02</t>
  </si>
  <si>
    <t>Project # XXXX.XX</t>
  </si>
  <si>
    <t>Program code XXXXXX</t>
  </si>
  <si>
    <t xml:space="preserve">Project Manager - </t>
  </si>
  <si>
    <t xml:space="preserve">Major Program </t>
  </si>
  <si>
    <t>eDAS:  735D</t>
  </si>
  <si>
    <t>Closed per PM 10/10/25</t>
  </si>
  <si>
    <t>Horizon Architecture</t>
  </si>
  <si>
    <t>Vendor:  00003108847</t>
  </si>
  <si>
    <t>SRVV5</t>
  </si>
  <si>
    <t>Shipping Code:  C16</t>
  </si>
  <si>
    <t>Story Construction</t>
  </si>
  <si>
    <t>Vendor:  00002110695</t>
  </si>
  <si>
    <t>RFP1821335228-Story11012021</t>
  </si>
  <si>
    <t>PO 33526288901</t>
  </si>
  <si>
    <t>Shipping Code: 556</t>
  </si>
  <si>
    <t>PO 33526289900</t>
  </si>
  <si>
    <t>SystemWorks</t>
  </si>
  <si>
    <t>Vendor:  00002144353</t>
  </si>
  <si>
    <t>MA 00521396C</t>
  </si>
  <si>
    <t>Activity code:  CNST</t>
  </si>
  <si>
    <t>PO 33526290900</t>
  </si>
  <si>
    <t>Shipping Code:  564</t>
  </si>
  <si>
    <t>PRC 3352625PA9901</t>
  </si>
  <si>
    <t>Inv. 25-021 PC 01</t>
  </si>
  <si>
    <t>Shipping Code:  570</t>
  </si>
  <si>
    <t>Shipping Code:  C21</t>
  </si>
  <si>
    <t>Shipping Code: 171</t>
  </si>
  <si>
    <t>KCL Engineering</t>
  </si>
  <si>
    <t>Vendor:  00002103747</t>
  </si>
  <si>
    <t>949100-01</t>
  </si>
  <si>
    <t>PO 33526296902</t>
  </si>
  <si>
    <t>Design Development Docs</t>
  </si>
  <si>
    <t>Bidding/Negotiation</t>
  </si>
  <si>
    <t>`</t>
  </si>
  <si>
    <t>RFP181335228-DCI11012021</t>
  </si>
  <si>
    <t>PO 33526301907</t>
  </si>
  <si>
    <t>PO 33526259900</t>
  </si>
  <si>
    <t>PRC 3352625PA9900</t>
  </si>
  <si>
    <t>Inv. 25-033 PC 01</t>
  </si>
  <si>
    <t>PO 33526308900</t>
  </si>
  <si>
    <t>Shipping Code:  178</t>
  </si>
  <si>
    <t>PO 33526287905</t>
  </si>
  <si>
    <t>PRC 3352625PA9909</t>
  </si>
  <si>
    <t>Inv. 25832000-1</t>
  </si>
  <si>
    <t>PRC 3352627PA9901</t>
  </si>
  <si>
    <t>Inv. 101368.015-PC01</t>
  </si>
  <si>
    <t>IET DAS202604115300001</t>
  </si>
  <si>
    <t>Finance Support for October 01-31, 2025</t>
  </si>
  <si>
    <t>DAS Support for October 01-31, 2025</t>
  </si>
  <si>
    <t>CDE 33526317909</t>
  </si>
  <si>
    <t>Move from DA26 9481.00</t>
  </si>
  <si>
    <t>PRC 3352625PC5901</t>
  </si>
  <si>
    <t>Inv. 25-022 PC 03</t>
  </si>
  <si>
    <r>
      <t>Acct. Codes-0017-335-MM26-</t>
    </r>
    <r>
      <rPr>
        <b/>
        <sz val="11"/>
        <color indexed="10"/>
        <rFont val="Arial"/>
        <family val="2"/>
      </rPr>
      <t>9255</t>
    </r>
  </si>
  <si>
    <t>PO 33526323905</t>
  </si>
  <si>
    <t>PRC 3352625PB9900</t>
  </si>
  <si>
    <t>Inv. 25-033 PC 02</t>
  </si>
  <si>
    <t>PRC 3352630PA1907</t>
  </si>
  <si>
    <t>Inv. 9498.00 PC 01</t>
  </si>
  <si>
    <t>Genesis Architectural</t>
  </si>
  <si>
    <t>Vendor:  00002092152</t>
  </si>
  <si>
    <t>RFB948300-01</t>
  </si>
  <si>
    <t>PO 33526328905</t>
  </si>
  <si>
    <t>50% CD Design Phase</t>
  </si>
  <si>
    <t>100% Construction Docs</t>
  </si>
  <si>
    <t>Bidding Phase Services</t>
  </si>
  <si>
    <t>Construction Phase Services</t>
  </si>
  <si>
    <t>PO 33526329902</t>
  </si>
  <si>
    <t>Shipping Code:  171</t>
  </si>
  <si>
    <t>Closed per Geoff 11/25/25</t>
  </si>
  <si>
    <t>PRC 3352625PB9901</t>
  </si>
  <si>
    <t>Inv. 25-021 PC 02</t>
  </si>
  <si>
    <t>RFP949800-01</t>
  </si>
  <si>
    <t>PO 33526337908</t>
  </si>
  <si>
    <t>PRC 3352625PB9909</t>
  </si>
  <si>
    <t>Inv. 25832000-2</t>
  </si>
  <si>
    <t>9455.00</t>
  </si>
  <si>
    <t>IDOE ISD Giangreco Hall Water Infiltration Mitigation</t>
  </si>
  <si>
    <t>Jennie E</t>
  </si>
  <si>
    <t>Project Title</t>
  </si>
  <si>
    <t>Project # 9455.00</t>
  </si>
  <si>
    <t>Program code 945500</t>
  </si>
  <si>
    <t>Boyd Jones</t>
  </si>
  <si>
    <t>Vendor:  00003193325</t>
  </si>
  <si>
    <t>RFP1821335228-BoydJones11012021</t>
  </si>
  <si>
    <t>PO 33526342905</t>
  </si>
  <si>
    <t>eDAS  735L</t>
  </si>
  <si>
    <t>PRC 3352627PB9901</t>
  </si>
  <si>
    <t>Inv. 101368.015-PC02</t>
  </si>
  <si>
    <t>PO 33526344905</t>
  </si>
  <si>
    <t>Shipping Code: 548</t>
  </si>
  <si>
    <t>Beeline &amp; Blue V#(00002108204)</t>
  </si>
  <si>
    <t>PRC 33526345900</t>
  </si>
  <si>
    <t>9500</t>
  </si>
  <si>
    <t>CNST</t>
  </si>
  <si>
    <t>Inv. INV054322</t>
  </si>
  <si>
    <t>IET DAS202605115300001</t>
  </si>
  <si>
    <t>Finance Support for November 1-30, 2025</t>
  </si>
  <si>
    <t>DAS Support for November 1-30, 2025</t>
  </si>
  <si>
    <t>PRC 33526356903</t>
  </si>
  <si>
    <t>Rapids Reproductions V#(00002111375)</t>
  </si>
  <si>
    <t>Inv. INVCL2382</t>
  </si>
  <si>
    <t>PRC 3352625PD5901</t>
  </si>
  <si>
    <t>Inv. 25-022 PC 04</t>
  </si>
  <si>
    <t>PRC 3352625PC9901</t>
  </si>
  <si>
    <t>Inv. 25-021 PC 03</t>
  </si>
  <si>
    <t>Modus Engineering</t>
  </si>
  <si>
    <t>Vendor:  00003034025</t>
  </si>
  <si>
    <t>RFP950200-01</t>
  </si>
  <si>
    <t>PO 33526357904</t>
  </si>
  <si>
    <t>PRC 3352629PA6902</t>
  </si>
  <si>
    <t>Inv. 13053</t>
  </si>
  <si>
    <t>PRC 3352625PC9900</t>
  </si>
  <si>
    <t>Inv. 25-033 PC 03</t>
  </si>
  <si>
    <t>PRC 3352630PA8900</t>
  </si>
  <si>
    <t>Inv. 35080</t>
  </si>
  <si>
    <t>GTG Construction</t>
  </si>
  <si>
    <t>Vendor:  00003032746</t>
  </si>
  <si>
    <t>Activity code:  BRUM</t>
  </si>
  <si>
    <t>PO 33526363904</t>
  </si>
  <si>
    <t>PRC 3352630PB1907</t>
  </si>
  <si>
    <t>Inv. 9498.00 PC 02</t>
  </si>
  <si>
    <t>McKinnis Roofing &amp; Sheet Metal</t>
  </si>
  <si>
    <t>Shipping Code:  231A</t>
  </si>
  <si>
    <t>PRC 3352634PA2905</t>
  </si>
  <si>
    <t>Inv. 9499.00-01</t>
  </si>
  <si>
    <t>Cannon Moss Brygger Architects</t>
  </si>
  <si>
    <t>CMB Architects</t>
  </si>
  <si>
    <t>Vendor:  00003050901</t>
  </si>
  <si>
    <t>950800-001</t>
  </si>
  <si>
    <t>PO 33526007909</t>
  </si>
  <si>
    <t>Construction Documents</t>
  </si>
  <si>
    <t>Bidding Assistance</t>
  </si>
  <si>
    <t>Kezlo Group</t>
  </si>
  <si>
    <t>Vendor:  00003234487</t>
  </si>
  <si>
    <t>RFP951300-01</t>
  </si>
  <si>
    <t>PO 33526007911</t>
  </si>
  <si>
    <t>50% CD's</t>
  </si>
  <si>
    <t>100% CD's</t>
  </si>
  <si>
    <t>Shive Hattery</t>
  </si>
  <si>
    <t>Vendor:  00002108803</t>
  </si>
  <si>
    <t>950500-01</t>
  </si>
  <si>
    <t>PO 33526008908</t>
  </si>
  <si>
    <t>Schematic Design Docs</t>
  </si>
  <si>
    <t>Schumacher Elevator</t>
  </si>
  <si>
    <t>Vendor:  00002108471</t>
  </si>
  <si>
    <t>RFB #948400-01</t>
  </si>
  <si>
    <t>PO 33526009905</t>
  </si>
  <si>
    <t>PRC 3352627PC9901</t>
  </si>
  <si>
    <t>Inv. 101368.015-PC03</t>
  </si>
  <si>
    <t>PRC 3352625PC9909</t>
  </si>
  <si>
    <t>Inv. 25832000-3</t>
  </si>
  <si>
    <t>Larson Engineering</t>
  </si>
  <si>
    <t>Vendor:  VS000002162</t>
  </si>
  <si>
    <t>949900-01</t>
  </si>
  <si>
    <t>IET DAS202606115300001</t>
  </si>
  <si>
    <t>Finance Support for December 1-31, 2025</t>
  </si>
  <si>
    <t>DAS Support for December 1-31, 2025</t>
  </si>
  <si>
    <t>Advanced Environmental V#(00002125877)</t>
  </si>
  <si>
    <t>Inv. 12418</t>
  </si>
  <si>
    <t>PRC 33526014910</t>
  </si>
  <si>
    <t>PRC 3352628PA9900</t>
  </si>
  <si>
    <t>Inv. 35121</t>
  </si>
  <si>
    <t>ECS Midwest, LLC</t>
  </si>
  <si>
    <t>ECS Midwest</t>
  </si>
  <si>
    <t>Vendor:  00003234598</t>
  </si>
  <si>
    <t>949700-01</t>
  </si>
  <si>
    <t>Bid/Negotiation Phase</t>
  </si>
  <si>
    <t>PO 33526020905</t>
  </si>
  <si>
    <t>PO 33526020906</t>
  </si>
  <si>
    <t>PRC 3352630PB8900</t>
  </si>
  <si>
    <t>Inv. 35120</t>
  </si>
  <si>
    <t>PRC 3352634PA4905</t>
  </si>
  <si>
    <t>Inv. 9513.00 PC 01</t>
  </si>
  <si>
    <t>PRC 3352625PE5901</t>
  </si>
  <si>
    <t>Inv. 25-022 PC 05 FINAL</t>
  </si>
  <si>
    <t>FINAL</t>
  </si>
  <si>
    <t>Inv. 2693264</t>
  </si>
  <si>
    <t>PRC 33526021912</t>
  </si>
  <si>
    <t>ACT Group V#(00002134218)</t>
  </si>
  <si>
    <t>PRC 33526022905</t>
  </si>
  <si>
    <t>Inv. INVCL2444</t>
  </si>
  <si>
    <t>PRC 3352628PA8901</t>
  </si>
  <si>
    <t>Inv. 35119</t>
  </si>
  <si>
    <t>PRC 3352625PD9900</t>
  </si>
  <si>
    <t>Inv. 25-033 PC 04</t>
  </si>
  <si>
    <t>PO 33526023912</t>
  </si>
  <si>
    <t>Topographic Survey</t>
  </si>
  <si>
    <t>Geotechnical Investigation</t>
  </si>
  <si>
    <t>Design Development</t>
  </si>
  <si>
    <t>Shipping Code:  220</t>
  </si>
  <si>
    <t>PO 33526023914</t>
  </si>
  <si>
    <t>DOC NCCF Air Handler Replacement and Condenser Coils Unit A and B</t>
  </si>
  <si>
    <t>Shipping Code:  177</t>
  </si>
  <si>
    <t>Project Manager - Jennie E</t>
  </si>
  <si>
    <t>PO 33526023915</t>
  </si>
  <si>
    <t>PRC 3352630PC1907</t>
  </si>
  <si>
    <t>Inv. 9498.00 PC 03</t>
  </si>
  <si>
    <t>PRC 3352625PD9901</t>
  </si>
  <si>
    <t>Inv. 25-021 PC 04</t>
  </si>
  <si>
    <t>CO #1</t>
  </si>
  <si>
    <t>PRC 3352635PA7904</t>
  </si>
  <si>
    <t>Inv. 22640</t>
  </si>
  <si>
    <t>Samuels Group</t>
  </si>
  <si>
    <t>Vendor:  00003033402</t>
  </si>
  <si>
    <t>RFP1821335228-Samuels11012021</t>
  </si>
  <si>
    <t>PO 33526029913</t>
  </si>
  <si>
    <t>Reimbursables (Hotels, Mileage, Meals)</t>
  </si>
  <si>
    <t>Reimbursables(Temp Trailer $600 monthly)</t>
  </si>
  <si>
    <t>Reimbursables(Temp Power Utilities)</t>
  </si>
  <si>
    <t>4% Samuels GroupFee</t>
  </si>
  <si>
    <t>McKinnis Roofing</t>
  </si>
  <si>
    <t>Activity code:  BRIN</t>
  </si>
  <si>
    <t>PO 33526002900</t>
  </si>
  <si>
    <t>RFB945500-01</t>
  </si>
  <si>
    <t>Vendor:  00003217305</t>
  </si>
  <si>
    <t>PO 33526030910</t>
  </si>
  <si>
    <t>PRC 3352602PA0906</t>
  </si>
  <si>
    <t>Inv. 9505.00-01</t>
  </si>
  <si>
    <t>9440.01</t>
  </si>
  <si>
    <t>DAS CC Historical Building Elevators Replacement PH1</t>
  </si>
  <si>
    <t>Project # 9440.01</t>
  </si>
  <si>
    <t>Program code 944001</t>
  </si>
  <si>
    <t>Project Manager - Brad T</t>
  </si>
  <si>
    <t>9519.00</t>
  </si>
  <si>
    <t>HHS IMHI Infirmary Building Roof Repair</t>
  </si>
  <si>
    <t>DPS D1 1333 Ohio Roof Replacement</t>
  </si>
  <si>
    <t>9521.00</t>
  </si>
  <si>
    <t>9524.00</t>
  </si>
  <si>
    <t>DOC ASP SallyPort Tunnel &amp; Living Unit B Tunnel Repair</t>
  </si>
  <si>
    <t>HHS CHMHI Four Corners Elevator Replacement</t>
  </si>
  <si>
    <t>9527.00</t>
  </si>
  <si>
    <t>9529.00</t>
  </si>
  <si>
    <t>9530.00</t>
  </si>
  <si>
    <t>HHS CHMHI Wirth Hall Tunnel Repairs</t>
  </si>
  <si>
    <t>DOC FDCF Unit L Pre-Cast Sealant &amp; Warehouse W Freezer Floor Repair</t>
  </si>
  <si>
    <t>Project # 9519.00</t>
  </si>
  <si>
    <t>Program code 951900</t>
  </si>
  <si>
    <t>Project # 9521.00</t>
  </si>
  <si>
    <t>Program code 952100</t>
  </si>
  <si>
    <t>Major Program  4E02</t>
  </si>
  <si>
    <t>Project # 9524.00</t>
  </si>
  <si>
    <t>Program code 952400</t>
  </si>
  <si>
    <t>Project # 9527.00</t>
  </si>
  <si>
    <t>Program code 952700</t>
  </si>
  <si>
    <t>Project Manager - Brandon A</t>
  </si>
  <si>
    <t>Project # 9529.00</t>
  </si>
  <si>
    <t>Program code 952900</t>
  </si>
  <si>
    <t>Major Program 4G01</t>
  </si>
  <si>
    <t>Project # 9530.00</t>
  </si>
  <si>
    <t>Program code 953000</t>
  </si>
  <si>
    <t>eDAS 911I</t>
  </si>
  <si>
    <t>eDAS 911J</t>
  </si>
  <si>
    <t>eDAS 911L</t>
  </si>
  <si>
    <t>eDAS 911O</t>
  </si>
  <si>
    <t>eDAS  911R</t>
  </si>
  <si>
    <t>eDAS  911T</t>
  </si>
  <si>
    <t>eDAS 911U</t>
  </si>
  <si>
    <t>DCI Group (2)</t>
  </si>
  <si>
    <t>PO 33526033911</t>
  </si>
  <si>
    <t>PRC 3352636PA3904</t>
  </si>
  <si>
    <t>Retainage</t>
  </si>
  <si>
    <t>Inv. 9484.00-001</t>
  </si>
  <si>
    <t>PRC 3352602PA9913</t>
  </si>
  <si>
    <t>Inv. 7850.51945500</t>
  </si>
  <si>
    <t>Inv. INV054777</t>
  </si>
  <si>
    <t>PRC 33526034910</t>
  </si>
  <si>
    <t>Bolton And Menk</t>
  </si>
  <si>
    <t>Bolton and Menk</t>
  </si>
  <si>
    <t>Vendor:  00002104085</t>
  </si>
  <si>
    <t>RFP951100-01</t>
  </si>
  <si>
    <t>PO 33526034918</t>
  </si>
  <si>
    <t>Shipping Code:  859</t>
  </si>
  <si>
    <r>
      <t>Acct. Codes-0017-335-MM26-</t>
    </r>
    <r>
      <rPr>
        <b/>
        <sz val="11"/>
        <color indexed="10"/>
        <rFont val="Arial"/>
        <family val="2"/>
      </rPr>
      <t>9260</t>
    </r>
  </si>
  <si>
    <t>RFP950000-01</t>
  </si>
  <si>
    <t>PO 33526034919</t>
  </si>
  <si>
    <t>PRC 3352602PB0906</t>
  </si>
  <si>
    <t>Inv. 9505.00-02</t>
  </si>
  <si>
    <t>PRC 3352600PA7909</t>
  </si>
  <si>
    <t>Inv. 66908</t>
  </si>
  <si>
    <t>IET DAS202607115300001</t>
  </si>
  <si>
    <t>Finance Support for January 1-31, 2026</t>
  </si>
  <si>
    <t>DAS Support for January 1-31, 2026</t>
  </si>
  <si>
    <t>PRC 3352602PA3915</t>
  </si>
  <si>
    <t>Inv. 101537.004PC-01</t>
  </si>
  <si>
    <t>PRC 3352625PD9909</t>
  </si>
  <si>
    <t>Inv. 25832000-4</t>
  </si>
  <si>
    <t>PRC 3352632PA3905</t>
  </si>
  <si>
    <t>Inv. 101537.002-PC01</t>
  </si>
  <si>
    <t>PRC 3352630PD1907</t>
  </si>
  <si>
    <t>Inv. 9498.00 PC 04</t>
  </si>
  <si>
    <t>PRC 3352634PB2905</t>
  </si>
  <si>
    <t>Inv. 9499.00-02</t>
  </si>
  <si>
    <t>PRC 3352634PB4905</t>
  </si>
  <si>
    <t>Inv. 9513.00 PC 02</t>
  </si>
  <si>
    <t>PRC 3352628PA7905</t>
  </si>
  <si>
    <t>Inv. 9514.00-01</t>
  </si>
  <si>
    <t>PRC 3352627PD9901</t>
  </si>
  <si>
    <t>Inv. 101368.015-PC04</t>
  </si>
  <si>
    <t>Terracon Consultants</t>
  </si>
  <si>
    <t>MA25049</t>
  </si>
  <si>
    <t>Vendor:  00002116513</t>
  </si>
  <si>
    <t>PO 33526049912</t>
  </si>
  <si>
    <t>Geotechnical Line3</t>
  </si>
  <si>
    <t>Soil Moisture Content Line2</t>
  </si>
  <si>
    <t>Labor Project Mngr Line 5</t>
  </si>
  <si>
    <t>Testing Tech Line 6</t>
  </si>
  <si>
    <t>Travel Line 7 300miles@.50</t>
  </si>
  <si>
    <t>Specialized Vehicles Line 8</t>
  </si>
  <si>
    <t>PRC 3352632PA9902</t>
  </si>
  <si>
    <t>Inv. 101537.001-PC01</t>
  </si>
  <si>
    <t>PRC 3352628PB8901</t>
  </si>
  <si>
    <t>Inv. 35153</t>
  </si>
  <si>
    <t>PRC 3352602PA3912</t>
  </si>
  <si>
    <t>PRC 3352633PA7908</t>
  </si>
  <si>
    <t>Inv. 24853006-1</t>
  </si>
  <si>
    <t>PRC 3352630PC8900</t>
  </si>
  <si>
    <t>Inv. 35154</t>
  </si>
  <si>
    <t>PO 33526054910</t>
  </si>
  <si>
    <t>Shipping Code:  1515</t>
  </si>
  <si>
    <t>PRC 3352625PE9901</t>
  </si>
  <si>
    <t>Inv. 25-021 PC 05</t>
  </si>
  <si>
    <t>PRC 3352625PE9900</t>
  </si>
  <si>
    <t>Inv. 25-033 PC 05</t>
  </si>
  <si>
    <t>PRC 3352600PA7911</t>
  </si>
  <si>
    <t>Inv. 25-139.01</t>
  </si>
  <si>
    <t>PRC 3352602PA3914</t>
  </si>
  <si>
    <t>Inv. 101537.005PC-01</t>
  </si>
  <si>
    <t xml:space="preserve">Major Program:  4D03 </t>
  </si>
  <si>
    <t>PO 33526055913</t>
  </si>
  <si>
    <t>Modern Piping Services</t>
  </si>
  <si>
    <t>Modern Piping Service</t>
  </si>
  <si>
    <t>Vendor:  00002108094</t>
  </si>
  <si>
    <t>RFB949100-01</t>
  </si>
  <si>
    <t>PO 33526057908</t>
  </si>
  <si>
    <t>PRC 3352602PB9913</t>
  </si>
  <si>
    <t>Inv. 7850.52945500</t>
  </si>
  <si>
    <t>PRC 3352602PA0905</t>
  </si>
  <si>
    <t>RFP944000-01</t>
  </si>
  <si>
    <t>PO 33526062911</t>
  </si>
  <si>
    <t>Elevator #3</t>
  </si>
  <si>
    <t>50% CDs</t>
  </si>
  <si>
    <t>100% CDs</t>
  </si>
  <si>
    <t>Bid</t>
  </si>
  <si>
    <t>Construction Admin</t>
  </si>
  <si>
    <t>Sub Total</t>
  </si>
  <si>
    <t>Elevator #4</t>
  </si>
  <si>
    <t>Elevator #5</t>
  </si>
  <si>
    <t>Grand Total</t>
  </si>
  <si>
    <t>Shipping Code:  035</t>
  </si>
  <si>
    <t>DO 33526062913</t>
  </si>
  <si>
    <t>DO Procore</t>
  </si>
  <si>
    <t>Line 2 - Moisture test 12@15</t>
  </si>
  <si>
    <t>Line 8 - Specialized vehicles 1@520</t>
  </si>
  <si>
    <t>RFP949600-01</t>
  </si>
  <si>
    <t>PO 33526062916</t>
  </si>
  <si>
    <t>Shipping Code: 177</t>
  </si>
  <si>
    <t>Inv. 2133019</t>
  </si>
  <si>
    <t>Inv. INVCL2576</t>
  </si>
  <si>
    <t>PRC 33526063911</t>
  </si>
  <si>
    <t xml:space="preserve"> Holmes Murphy V#(00002110543)</t>
  </si>
  <si>
    <t>Inv. 880061</t>
  </si>
  <si>
    <t>PRC 33526065905</t>
  </si>
  <si>
    <t>PRC 3352629PA0900</t>
  </si>
  <si>
    <t>Inv. 12814</t>
  </si>
  <si>
    <t>PRC 3352600PB7909</t>
  </si>
  <si>
    <t>Inv. 67011</t>
  </si>
  <si>
    <t>McGough Construction (2)</t>
  </si>
  <si>
    <t>PO 33526069901</t>
  </si>
  <si>
    <t>Fee</t>
  </si>
  <si>
    <t>PRC 3352602PB3914</t>
  </si>
  <si>
    <t>Inv. 101537.005PC-02</t>
  </si>
  <si>
    <t>PRC 3352602PB3915</t>
  </si>
  <si>
    <t>Inv. 101537.004PC-02</t>
  </si>
  <si>
    <t>PRC 3352625PE9909</t>
  </si>
  <si>
    <t>Inv. 25832000-5</t>
  </si>
  <si>
    <t>IET DAS202608115300001</t>
  </si>
  <si>
    <t>Finance Support for February 1-28, 2026</t>
  </si>
  <si>
    <t>DAS Support for February 1-28, 2026</t>
  </si>
  <si>
    <t>RFP950600-02</t>
  </si>
  <si>
    <t>PO 33526069909</t>
  </si>
  <si>
    <t xml:space="preserve">Construction Phase </t>
  </si>
  <si>
    <t>RFB950200-01</t>
  </si>
  <si>
    <t>PO 33526075914</t>
  </si>
  <si>
    <t>ATC Group V#(00002134218)</t>
  </si>
  <si>
    <t>Inv. 2701106</t>
  </si>
  <si>
    <t>PRC 33526076900</t>
  </si>
  <si>
    <t>PRC 3352630PD8900</t>
  </si>
  <si>
    <t>Inv. 35198</t>
  </si>
  <si>
    <t>PRC 3352603PA0910</t>
  </si>
  <si>
    <t>Inv. 35197</t>
  </si>
  <si>
    <t>PRC 3352600PA8908</t>
  </si>
  <si>
    <t>Inv. 2250021640-1</t>
  </si>
  <si>
    <t>PRC 3352602PC0906</t>
  </si>
  <si>
    <t>Inv. 9505.00-03</t>
  </si>
  <si>
    <t>PO 33526078911</t>
  </si>
  <si>
    <t>PRC 3352634PC2905</t>
  </si>
  <si>
    <t>Inv. 9499.00-03</t>
  </si>
  <si>
    <t>PRC 3352632PB3905</t>
  </si>
  <si>
    <t>Inv. 101537.002-PC02</t>
  </si>
  <si>
    <t>PRC 3352602PB0905</t>
  </si>
  <si>
    <t>Inv. 2141568</t>
  </si>
  <si>
    <t>PRC 3352628PC8901</t>
  </si>
  <si>
    <t>Inv. 35196</t>
  </si>
  <si>
    <t>Inv. 12622</t>
  </si>
  <si>
    <t>PRC 33526079901</t>
  </si>
  <si>
    <t>PRC 3352606PA2916</t>
  </si>
  <si>
    <t>Inv. 67012</t>
  </si>
  <si>
    <t>PRC 3352625PF9901</t>
  </si>
  <si>
    <t>Inv. 25-021 PC 06</t>
  </si>
  <si>
    <t>IMEG Corp</t>
  </si>
  <si>
    <t>Vendor:  00003224175</t>
  </si>
  <si>
    <t>RFP950100-01</t>
  </si>
  <si>
    <t>PO 33526082902</t>
  </si>
  <si>
    <t>Design Documents</t>
  </si>
  <si>
    <t>PRC 3352632PB9902</t>
  </si>
  <si>
    <t>Inv. 101537.001-PC02</t>
  </si>
  <si>
    <t>PRC 3352603PA4919</t>
  </si>
  <si>
    <t>Inv. 13599</t>
  </si>
  <si>
    <t>PRC 3352635PB7904</t>
  </si>
  <si>
    <t>Inv. 22756</t>
  </si>
  <si>
    <t>PRC 3352635PC7904</t>
  </si>
  <si>
    <t>Inv. 22880</t>
  </si>
  <si>
    <t>PRC 3352627PE9901</t>
  </si>
  <si>
    <t>Inv. 101368.015-PC05 - FINAL</t>
  </si>
  <si>
    <t>PRC 3352603PA4918</t>
  </si>
  <si>
    <t>Inv. 9511.00-01</t>
  </si>
  <si>
    <t>PRC 3352629PB6902</t>
  </si>
  <si>
    <t>Inv. 13260</t>
  </si>
  <si>
    <t>Inv. 30585</t>
  </si>
  <si>
    <t>Academy Roofing V#(00003010234)</t>
  </si>
  <si>
    <t>GAX 33526083901</t>
  </si>
  <si>
    <t>PRC 3352634PC4905</t>
  </si>
  <si>
    <t>Inv. 9513.00 PC 03</t>
  </si>
  <si>
    <t>PRC 3352625PF9900</t>
  </si>
  <si>
    <t>Inv. 25-033 PC 06 FINAL</t>
  </si>
  <si>
    <t>PRC 3352630PE1907</t>
  </si>
  <si>
    <t>Inv. 9498.00 PC 06</t>
  </si>
  <si>
    <t>950400-01</t>
  </si>
  <si>
    <t>PO 33526083910</t>
  </si>
  <si>
    <t>PRC 3352603PA3911</t>
  </si>
  <si>
    <t>Inv. 23-022 CA 01</t>
  </si>
  <si>
    <t>PRC 3352636PB3904</t>
  </si>
  <si>
    <t>Inv. 9484.00-002</t>
  </si>
  <si>
    <t>PRC 3352602PB3912</t>
  </si>
  <si>
    <t>Inv. 12626</t>
  </si>
  <si>
    <t>PRC 33526085904</t>
  </si>
  <si>
    <t>PRC 3352636PC3904</t>
  </si>
  <si>
    <t>Inv. 9484.00-003</t>
  </si>
  <si>
    <t>Boyd Jones (2)</t>
  </si>
  <si>
    <t>PO 33526089910</t>
  </si>
  <si>
    <t>Shipping Code:  225</t>
  </si>
  <si>
    <t>PO 33526090908</t>
  </si>
  <si>
    <t>PO 33526023913</t>
  </si>
  <si>
    <t>Inv. 9512.00-01</t>
  </si>
  <si>
    <t>PRC 3352602PA3913</t>
  </si>
  <si>
    <t>952100-01</t>
  </si>
  <si>
    <t>PO 33526092909</t>
  </si>
  <si>
    <t>Design Development Phase</t>
  </si>
  <si>
    <t>Bid Phase</t>
  </si>
  <si>
    <t>PO 33526092911</t>
  </si>
  <si>
    <t>Shipping Code:  556</t>
  </si>
  <si>
    <t>PRC 3352602PB3913</t>
  </si>
  <si>
    <t>Inv. 9512.00-02</t>
  </si>
  <si>
    <t>Inv. INVCL2586</t>
  </si>
  <si>
    <t>PRC 33526092918</t>
  </si>
  <si>
    <t>PRC 3352633PB7908</t>
  </si>
  <si>
    <t>Inv. 24853006-2</t>
  </si>
  <si>
    <t>10Fold Architecture + Engineering</t>
  </si>
  <si>
    <t>Vendor:  00003101228</t>
  </si>
  <si>
    <t>950300-01</t>
  </si>
  <si>
    <t>PO 33526093915</t>
  </si>
  <si>
    <t>PRC 3352625PF9909</t>
  </si>
  <si>
    <t>Inv. 25832000-6</t>
  </si>
  <si>
    <t>PRC 3352632PA8905</t>
  </si>
  <si>
    <t>Inv. 2516-01</t>
  </si>
  <si>
    <t>IET DAS202609115300001</t>
  </si>
  <si>
    <t>Finance Support for March 01-31, 2026</t>
  </si>
  <si>
    <t>DAS Support for March 01-31, 2026</t>
  </si>
  <si>
    <t>Core Construction Services</t>
  </si>
  <si>
    <t>Core Construction</t>
  </si>
  <si>
    <t>Vendor:  00003201207</t>
  </si>
  <si>
    <t>PO 33526098913</t>
  </si>
  <si>
    <t>PRC 3352602PC9913</t>
  </si>
  <si>
    <t>Inv. 7850.53945500</t>
  </si>
  <si>
    <t>PRC 3352632PC3905</t>
  </si>
  <si>
    <t>Inv. 101537.002-PC03</t>
  </si>
  <si>
    <t>PRC 3352606PA9909</t>
  </si>
  <si>
    <t>Inv. 9506.00-01</t>
  </si>
  <si>
    <t>PRC 3352603PB4918</t>
  </si>
  <si>
    <t>Inv. 9511.00-02</t>
  </si>
  <si>
    <t>PRC 3352600PB7911</t>
  </si>
  <si>
    <t>Inv. 25-139.02</t>
  </si>
  <si>
    <t>PRC 3352602PC3912</t>
  </si>
  <si>
    <t>PRC 3352602PC3915</t>
  </si>
  <si>
    <t>Inv. 101537.004PC-03</t>
  </si>
  <si>
    <t>PRC 3352602PC3914</t>
  </si>
  <si>
    <t>Inv. 101537.005PC-03</t>
  </si>
  <si>
    <t>DO 33526103911</t>
  </si>
  <si>
    <t>Geotechnical Soil- 6@$70</t>
  </si>
  <si>
    <t>Line 3</t>
  </si>
  <si>
    <t>Line 2</t>
  </si>
  <si>
    <t xml:space="preserve">Line 2 </t>
  </si>
  <si>
    <t>Line 5</t>
  </si>
  <si>
    <t>Project Mngr 34@$130</t>
  </si>
  <si>
    <t>Line 6</t>
  </si>
  <si>
    <t>Testing Tech 23@$70</t>
  </si>
  <si>
    <t>Line 7</t>
  </si>
  <si>
    <t>Travel 150@.5</t>
  </si>
  <si>
    <t>Line 8`</t>
  </si>
  <si>
    <t>Specialized Vehicles 1@520</t>
  </si>
  <si>
    <t>PRC 3352606PA9901</t>
  </si>
  <si>
    <t>Inv. 101368.015-CA01</t>
  </si>
  <si>
    <t>CO#1(No Cost CO)</t>
  </si>
  <si>
    <t>PRC 3352634PD4905</t>
  </si>
  <si>
    <t>Inv. 9513.00 PC 04</t>
  </si>
  <si>
    <t>PRC 3352603PB3911</t>
  </si>
  <si>
    <t>Inv. 23-022 CA 02</t>
  </si>
  <si>
    <t>PRC 3352605PA5913</t>
  </si>
  <si>
    <t>Inv. 9440.01 PC 01</t>
  </si>
  <si>
    <t>PRC 3352606PB2916</t>
  </si>
  <si>
    <t>Inv. 67135</t>
  </si>
  <si>
    <t>PRC 3352602PC0905</t>
  </si>
  <si>
    <t>Inv. 2146813</t>
  </si>
  <si>
    <t>PRC 3352628PD8901</t>
  </si>
  <si>
    <t>Inv. 35229</t>
  </si>
  <si>
    <t>PRC 3352630PE8900</t>
  </si>
  <si>
    <t>Inv. 35231</t>
  </si>
  <si>
    <t>Midwest Fence &amp; Gate</t>
  </si>
  <si>
    <t>Vendor:  00002122529</t>
  </si>
  <si>
    <t>PO 33526106905</t>
  </si>
  <si>
    <t>PRC 3352628PB9900</t>
  </si>
  <si>
    <t>Inv. 35232</t>
  </si>
  <si>
    <t>PRC 3352603PB0910</t>
  </si>
  <si>
    <t>Inv. 35230</t>
  </si>
  <si>
    <t>PRC 3352609PA0908</t>
  </si>
  <si>
    <t>PRC 3352634PD2905</t>
  </si>
  <si>
    <t>Inv. 9499.00-04</t>
  </si>
  <si>
    <t>PRC 3352625PG9901</t>
  </si>
  <si>
    <t>Inv. 25-021 PC 07</t>
  </si>
  <si>
    <t>PRC 3352605PA4910</t>
  </si>
  <si>
    <t>Inv. 9521.00-01</t>
  </si>
  <si>
    <t>Inv. B78792</t>
  </si>
  <si>
    <t>Mt Pleasant Electric Contractors V#(00002108917)</t>
  </si>
  <si>
    <t>GAX 33526110919</t>
  </si>
  <si>
    <t>PRC 3352602PD0906</t>
  </si>
  <si>
    <t>Inv. 9505.00-04</t>
  </si>
  <si>
    <t>PRC 3352630PF1907</t>
  </si>
  <si>
    <t>Inv. 9498.00 PC 06A</t>
  </si>
  <si>
    <t>PO 33526113910</t>
  </si>
  <si>
    <t>Shipping Code:  548</t>
  </si>
  <si>
    <t>PRC 3352632PC9902</t>
  </si>
  <si>
    <t>Inv. 101537.001-PC03</t>
  </si>
  <si>
    <t>PRC 3352600PC7909</t>
  </si>
  <si>
    <t>Inv. 67134</t>
  </si>
  <si>
    <t>PRC 3352600PB8908</t>
  </si>
  <si>
    <t>Inv. 2250021640-2</t>
  </si>
  <si>
    <t>CO #2</t>
  </si>
  <si>
    <t>Story Construction (2)</t>
  </si>
  <si>
    <t>PO 33526120910</t>
  </si>
  <si>
    <t>PRC 33526120911</t>
  </si>
  <si>
    <t>Inv. INV057582</t>
  </si>
  <si>
    <t xml:space="preserve">CNST </t>
  </si>
  <si>
    <t>Inv. 959633</t>
  </si>
  <si>
    <t>GPRS V#(00003035582)</t>
  </si>
  <si>
    <t>GAX 33526120912</t>
  </si>
  <si>
    <t>Reimbursable</t>
  </si>
  <si>
    <t>Soil &amp; Land Mgmt. 2@$130</t>
  </si>
  <si>
    <t>Soil &amp; Land Mgmt. 14@415</t>
  </si>
  <si>
    <t>Soil &amp; Land Mgmt. 2@$150</t>
  </si>
  <si>
    <t>Soil Atterberg limits Line 2</t>
  </si>
  <si>
    <t>Bidding &amp; Negotiation</t>
  </si>
  <si>
    <t>PRC 3352600PC7911</t>
  </si>
  <si>
    <t>Inv 9513.00-03</t>
  </si>
  <si>
    <t>Inv. INVCL2781</t>
  </si>
  <si>
    <t>PRC 33526126914</t>
  </si>
  <si>
    <t>Inv. 30866</t>
  </si>
  <si>
    <t>GAX 33526126917</t>
  </si>
  <si>
    <t>Academy Roofing</t>
  </si>
  <si>
    <t>Vendor:  00003010234</t>
  </si>
  <si>
    <t>PO 33526126918</t>
  </si>
  <si>
    <t>Boyd Jones(2)</t>
  </si>
  <si>
    <t>PO 33526126921</t>
  </si>
  <si>
    <t>RFP1821335228-BoydJones11012021 For Boyd Jones</t>
  </si>
  <si>
    <t>PO 33526131914</t>
  </si>
  <si>
    <t>Vendor used Inv. 9499.00-0X in previous tabe, pleaes use Inv. 9499.00-001 in this tab.</t>
  </si>
  <si>
    <t>PRC 3352605PB4910</t>
  </si>
  <si>
    <t>Inv. 9521.00-02</t>
  </si>
  <si>
    <t>Inv. B78832</t>
  </si>
  <si>
    <t>GAX 33526131915</t>
  </si>
  <si>
    <t>PRC 3352612PA6921</t>
  </si>
  <si>
    <t>Inv. 9512.00-001</t>
  </si>
  <si>
    <t>Inv. 9512.00-0X was used in a previous tab by this vendor, please use 9512.00-00X</t>
  </si>
  <si>
    <t>PRC 3352625PG9909</t>
  </si>
  <si>
    <t>Inv. 25832000-7</t>
  </si>
  <si>
    <t>PRC 3352603PC3911</t>
  </si>
  <si>
    <t>Inv. 23-022 CA #03</t>
  </si>
  <si>
    <t>PRC 3352630PG1907</t>
  </si>
  <si>
    <t>Inv. 9498.00 PC #07</t>
  </si>
  <si>
    <t>PRC 3352605PB5913</t>
  </si>
  <si>
    <t>Inv. 9440.01 PC #02</t>
  </si>
  <si>
    <t>IET DAS202610115300001</t>
  </si>
  <si>
    <t>Finance Support for April 01-30, 2026</t>
  </si>
  <si>
    <t>DAS Support for April 01-30, 2026</t>
  </si>
  <si>
    <t>PRC 3352606PA2911</t>
  </si>
  <si>
    <t>Inv. 26817000-1</t>
  </si>
  <si>
    <t>RFP952900-01</t>
  </si>
  <si>
    <t>PO 33526134910</t>
  </si>
  <si>
    <t>PRC 3352632PD9902</t>
  </si>
  <si>
    <t>Inv. 101537.001-PC04</t>
  </si>
  <si>
    <t>PRC 3352632PD3905</t>
  </si>
  <si>
    <t>Inv. 101537.002-PC04</t>
  </si>
  <si>
    <t>PRC 3352606PB9909</t>
  </si>
  <si>
    <t>Inv. 9506.00-02</t>
  </si>
  <si>
    <t>PRC 3352603PC4918</t>
  </si>
  <si>
    <t>Inv. 9511.00-03</t>
  </si>
  <si>
    <t>PRC 3352600PD7909</t>
  </si>
  <si>
    <t>Inv. 67284</t>
  </si>
  <si>
    <t>PRC 3352608PA9910</t>
  </si>
  <si>
    <t>Inv. 9499.00-001</t>
  </si>
  <si>
    <t>PRC 3352609PA3915</t>
  </si>
  <si>
    <t>Inv. 9503.00-01</t>
  </si>
  <si>
    <t>CDE 33526140900</t>
  </si>
  <si>
    <t>Moving April Finance Support to MM25</t>
  </si>
  <si>
    <t>Moving April DAS Support to MM25</t>
  </si>
  <si>
    <t>DCI Group(2)</t>
  </si>
  <si>
    <t>CMBA Architects</t>
  </si>
  <si>
    <t>RFP952700-01</t>
  </si>
  <si>
    <t>PO 33526140914</t>
  </si>
  <si>
    <t>Service Roofing</t>
  </si>
  <si>
    <t>Vendor:  00003226751</t>
  </si>
  <si>
    <t>RFB949700-01</t>
  </si>
  <si>
    <t>PO 33526140915</t>
  </si>
  <si>
    <t>CO #1 adjustments in the lines</t>
  </si>
  <si>
    <t>Line 3 - Standard Penetration 4.5@70</t>
  </si>
  <si>
    <t>Line 5 - Labor Project Mngr 18.25@130</t>
  </si>
  <si>
    <t>Line 6 - Labor Testing 19.75@70</t>
  </si>
  <si>
    <t>Line 7 - 81 Miles @.05</t>
  </si>
  <si>
    <t>Line 2 - Atterberg Limits 0@130</t>
  </si>
  <si>
    <t>PRC 3352602PC3913</t>
  </si>
  <si>
    <t>Inv. 9512.00-03</t>
  </si>
  <si>
    <t>PRC 3352602PD0905</t>
  </si>
  <si>
    <t>Inv. 2156238</t>
  </si>
  <si>
    <t>PRC 3352606PC2916</t>
  </si>
  <si>
    <t>Inv. 67285</t>
  </si>
  <si>
    <t>PRC 3352634PE4905</t>
  </si>
  <si>
    <t>Inv. 9513.00 PC #05</t>
  </si>
  <si>
    <t>PRC 3352602PD9913</t>
  </si>
  <si>
    <t>Inv. 7850.54945500</t>
  </si>
  <si>
    <t>PRC 3352602PD3914</t>
  </si>
  <si>
    <t>Inv. 101537.005PC-04</t>
  </si>
  <si>
    <t>PRC 3352611PA3910</t>
  </si>
  <si>
    <t>Inv. 9529.00 PC #01</t>
  </si>
  <si>
    <t>Inv. 9527.00 PC #01</t>
  </si>
  <si>
    <t>PO 33526113911</t>
  </si>
  <si>
    <t>PRC 3352611PA3911</t>
  </si>
  <si>
    <t>PRC 3352602PD3915</t>
  </si>
  <si>
    <t>Inv. 101537.004PC-04</t>
  </si>
  <si>
    <t>PRC 3352628PE8901</t>
  </si>
  <si>
    <t>Inv. 35260 FINAL</t>
  </si>
  <si>
    <t>PO 33526142915</t>
  </si>
  <si>
    <t>PRC 3352602PD3912</t>
  </si>
  <si>
    <t>Story Construction(2)</t>
  </si>
  <si>
    <t>Fees</t>
  </si>
  <si>
    <t>PO 33526146908</t>
  </si>
  <si>
    <t>PRC 33526146909</t>
  </si>
  <si>
    <t>PRC 3352603PC0910</t>
  </si>
  <si>
    <t>Inv. 35261</t>
  </si>
  <si>
    <t>Inv. 2710053</t>
  </si>
  <si>
    <t>PRC 33526146910</t>
  </si>
  <si>
    <t>Inv. 2710054</t>
  </si>
  <si>
    <t>PRC 3352628PC9900</t>
  </si>
  <si>
    <t>Inv. 35263</t>
  </si>
  <si>
    <t>PRC 3352603PB4919</t>
  </si>
  <si>
    <t>Inv. 14051</t>
  </si>
  <si>
    <t>PRC 3352606PB9901</t>
  </si>
  <si>
    <t>Inv. 101368.015-CA02</t>
  </si>
  <si>
    <t>PRC 3352635PD7904</t>
  </si>
  <si>
    <t>Inv. 65071</t>
  </si>
  <si>
    <t>PRC 3352607PA8911</t>
  </si>
  <si>
    <t>Inv. 35265</t>
  </si>
  <si>
    <t>Inv. INVCL2784</t>
  </si>
  <si>
    <t>PRC 33526146917</t>
  </si>
  <si>
    <t>PRC 3352602PD3913</t>
  </si>
  <si>
    <t>Inv. 9512.00-04</t>
  </si>
  <si>
    <t>PRC 3352609PA2911</t>
  </si>
  <si>
    <t>Inv. 35267</t>
  </si>
  <si>
    <t>10Fold Architecture</t>
  </si>
  <si>
    <t>95300-01</t>
  </si>
  <si>
    <t>PO 33526148908</t>
  </si>
  <si>
    <t>PRC 3352606PA2913</t>
  </si>
  <si>
    <t>Inv. TQ61650</t>
  </si>
  <si>
    <t>PRC 3352604PA9912</t>
  </si>
  <si>
    <t>Inv. TQ60135</t>
  </si>
  <si>
    <t>White Castle Roofing &amp; Contracting</t>
  </si>
  <si>
    <t>Vendor:  00003233003</t>
  </si>
  <si>
    <t>RFB950800-01</t>
  </si>
  <si>
    <t>PO 33526153910</t>
  </si>
  <si>
    <t>PRC 3352607PA5914</t>
  </si>
  <si>
    <t>Inv. 83444</t>
  </si>
  <si>
    <t>PRC 3352625PH9909</t>
  </si>
  <si>
    <t>Inv. 25832000-8</t>
  </si>
  <si>
    <t>PRC 3352630PF8900</t>
  </si>
  <si>
    <t>Inv. 35262FINAL</t>
  </si>
  <si>
    <t>PRC 3352606PB2911</t>
  </si>
  <si>
    <t>Inv. 26817000-2</t>
  </si>
  <si>
    <t>Project Manager -  Brandon A.</t>
  </si>
  <si>
    <t>Project Manager -Brandon A.</t>
  </si>
  <si>
    <t>Geoff W</t>
  </si>
  <si>
    <t>Project Manager - Geoff W</t>
  </si>
  <si>
    <t>PRC 3352605PC5913</t>
  </si>
  <si>
    <t>Inv. 9440.01 PC #03</t>
  </si>
  <si>
    <t>PRC 3352633PC7908</t>
  </si>
  <si>
    <t>Inv. 24853006-3</t>
  </si>
  <si>
    <t>PRC 3352609PB3915</t>
  </si>
  <si>
    <t>Inv. 9503.00-02</t>
  </si>
  <si>
    <t>IET DAS202611115300001</t>
  </si>
  <si>
    <t>Finance Support for May 01-31, 2026</t>
  </si>
  <si>
    <t>DAS Support for May 01-31, 2026</t>
  </si>
  <si>
    <t>CO #3</t>
  </si>
  <si>
    <t>PRC 3352603PC4919</t>
  </si>
  <si>
    <t>Inv. 14164</t>
  </si>
  <si>
    <t>PRC 3352632PE9902</t>
  </si>
  <si>
    <t>Inv. 101537.001-PC05</t>
  </si>
  <si>
    <t>PO 33526160907</t>
  </si>
  <si>
    <t>Labor</t>
  </si>
  <si>
    <t>Material</t>
  </si>
  <si>
    <t>Equip,emt</t>
  </si>
  <si>
    <t>PRC 3352630PH1907</t>
  </si>
  <si>
    <t>Inv. 9498.00 PC #08</t>
  </si>
  <si>
    <t>PO 33526160908</t>
  </si>
  <si>
    <t>PCR 3352609PA8913</t>
  </si>
  <si>
    <t>951900-01</t>
  </si>
  <si>
    <t>PO 33526166905</t>
  </si>
  <si>
    <t>PRC 3352600PE7909</t>
  </si>
  <si>
    <t>Inv. 67485</t>
  </si>
  <si>
    <t>PRC 3352628PB7905</t>
  </si>
  <si>
    <t>Inv. 9514.00-02 - Final</t>
  </si>
  <si>
    <t>Jones Contracting Corp</t>
  </si>
  <si>
    <t>Vendor:  00003084562</t>
  </si>
  <si>
    <t>RFB951100-01</t>
  </si>
  <si>
    <t>PO 33526166907</t>
  </si>
  <si>
    <t>PRC 3352632PE3905</t>
  </si>
  <si>
    <t>Inv. 101537.002-PC05</t>
  </si>
  <si>
    <t>PRC 3352603PD3911</t>
  </si>
  <si>
    <t>PRC 3352606PC9901</t>
  </si>
  <si>
    <t>Inv. 101368.015-CA03</t>
  </si>
  <si>
    <t>Inv. 25-022 CA #04</t>
  </si>
  <si>
    <t>Inv. 2716054</t>
  </si>
  <si>
    <t>PRC 33526166911</t>
  </si>
  <si>
    <t>Inv. INVCL2877</t>
  </si>
  <si>
    <t>PRC 3352613PA4910</t>
  </si>
  <si>
    <t>Inv. 67484</t>
  </si>
  <si>
    <t>PO 33526322901</t>
  </si>
  <si>
    <t>PRC 3352632PA2901</t>
  </si>
  <si>
    <t>Inv. 101537.003-PC01</t>
  </si>
  <si>
    <t>PRC 3352632PB2901</t>
  </si>
  <si>
    <t>Inv. 101537.003-PC02</t>
  </si>
  <si>
    <t>PRC 3352632PC2901</t>
  </si>
  <si>
    <t>Inv. 101537.003-PC03</t>
  </si>
  <si>
    <t>PRC 3352632PD2901</t>
  </si>
  <si>
    <t>Inv. 101537.003-PC04</t>
  </si>
  <si>
    <t>PRC 3352632PE2901</t>
  </si>
  <si>
    <t>Inv. 101537.003-PC05</t>
  </si>
  <si>
    <t>J. Pettiecord, Inc</t>
  </si>
  <si>
    <t>Vendor:  00002120072</t>
  </si>
  <si>
    <t>PO 33526167910</t>
  </si>
  <si>
    <t>Remediation</t>
  </si>
  <si>
    <t>Permit Application Prep</t>
  </si>
  <si>
    <t>Landfill Disposal</t>
  </si>
  <si>
    <t>PRC 3352602PE3915</t>
  </si>
  <si>
    <t>Inv. 101537.004PC-05</t>
  </si>
  <si>
    <t>PRC 3352634PF4905</t>
  </si>
  <si>
    <t>Inv. 9513.00 PC #06</t>
  </si>
  <si>
    <t>PRC 3352602PE9913</t>
  </si>
  <si>
    <t>Inv. 7850.55945500</t>
  </si>
  <si>
    <t>PRC 3352602PE3914</t>
  </si>
  <si>
    <t>Inv. 101537.005PC-05</t>
  </si>
  <si>
    <t>PRC 3352613PA1914</t>
  </si>
  <si>
    <t>Vendor used Inv 9505.00-01 on another tab, please use Inv. 9505.00-00x</t>
  </si>
  <si>
    <t>Inv. 9505.00-001</t>
  </si>
  <si>
    <t>PRC 3352612PA0910</t>
  </si>
  <si>
    <t>Inv. 35297</t>
  </si>
  <si>
    <t>PRC 3352609PB2911</t>
  </si>
  <si>
    <t>Inv. 35303</t>
  </si>
  <si>
    <t>PRC 3352607PB8911</t>
  </si>
  <si>
    <t>Inv. 35301</t>
  </si>
  <si>
    <t>SYSKool</t>
  </si>
  <si>
    <t xml:space="preserve">SysKool-IMCC Cooling Tower </t>
  </si>
  <si>
    <t>PO 33526168913</t>
  </si>
  <si>
    <t>Vendor: 00002097390</t>
  </si>
  <si>
    <t>MA26319</t>
  </si>
  <si>
    <t>Shipping Code: 175</t>
  </si>
  <si>
    <t>PRC 3352611PB3911</t>
  </si>
  <si>
    <t>Inv. 9527.00 PC #02</t>
  </si>
  <si>
    <t>Closed 06/18/26</t>
  </si>
  <si>
    <t>Inv. INVCL2878</t>
  </si>
  <si>
    <t>PRC 33526169913</t>
  </si>
  <si>
    <t>PRC 3352635PE7904</t>
  </si>
  <si>
    <t>Inv. 23320</t>
  </si>
  <si>
    <t>Inv. 9506.00-03</t>
  </si>
  <si>
    <t>PRC 3352606PC9909</t>
  </si>
  <si>
    <t>PRC 3352625PH9901</t>
  </si>
  <si>
    <t>Inv. 25-021 PC #08 FINAL</t>
  </si>
  <si>
    <t>GAX 33526169915</t>
  </si>
  <si>
    <t>Inv. 1001437</t>
  </si>
  <si>
    <t>PRC 3352611PB3910</t>
  </si>
  <si>
    <t>Inv. 9529.00 PC #02</t>
  </si>
  <si>
    <t>Inv. INVCL2879</t>
  </si>
  <si>
    <t>PRC 33526169918</t>
  </si>
  <si>
    <t>PRC 3352600PA2900</t>
  </si>
  <si>
    <t>Inv. 49368</t>
  </si>
  <si>
    <t>PRC 3352603PD4918</t>
  </si>
  <si>
    <t>Inv. 9511.00-04</t>
  </si>
  <si>
    <t>PRC 3352614PA0914</t>
  </si>
  <si>
    <t>Inv. 67483</t>
  </si>
  <si>
    <t>PRC 3352606PD2916</t>
  </si>
  <si>
    <t>Inv. 67486</t>
  </si>
  <si>
    <t>PRC 3352603PD0910</t>
  </si>
  <si>
    <t>Inv. 35298</t>
  </si>
  <si>
    <t>PRC 3352628PD9900</t>
  </si>
  <si>
    <t>Inv. 35299</t>
  </si>
  <si>
    <t>Inv. TQ27483</t>
  </si>
  <si>
    <t>Terracon Consultants V#(00002116512)</t>
  </si>
  <si>
    <t>GAX 33526173915</t>
  </si>
  <si>
    <t>PO 33526173917</t>
  </si>
  <si>
    <t>PRC 3352607PB5914</t>
  </si>
  <si>
    <t>Inv. 84097</t>
  </si>
  <si>
    <t>Inv. INVCL2903</t>
  </si>
  <si>
    <t>PRC 33526174912</t>
  </si>
  <si>
    <t>Inv. INVCL2902</t>
  </si>
  <si>
    <t>PRC 33526174913</t>
  </si>
  <si>
    <t>PRC 33526166910</t>
  </si>
  <si>
    <t>PO 33526174919</t>
  </si>
  <si>
    <t>Inv. INVCL2898</t>
  </si>
  <si>
    <t>06/23/26</t>
  </si>
  <si>
    <t>PRC 33526174920</t>
  </si>
  <si>
    <t>PCR 3352609PB8913</t>
  </si>
  <si>
    <t>Inv. 9499.00-002</t>
  </si>
  <si>
    <t>Advanced Environmental</t>
  </si>
  <si>
    <t>Vendor:  00002125877</t>
  </si>
  <si>
    <t>MA21063C</t>
  </si>
  <si>
    <t>PO 33526176910</t>
  </si>
  <si>
    <t>Asbestos Abatement Services Line 11</t>
  </si>
  <si>
    <t>Abatement &amp; Remediation Line 7</t>
  </si>
  <si>
    <t>Asbestos Abatement Services Line 1</t>
  </si>
  <si>
    <t>Travel Expenses Line 12</t>
  </si>
  <si>
    <t>RFP952100-01</t>
  </si>
  <si>
    <t>PO 33526176918</t>
  </si>
  <si>
    <t>CO #1(No Cost CO)</t>
  </si>
  <si>
    <t>McGough Construction(2)</t>
  </si>
  <si>
    <t>PO 33526176921</t>
  </si>
  <si>
    <t>PO 33526176923</t>
  </si>
  <si>
    <t>PO 33526177912</t>
  </si>
  <si>
    <t>PRC 3352609PA2909</t>
  </si>
  <si>
    <t>Inv. 2604-01</t>
  </si>
  <si>
    <t>PRC 3352612PB6921</t>
  </si>
  <si>
    <t>Inv. 9512.00-002</t>
  </si>
  <si>
    <t>PRC 3352600PC8908</t>
  </si>
  <si>
    <t>Inv. 2250021640-3</t>
  </si>
  <si>
    <t>PRC 3352629PC6902</t>
  </si>
  <si>
    <t>Inv. 13910</t>
  </si>
  <si>
    <t>Winger Contracting Co</t>
  </si>
  <si>
    <t>RFB950100-01</t>
  </si>
  <si>
    <t>PO 33526180912</t>
  </si>
  <si>
    <t>Vendor:  00003116692</t>
  </si>
  <si>
    <t>Winger Contracting</t>
  </si>
  <si>
    <t>PRC 3352605PC4910</t>
  </si>
  <si>
    <t>Inv. 9521.00-03</t>
  </si>
  <si>
    <t>PRC 3352616PA6907</t>
  </si>
  <si>
    <t>Inv. 19-1894</t>
  </si>
  <si>
    <t>Inv. 12958</t>
  </si>
  <si>
    <t>PRC 33526181912</t>
  </si>
  <si>
    <t>Inv. 2719799</t>
  </si>
  <si>
    <t>PRC 33526181914</t>
  </si>
  <si>
    <t>Inv. INVCL2931</t>
  </si>
  <si>
    <t>PRC 33526181915</t>
  </si>
  <si>
    <t>Timekey Enterprise</t>
  </si>
  <si>
    <t>Vendor:  00003220172</t>
  </si>
  <si>
    <t>RFB949600-01</t>
  </si>
  <si>
    <t>PO 33526181916</t>
  </si>
  <si>
    <t>PRC 3352614PA2915</t>
  </si>
  <si>
    <t>PRC 3352606PE2916</t>
  </si>
  <si>
    <t>Inv. 67577</t>
  </si>
  <si>
    <t>Inv. 2720306</t>
  </si>
  <si>
    <t>PRC 33526187907</t>
  </si>
  <si>
    <t>Inv. 899580</t>
  </si>
  <si>
    <t>PRC 33526187908</t>
  </si>
  <si>
    <t>PRC 3352602PF3915</t>
  </si>
  <si>
    <t>Inv. 101537.004PC-06 Final</t>
  </si>
  <si>
    <t>PRC 3352602PF3914</t>
  </si>
  <si>
    <t>Inv. 101537.005PC-06 Final</t>
  </si>
  <si>
    <t>PRC 3352613PB1914</t>
  </si>
  <si>
    <t>Inv. 9505.00-002</t>
  </si>
  <si>
    <t>PRC 3352614PB0914</t>
  </si>
  <si>
    <t>Inv. 67578</t>
  </si>
  <si>
    <t>PRC 3352613PB4910</t>
  </si>
  <si>
    <t>Inv. 67580</t>
  </si>
  <si>
    <t>PRC 3352600PF7909</t>
  </si>
  <si>
    <t>Inv. 67576</t>
  </si>
  <si>
    <t>PRC 3352602PF9913</t>
  </si>
  <si>
    <t>Inv. 7850.56945500</t>
  </si>
  <si>
    <t>PRC 3352616PA6905</t>
  </si>
  <si>
    <t>Inv. 9519.00-01</t>
  </si>
  <si>
    <t>Inv. 25-021 CA #01</t>
  </si>
  <si>
    <t>PRC 3352633PD7908</t>
  </si>
  <si>
    <t>Inv. 24853006-4</t>
  </si>
  <si>
    <t>PRC 3352612PC6921</t>
  </si>
  <si>
    <t>Inv. 9512.00-003-FINAL</t>
  </si>
  <si>
    <t>PRC 3352632PB8905</t>
  </si>
  <si>
    <t>Inv. 2516-02</t>
  </si>
  <si>
    <t>PRC 3352608PA3910</t>
  </si>
  <si>
    <t>Inv. 26816000-1</t>
  </si>
  <si>
    <t>PRC 3352608PB9910</t>
  </si>
  <si>
    <t>PRC 3352609PB2909</t>
  </si>
  <si>
    <t>Inv. 2604-02</t>
  </si>
  <si>
    <t>PRC 3352617PA3917</t>
  </si>
  <si>
    <t>Inv. 9491.00-01</t>
  </si>
  <si>
    <t>IET DAS202612115300001</t>
  </si>
  <si>
    <t>Finance Support for June 01-30, 2026</t>
  </si>
  <si>
    <t>DAS Support for June 01-30, 2026</t>
  </si>
  <si>
    <t>PRC 3352614PA8908</t>
  </si>
  <si>
    <t>Inv. 9530.00-01</t>
  </si>
  <si>
    <t>PRC 3352625PI9909</t>
  </si>
  <si>
    <t>Inv. 25832000-9</t>
  </si>
  <si>
    <t>PO 33526190910</t>
  </si>
  <si>
    <t>PRC 3352605PD4910</t>
  </si>
  <si>
    <t>Inv. 9521.00-04 - Final</t>
  </si>
  <si>
    <t>PRC 3352603PE3911</t>
  </si>
  <si>
    <t>Inv. 25-022 CA #05</t>
  </si>
  <si>
    <t>PRC 3352611PC3911</t>
  </si>
  <si>
    <t>Inv. 9527.00 PC #03</t>
  </si>
  <si>
    <t>PRC 3352611PC3910</t>
  </si>
  <si>
    <t>Inv. 9529.00 PC #03</t>
  </si>
  <si>
    <t>Closing PO Per PM</t>
  </si>
  <si>
    <t>PRC 3352634PG4905</t>
  </si>
  <si>
    <t>Inv. 9513.00 PC 07 FINAL</t>
  </si>
  <si>
    <t>PRC 3352632PF9902</t>
  </si>
  <si>
    <t>Inv. 101537.001-PC06 FINAL</t>
  </si>
  <si>
    <t>PRC 3352606PD9909</t>
  </si>
  <si>
    <t>Inv. 9506.00-04</t>
  </si>
  <si>
    <t>PRC 3352632PF3905</t>
  </si>
  <si>
    <t>Inv. 101537.002-PC06</t>
  </si>
  <si>
    <t>PRC 3352617PA4919</t>
  </si>
  <si>
    <t>Inv. 101537.013PC-01</t>
  </si>
  <si>
    <t>PRC 3352632PF2901</t>
  </si>
  <si>
    <t>Inv. 101537.003-PC06 PC FINAL</t>
  </si>
  <si>
    <t>PRC 3352603PE4918</t>
  </si>
  <si>
    <t>Inv. 9511.00-05</t>
  </si>
  <si>
    <t>Inv. 2262561</t>
  </si>
  <si>
    <t>GAX 33526194903</t>
  </si>
  <si>
    <t>A Plus Lawn &amp; Landscape V#(00003096472)</t>
  </si>
  <si>
    <t>PRC 3352602PE3912</t>
  </si>
  <si>
    <t>Inv. 9499.00-05 - Final</t>
  </si>
  <si>
    <t>PRC 3352630PI1907</t>
  </si>
  <si>
    <t>Inv. 9498.00 PC 09</t>
  </si>
  <si>
    <t>PRC 3352616PA0908</t>
  </si>
  <si>
    <t>Inv. 101537.003-CA01</t>
  </si>
  <si>
    <t>PRC 3352608PC9910</t>
  </si>
  <si>
    <t>Inv. 9499.00-003</t>
  </si>
  <si>
    <t>PRC 3352606PD9901</t>
  </si>
  <si>
    <t>Inv. 101368.015-CA04</t>
  </si>
  <si>
    <t>PRC 3352635PF7904</t>
  </si>
  <si>
    <t>Inv. 23442</t>
  </si>
  <si>
    <t>Inv. 06267019</t>
  </si>
  <si>
    <t>GAX 33526194905</t>
  </si>
  <si>
    <t>PRC 3352602PE0905</t>
  </si>
  <si>
    <t>Inv. 2175269</t>
  </si>
  <si>
    <t>PRC 3352616PA7910</t>
  </si>
  <si>
    <t>Inv. 77080</t>
  </si>
  <si>
    <t>PRC 3352606PC2911</t>
  </si>
  <si>
    <t>Inv. 26817000-3</t>
  </si>
  <si>
    <t>PRC 3352605PD5913</t>
  </si>
  <si>
    <t>Inv. 9440.01 PC #04</t>
  </si>
  <si>
    <t>PRC 3352614PB2915</t>
  </si>
  <si>
    <t>Inv. 25-021 CA 02</t>
  </si>
  <si>
    <t>PCR 3352609PC8913</t>
  </si>
  <si>
    <t>PRC 3352602PE3913</t>
  </si>
  <si>
    <t>Inv. 9512.00-05 - Final</t>
  </si>
  <si>
    <t>PRC 3352600PA9905</t>
  </si>
  <si>
    <t>Inv. 90686471</t>
  </si>
  <si>
    <t>Inv. INVCL2981</t>
  </si>
  <si>
    <t>PRC 3352603PE0910</t>
  </si>
  <si>
    <t>Inv. 35341</t>
  </si>
  <si>
    <t>PRC 3352628PE9900</t>
  </si>
  <si>
    <t>Inv. 35343</t>
  </si>
  <si>
    <t>PRC 3352612PB0910</t>
  </si>
  <si>
    <t>Inv. 35340</t>
  </si>
  <si>
    <t>PRC 3352609PC2911</t>
  </si>
  <si>
    <t>Inv. 35347</t>
  </si>
  <si>
    <t>PRC 3352617PA7912</t>
  </si>
  <si>
    <t>Inv. 101537.001-CA01</t>
  </si>
  <si>
    <t>PRC 3352607PC8911</t>
  </si>
  <si>
    <t>Inv. 35345</t>
  </si>
  <si>
    <t>PRC 3352603PF3911</t>
  </si>
  <si>
    <t>Inv. 25-022 CA 06</t>
  </si>
  <si>
    <t>Closed 07/15/26</t>
  </si>
  <si>
    <t>IET DAS202613115300001</t>
  </si>
  <si>
    <t>Finance Support for June 01-30, 2026 (Period 13)</t>
  </si>
  <si>
    <t>PRC 3352607PC5914</t>
  </si>
  <si>
    <t>Inv. 84856</t>
  </si>
  <si>
    <t>PRC 3352616PA0907</t>
  </si>
  <si>
    <t>Inv. 35354</t>
  </si>
  <si>
    <t>PRC 3352614PA6908</t>
  </si>
  <si>
    <t>Inv. 35342</t>
  </si>
  <si>
    <t>PRC 3352612PA6918</t>
  </si>
  <si>
    <t>Inv. 9483.00-#1</t>
  </si>
  <si>
    <t>Closing PO Per PM email</t>
  </si>
  <si>
    <t>Inv. INVCL2991</t>
  </si>
  <si>
    <t>PRC 33526201903</t>
  </si>
  <si>
    <t>Inv. INVCL2989</t>
  </si>
  <si>
    <t>PRC 33526202900</t>
  </si>
  <si>
    <t>Close Date:</t>
  </si>
  <si>
    <t>PRC 3352615PA3910</t>
  </si>
  <si>
    <t>Inv. 9508.00-01</t>
  </si>
  <si>
    <t>PRC 3352636PD3904</t>
  </si>
  <si>
    <t>Inv. 9484.00-004</t>
  </si>
  <si>
    <t>FY26</t>
  </si>
  <si>
    <t>Roll to FY27</t>
  </si>
  <si>
    <t>PO 33527055913</t>
  </si>
  <si>
    <t>PO 33527062911</t>
  </si>
  <si>
    <t>PO 33527328905</t>
  </si>
  <si>
    <t>PO 33527126918</t>
  </si>
  <si>
    <t>PO 33527142915</t>
  </si>
  <si>
    <t>PO 33527033911</t>
  </si>
  <si>
    <t>PO 33527009905</t>
  </si>
  <si>
    <t>PO 33527363904</t>
  </si>
  <si>
    <t>PO 33527259909</t>
  </si>
  <si>
    <t>PO 33527173917</t>
  </si>
  <si>
    <t>PO 33527296902</t>
  </si>
  <si>
    <t>PO 33527062916</t>
  </si>
  <si>
    <t>PO 33527176910</t>
  </si>
  <si>
    <t>PO 33527140915</t>
  </si>
  <si>
    <t>PO 33527120910</t>
  </si>
  <si>
    <t>PO 33527020905</t>
  </si>
  <si>
    <t>PO 33527181916</t>
  </si>
  <si>
    <t>PO 33527176923</t>
  </si>
  <si>
    <t>PO 33527301907</t>
  </si>
  <si>
    <t>PO 33527337908</t>
  </si>
  <si>
    <t>PO 33527089910</t>
  </si>
  <si>
    <t>PO 33527034919</t>
  </si>
  <si>
    <t>PO 33527177912</t>
  </si>
  <si>
    <t>PO 33527176921</t>
  </si>
  <si>
    <t>PO 33527180912</t>
  </si>
  <si>
    <t>PO 33527357904</t>
  </si>
  <si>
    <t>PO 33527069901</t>
  </si>
  <si>
    <t>PO 33527075914</t>
  </si>
  <si>
    <t>PO 33527289900</t>
  </si>
  <si>
    <t>PO 33527030910</t>
  </si>
  <si>
    <t>PO 33527083910</t>
  </si>
  <si>
    <t>PO 33527131914</t>
  </si>
  <si>
    <t>PO 33527106905</t>
  </si>
  <si>
    <t>PO 33527008908</t>
  </si>
  <si>
    <t>PO 33527069909</t>
  </si>
  <si>
    <t>PO 33527323905</t>
  </si>
  <si>
    <t>PO 33527146908</t>
  </si>
  <si>
    <t>PO 33527007909</t>
  </si>
  <si>
    <t>PO 33527034918</t>
  </si>
  <si>
    <t>PO 33527166907</t>
  </si>
  <si>
    <t>PO 33527160908</t>
  </si>
  <si>
    <t>PO 33527007911</t>
  </si>
  <si>
    <t>PO 33527092911</t>
  </si>
  <si>
    <t>PO 33527166905</t>
  </si>
  <si>
    <t>PO 33527092909</t>
  </si>
  <si>
    <t>PO 33527113911</t>
  </si>
  <si>
    <t>PO 33527140914</t>
  </si>
  <si>
    <t>PO 33527113910</t>
  </si>
  <si>
    <t>PO 33527134910</t>
  </si>
  <si>
    <t>PO 33527078911</t>
  </si>
  <si>
    <t>PO 33527148908</t>
  </si>
  <si>
    <t>Inv. 328431</t>
  </si>
  <si>
    <t>Baker Group V#(00002109043)</t>
  </si>
  <si>
    <t>PRC 33527204900</t>
  </si>
  <si>
    <t>PRC 33527204901</t>
  </si>
  <si>
    <t>Acterra Group Inc</t>
  </si>
  <si>
    <t>RFB950000-01</t>
  </si>
  <si>
    <t>PO 33527204903</t>
  </si>
  <si>
    <t>Vendor:  00003207238</t>
  </si>
  <si>
    <t>PO 33527204905</t>
  </si>
  <si>
    <t>Bergstrom Construction</t>
  </si>
  <si>
    <t>Vendor:  00002110114</t>
  </si>
  <si>
    <t>RFB944001-01</t>
  </si>
  <si>
    <t>PO 33527204906</t>
  </si>
  <si>
    <t>Bergstrum Construction</t>
  </si>
  <si>
    <t>Split w/DA27</t>
  </si>
  <si>
    <t xml:space="preserve">DA27 </t>
  </si>
  <si>
    <t>PRC 3352609PC3915</t>
  </si>
  <si>
    <t>Inv. 9503.00-03</t>
  </si>
  <si>
    <t>Spilt w/DA27</t>
  </si>
  <si>
    <t>CO #1(Split w/ DA27)</t>
  </si>
  <si>
    <t>VanMaanen Electric</t>
  </si>
  <si>
    <t>Vendor:  00002091370</t>
  </si>
  <si>
    <t>RFB #944001-01</t>
  </si>
  <si>
    <t>PO 33527208910</t>
  </si>
  <si>
    <t>RFP952400-01</t>
  </si>
  <si>
    <t>PO 33527208912</t>
  </si>
  <si>
    <t>Design Development Documents</t>
  </si>
  <si>
    <t>Construction Phase &amp; Closeout</t>
  </si>
  <si>
    <t>PRC 3352608PA2902</t>
  </si>
  <si>
    <t>Inv. 9501.00-01</t>
  </si>
  <si>
    <t>Bi-State Masonry</t>
  </si>
  <si>
    <t>RFB951300-02</t>
  </si>
  <si>
    <t>Activity code: BRUM</t>
  </si>
  <si>
    <t>PO 33527208913</t>
  </si>
  <si>
    <t>Vendor:  00002141136</t>
  </si>
  <si>
    <t>PRC 3352605PA7908</t>
  </si>
  <si>
    <t>Inv. 29732</t>
  </si>
  <si>
    <t>PO 33527153910</t>
  </si>
  <si>
    <t>PO 33527098913</t>
  </si>
  <si>
    <t>PO 33527176918</t>
  </si>
  <si>
    <t>PO 33527174919</t>
  </si>
  <si>
    <t>PO 33527190910</t>
  </si>
  <si>
    <t>PO 33527093915</t>
  </si>
  <si>
    <t>Inv. INV060036</t>
  </si>
  <si>
    <t>PRC 33527211910</t>
  </si>
  <si>
    <t>Shipping Code:  003</t>
  </si>
  <si>
    <t>Closing Date:</t>
  </si>
  <si>
    <t>PRC 3352610PA3911</t>
  </si>
  <si>
    <t>Inv. 20786</t>
  </si>
  <si>
    <t>PO 33527103911</t>
  </si>
  <si>
    <t>PO 33527168913</t>
  </si>
  <si>
    <t>PO 33527057908</t>
  </si>
  <si>
    <t>PO 33527002900</t>
  </si>
  <si>
    <t>Inv. 834017</t>
  </si>
  <si>
    <t>JF Ahern V#(00002102310)</t>
  </si>
  <si>
    <t>PRC 33527216900</t>
  </si>
  <si>
    <t>Schumacher Elevator CO</t>
  </si>
  <si>
    <t>PO 33527216910</t>
  </si>
  <si>
    <t>CO #1 Splitting w/DA27</t>
  </si>
  <si>
    <t>DA27</t>
  </si>
  <si>
    <t>PRC 3352706PD2911</t>
  </si>
  <si>
    <t>Inv. 26817000-4</t>
  </si>
  <si>
    <t>PRC 3352708PD9910</t>
  </si>
  <si>
    <t>Inv. 9499.00-004</t>
  </si>
  <si>
    <t>PO 33527082902</t>
  </si>
  <si>
    <t>PRC 3352709PD8913</t>
  </si>
  <si>
    <t>PM Time moved to MM25 9526.00</t>
  </si>
  <si>
    <t>Inv. INVCL3066</t>
  </si>
  <si>
    <t>PRC 33527219901</t>
  </si>
  <si>
    <t>PRC 3352711PD3910</t>
  </si>
  <si>
    <t>Inv. 9529.00 PC 04</t>
  </si>
  <si>
    <t>PRC 3352711PD3911</t>
  </si>
  <si>
    <t>Inv. 9527.00 PC 04</t>
  </si>
  <si>
    <t>PRC 3352725PJ9909</t>
  </si>
  <si>
    <t>Inv. 25832000-10</t>
  </si>
  <si>
    <t>PRC 3352716PB6905</t>
  </si>
  <si>
    <t>Inv. 9519.00-02</t>
  </si>
  <si>
    <t>PRC 3352703PG3911</t>
  </si>
  <si>
    <t>PRC 3352719PA0910</t>
  </si>
  <si>
    <t>Inv format 9521.00-0X was previously used in this project, please use Inv. 9521.00-00X</t>
  </si>
  <si>
    <t>Inv. 9521.00-001</t>
  </si>
  <si>
    <t>PRC 3352700PG7909</t>
  </si>
  <si>
    <t>Inv. 67798</t>
  </si>
  <si>
    <t>Inv. 25-022 CA 07</t>
  </si>
  <si>
    <t>PRC 3352708PB3910</t>
  </si>
  <si>
    <t>Inv. 26816000-2</t>
  </si>
  <si>
    <t>PRC 3352705PE5913</t>
  </si>
  <si>
    <t>Inv. 9440.01 PC 05</t>
  </si>
  <si>
    <t>CDE 33526224917</t>
  </si>
  <si>
    <t>PRC 3352730PJ1907</t>
  </si>
  <si>
    <t>Inv. 9498.00 PC 10 FINAL</t>
  </si>
  <si>
    <t>PRC 3352733PE7908</t>
  </si>
  <si>
    <t>Inv. 24853006-5</t>
  </si>
  <si>
    <t>Inv. 23531</t>
  </si>
  <si>
    <t>GAX 33526225901</t>
  </si>
  <si>
    <t>MB Lawn Care</t>
  </si>
  <si>
    <t>Vendor:  00003215471</t>
  </si>
  <si>
    <t>PO 33527225902</t>
  </si>
  <si>
    <t>IET DAS202701115300001</t>
  </si>
  <si>
    <t>Finance Support for July  01-31, 2026</t>
  </si>
  <si>
    <t>DAS Support for July 01-31, 2026</t>
  </si>
  <si>
    <t>PRC 3352713PC4910</t>
  </si>
  <si>
    <t>Inv. 67800</t>
  </si>
  <si>
    <t>PRC 3352714PC0914</t>
  </si>
  <si>
    <t>Inv. 67819</t>
  </si>
  <si>
    <t>PRC 3352706PF2916</t>
  </si>
  <si>
    <t>Inv. 67799</t>
  </si>
  <si>
    <t>GAX 33527229902</t>
  </si>
  <si>
    <t>Inv. B79236</t>
  </si>
  <si>
    <t>PRC 3352714PC2915</t>
  </si>
  <si>
    <t>Inv. 25-021 CA 03</t>
  </si>
  <si>
    <t>PRC 3352709PD2911</t>
  </si>
  <si>
    <t>Inv. 35385</t>
  </si>
  <si>
    <t>PRC 3352703PF0910</t>
  </si>
  <si>
    <t>Inv. 35382</t>
  </si>
  <si>
    <t>PRC 3352709PD3915</t>
  </si>
  <si>
    <t>Inv. 9503.00-04</t>
  </si>
  <si>
    <t>PO 33527229905</t>
  </si>
  <si>
    <t>Concrete Connections</t>
  </si>
  <si>
    <t>Vendor:  00003177680</t>
  </si>
  <si>
    <t>RFB949800-01</t>
  </si>
  <si>
    <t>PO 33527229907</t>
  </si>
  <si>
    <t>PRC 33527231907</t>
  </si>
  <si>
    <t>Inv. 2727442</t>
  </si>
  <si>
    <t>PRC 3352714PB8908</t>
  </si>
  <si>
    <t>Inv. 9530.00-02</t>
  </si>
  <si>
    <t>PRC 3352714PB6908</t>
  </si>
  <si>
    <t>Inv. 35383</t>
  </si>
  <si>
    <t>PRC 3352717PA6921</t>
  </si>
  <si>
    <t>Inv. 101537.005 CA-01</t>
  </si>
  <si>
    <t>PRC 3352717PA6923</t>
  </si>
  <si>
    <t>Inv. 101537.004 CA-01</t>
  </si>
  <si>
    <t>PO 33527232911</t>
  </si>
  <si>
    <t>PO 33527232916</t>
  </si>
  <si>
    <t>PRC 3352717PB4919</t>
  </si>
  <si>
    <t>Inv. 101537.013 PC-02</t>
  </si>
  <si>
    <t>PRC 3352716PB0908</t>
  </si>
  <si>
    <t>Inv. 101537.003-CA02</t>
  </si>
  <si>
    <t>PRC 3352717PB7912</t>
  </si>
  <si>
    <t>Inv. 101537.001-CA02</t>
  </si>
  <si>
    <t>PRC 3352732PG3905</t>
  </si>
  <si>
    <t>Inv. 101537.002-PC07</t>
  </si>
  <si>
    <t>PRC 3352735PG7904</t>
  </si>
  <si>
    <t>Inv. 23558</t>
  </si>
  <si>
    <t>PRC 3352703PF4918</t>
  </si>
  <si>
    <t>Inv. 9511.00-06</t>
  </si>
  <si>
    <t>PRC 3352713PC1914</t>
  </si>
  <si>
    <t>Inv. 9505.00-003</t>
  </si>
  <si>
    <t>PRC 3352709PC2909</t>
  </si>
  <si>
    <t>Inv. 2604-03</t>
  </si>
  <si>
    <t>PRC 3352706PE9901</t>
  </si>
  <si>
    <t>Inv. 101368.015-CA05</t>
  </si>
  <si>
    <t>CDE 33527225920</t>
  </si>
  <si>
    <t>PRC 3352712PB6918</t>
  </si>
  <si>
    <t>Inv. 9483.00-#2</t>
  </si>
  <si>
    <t>PO 33527243900</t>
  </si>
  <si>
    <t>Inv. INVCL3119</t>
  </si>
  <si>
    <t>PRC 33527246911</t>
  </si>
  <si>
    <t>PRC 3352706PE2911</t>
  </si>
  <si>
    <t>Inv. 26817000-5</t>
  </si>
  <si>
    <t>PRC 3352736PE3904</t>
  </si>
  <si>
    <t>Inv. 9484.00-#5</t>
  </si>
  <si>
    <t>Advanced Environmental Testing V#(00002125877)</t>
  </si>
  <si>
    <t>Inv. 13120</t>
  </si>
  <si>
    <t>PRC 33527246925</t>
  </si>
  <si>
    <t>For Sure Roofing</t>
  </si>
  <si>
    <t>Vendor:  00003081739</t>
  </si>
  <si>
    <t>DO 33527246927</t>
  </si>
  <si>
    <t>PRC 3352719PB0910</t>
  </si>
  <si>
    <t>Inv. 9521.00-002 - FINAL</t>
  </si>
  <si>
    <t>PRC 3352700PB2900</t>
  </si>
  <si>
    <t>Inv. 49434(100% to DA27)</t>
  </si>
  <si>
    <t>PRC 3352725PK9909</t>
  </si>
  <si>
    <t>Inv. 25832000-11</t>
  </si>
  <si>
    <t>PRC 3352703PH3911</t>
  </si>
  <si>
    <t>Inv. 25-022 CA 08</t>
  </si>
  <si>
    <t>PRC 3352705PF5913</t>
  </si>
  <si>
    <t>Inv. 9440.01 PC 06 FINAL</t>
  </si>
  <si>
    <t>PRC 3352713PD1914</t>
  </si>
  <si>
    <t>Inv. 9505.00-004</t>
  </si>
  <si>
    <t>PRC 3352711PE3910</t>
  </si>
  <si>
    <t>Inv. 9529.00 PC 05</t>
  </si>
  <si>
    <t>PRC 3352723PA2916</t>
  </si>
  <si>
    <t>Inv. 9513.00 CA 01</t>
  </si>
  <si>
    <t>PO 33527251920</t>
  </si>
  <si>
    <t>PRC 3352716PC6905</t>
  </si>
  <si>
    <t>Inv. 9519.00-03</t>
  </si>
  <si>
    <t>PRC 3352709PE8913</t>
  </si>
  <si>
    <t>Inv. 9499.00-05</t>
  </si>
  <si>
    <t>PRC 3352709PE3915</t>
  </si>
  <si>
    <t>Inv. 9503.00-05</t>
  </si>
  <si>
    <t>PRC 3352714PC8908</t>
  </si>
  <si>
    <t>Inv. 9530.00-03</t>
  </si>
  <si>
    <t>IET DAS202702115300001</t>
  </si>
  <si>
    <t>Finance Support for August  01-31, 2026</t>
  </si>
  <si>
    <t>DAS Support for August 01-31, 2026</t>
  </si>
  <si>
    <t>PRC 3352722PA9905</t>
  </si>
  <si>
    <t>Inv. 9498.00 CA 01</t>
  </si>
  <si>
    <t>PRC 3352732PC8905</t>
  </si>
  <si>
    <t>Inv. 2516-03</t>
  </si>
  <si>
    <t>PRC 3352708PE9910</t>
  </si>
  <si>
    <t>Inv. 9499.00-005</t>
  </si>
  <si>
    <t>PRC 3352717PB6921</t>
  </si>
  <si>
    <t>Inv. 101537.005 CA-02</t>
  </si>
  <si>
    <t>PRC 3352717PB6923</t>
  </si>
  <si>
    <t>Inv. 101537.004 CA-02</t>
  </si>
  <si>
    <t>PRC 3352715PB3910</t>
  </si>
  <si>
    <t>Inv. 9508.00-02</t>
  </si>
  <si>
    <t>PRC 3352714PD0914</t>
  </si>
  <si>
    <t>Inv. 67915</t>
  </si>
  <si>
    <t>PO 33527257918</t>
  </si>
  <si>
    <t>Line 12 - Travel</t>
  </si>
  <si>
    <t>Line 11 - Disposal</t>
  </si>
  <si>
    <t>Line 1 - Asbestos Services</t>
  </si>
  <si>
    <t>PRC 3352700PH7909</t>
  </si>
  <si>
    <t>Inv. 67911</t>
  </si>
  <si>
    <t>PRC 3352714PD2915</t>
  </si>
  <si>
    <t>Inv. 25-021 CA 04</t>
  </si>
  <si>
    <t>PRC 3352708PC3910</t>
  </si>
  <si>
    <t>Inv. 26816000-3</t>
  </si>
  <si>
    <t>RFB1821335228 - McGough</t>
  </si>
  <si>
    <t>PO 33527259920</t>
  </si>
  <si>
    <t>PRC 3352706PG2916</t>
  </si>
  <si>
    <t>Inv. 67913</t>
  </si>
  <si>
    <t>PRC 3352707PD5914</t>
  </si>
  <si>
    <t>Inv. 85765</t>
  </si>
  <si>
    <t>PRC 3352717PC7912</t>
  </si>
  <si>
    <t>Inv. 101537.001-CA03</t>
  </si>
  <si>
    <t>PRC 3352717PC4919</t>
  </si>
  <si>
    <t>Inv. 101537.013 PC-03</t>
  </si>
  <si>
    <t>PRC 3352716PC0908</t>
  </si>
  <si>
    <t>Inv. 101537.003-CA03</t>
  </si>
  <si>
    <t>PRC 3352706PF9901</t>
  </si>
  <si>
    <t>Inv. 101368.015-CA06</t>
  </si>
  <si>
    <t>PRC 3352720PA8912</t>
  </si>
  <si>
    <t>Inv. 2260011410-1</t>
  </si>
  <si>
    <t>PRC 3352703PD4919</t>
  </si>
  <si>
    <t>Inv. 14693</t>
  </si>
  <si>
    <t>PRC 3352711PE3911</t>
  </si>
  <si>
    <t>Inv. 9527.00 PC 05</t>
  </si>
  <si>
    <t>PRC 3352728PF9900</t>
  </si>
  <si>
    <t>Inv. 35430</t>
  </si>
  <si>
    <t>PRC 3352712PC0910</t>
  </si>
  <si>
    <t>Inv. 35428</t>
  </si>
  <si>
    <t>PRC 3352709PE2911</t>
  </si>
  <si>
    <t>Inv. 35434FINAL</t>
  </si>
  <si>
    <t>PRC 3352720PA4903</t>
  </si>
  <si>
    <t>09/21/226</t>
  </si>
  <si>
    <t>Inv. JC16638</t>
  </si>
  <si>
    <t>PRC 3352714PC6908</t>
  </si>
  <si>
    <t>Inv. 35429</t>
  </si>
  <si>
    <t>PRC 3352707PD8911</t>
  </si>
  <si>
    <t>Inv. 35432</t>
  </si>
  <si>
    <t>PRC 3352718PA1916</t>
  </si>
  <si>
    <t>Inv. 9496.00-01</t>
  </si>
  <si>
    <t>PRC 3352712PC6918</t>
  </si>
  <si>
    <t>Inv. 9483.00-03</t>
  </si>
  <si>
    <t>PRC 3352700PB9905</t>
  </si>
  <si>
    <t>Inv. 90693083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</si>
</sst>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mm/dd/yy"/>
    <numFmt numFmtId="165" formatCode="&quot;$&quot;#,##0.00"/>
    <numFmt numFmtId="166" formatCode="mm/dd/yy;@"/>
  </numFmts>
  <fonts count="41" x14ac:knownFonts="1">
    <font>
      <sz val="11"/>
      <color theme="1"/>
      <name val="Calibri"/>
      <family val="2"/>
      <scheme val="minor"/>
    </font>
    <font>
      <sz val="11"/>
      <color theme="1"/>
      <name val="Calibri"/>
      <family val="2"/>
      <scheme val="minor"/>
    </font>
    <font>
      <sz val="10"/>
      <name val="MS Sans Serif"/>
      <family val="2"/>
    </font>
    <font>
      <b/>
      <sz val="10"/>
      <name val="Arial"/>
      <family val="2"/>
    </font>
    <font>
      <b/>
      <sz val="12"/>
      <color indexed="10"/>
      <name val="Arial"/>
      <family val="2"/>
    </font>
    <font>
      <b/>
      <sz val="12"/>
      <name val="Arial"/>
      <family val="2"/>
    </font>
    <font>
      <sz val="10"/>
      <name val="Arial"/>
      <family val="2"/>
    </font>
    <font>
      <b/>
      <sz val="12"/>
      <color indexed="12"/>
      <name val="Arial"/>
      <family val="2"/>
    </font>
    <font>
      <b/>
      <sz val="12"/>
      <color indexed="52"/>
      <name val="Arial"/>
      <family val="2"/>
    </font>
    <font>
      <b/>
      <sz val="12"/>
      <color rgb="FF92D050"/>
      <name val="Arial"/>
      <family val="2"/>
    </font>
    <font>
      <b/>
      <sz val="12"/>
      <color indexed="14"/>
      <name val="Arial"/>
      <family val="2"/>
    </font>
    <font>
      <b/>
      <sz val="11"/>
      <name val="Arial"/>
      <family val="2"/>
    </font>
    <font>
      <b/>
      <sz val="12"/>
      <color rgb="FFFF0000"/>
      <name val="Arial"/>
      <family val="2"/>
    </font>
    <font>
      <b/>
      <sz val="11"/>
      <color indexed="10"/>
      <name val="Arial"/>
      <family val="2"/>
    </font>
    <font>
      <b/>
      <sz val="10"/>
      <color rgb="FFFF0000"/>
      <name val="Arial"/>
      <family val="2"/>
    </font>
    <font>
      <i/>
      <sz val="12"/>
      <color theme="3"/>
      <name val="Arial"/>
      <family val="2"/>
    </font>
    <font>
      <sz val="10"/>
      <color rgb="FFFF0000"/>
      <name val="Arial"/>
      <family val="2"/>
    </font>
    <font>
      <sz val="10"/>
      <color indexed="10"/>
      <name val="Arial"/>
      <family val="2"/>
    </font>
    <font>
      <sz val="10"/>
      <color theme="1"/>
      <name val="ARIAL"/>
      <family val="2"/>
    </font>
    <font>
      <b/>
      <i/>
      <sz val="12"/>
      <color rgb="FFFF0000"/>
      <name val="Arial"/>
      <family val="2"/>
    </font>
    <font>
      <sz val="10"/>
      <color theme="1"/>
      <name val="Calibri"/>
      <family val="2"/>
      <scheme val="minor"/>
    </font>
    <font>
      <b/>
      <sz val="10"/>
      <color indexed="8"/>
      <name val="Arial"/>
      <family val="2"/>
    </font>
    <font>
      <b/>
      <sz val="10"/>
      <color theme="1"/>
      <name val="Arial"/>
      <family val="2"/>
    </font>
    <font>
      <sz val="10"/>
      <color indexed="8"/>
      <name val="Arial"/>
      <family val="2"/>
    </font>
    <font>
      <i/>
      <sz val="8"/>
      <color theme="0" tint="-0.249977111117893"/>
      <name val="Arial"/>
      <family val="2"/>
    </font>
    <font>
      <sz val="9"/>
      <color indexed="81"/>
      <name val="Tahoma"/>
      <family val="2"/>
    </font>
    <font>
      <b/>
      <sz val="9"/>
      <color indexed="81"/>
      <name val="Tahoma"/>
      <family val="2"/>
    </font>
    <font>
      <sz val="11"/>
      <color indexed="81"/>
      <name val="Tahoma"/>
      <family val="2"/>
    </font>
    <font>
      <b/>
      <sz val="11"/>
      <color indexed="81"/>
      <name val="Tahoma"/>
      <family val="2"/>
    </font>
    <font>
      <b/>
      <sz val="10"/>
      <color rgb="FF0000CC"/>
      <name val="Arial"/>
      <family val="2"/>
    </font>
    <font>
      <sz val="10"/>
      <name val="Calibri"/>
      <family val="2"/>
      <scheme val="minor"/>
    </font>
    <font>
      <b/>
      <sz val="11"/>
      <color rgb="FFFF0000"/>
      <name val="Arial"/>
      <family val="2"/>
    </font>
    <font>
      <i/>
      <sz val="12"/>
      <color rgb="FFFF0000"/>
      <name val="Arial"/>
      <family val="2"/>
    </font>
    <font>
      <sz val="10"/>
      <color rgb="FF000000"/>
      <name val="Arial"/>
      <family val="2"/>
    </font>
    <font>
      <sz val="11"/>
      <color rgb="FFFF0000"/>
      <name val="Calibri"/>
      <family val="2"/>
      <scheme val="minor"/>
    </font>
    <font>
      <i/>
      <sz val="12"/>
      <color theme="4" tint="-0.249977111117893"/>
      <name val="Arial"/>
      <family val="2"/>
    </font>
    <font>
      <b/>
      <sz val="10"/>
      <color indexed="10"/>
      <name val="Arial"/>
      <family val="2"/>
    </font>
    <font>
      <b/>
      <sz val="11"/>
      <color theme="1"/>
      <name val="Calibri"/>
      <family val="2"/>
      <scheme val="minor"/>
    </font>
    <font>
      <b/>
      <sz val="11"/>
      <color rgb="FFFF0000"/>
      <name val="Calibri"/>
      <family val="2"/>
      <scheme val="minor"/>
    </font>
    <font>
      <sz val="11"/>
      <color rgb="FF000000"/>
      <name val="Arial"/>
      <family val="2"/>
    </font>
    <font>
      <b/>
      <sz val="8"/>
      <name val="Arial"/>
      <family val="2"/>
    </font>
  </fonts>
  <fills count="7">
    <fill>
      <patternFill patternType="none"/>
    </fill>
    <fill>
      <patternFill patternType="gray125"/>
    </fill>
    <fill>
      <patternFill patternType="solid">
        <fgColor theme="9" tint="0.59999389629810485"/>
        <bgColor indexed="64"/>
      </patternFill>
    </fill>
    <fill>
      <patternFill patternType="solid">
        <fgColor theme="0" tint="-0.249977111117893"/>
        <bgColor indexed="64"/>
      </patternFill>
    </fill>
    <fill>
      <patternFill patternType="solid">
        <fgColor indexed="22"/>
        <bgColor indexed="64"/>
      </patternFill>
    </fill>
    <fill>
      <patternFill patternType="solid">
        <fgColor theme="9" tint="0.39997558519241921"/>
        <bgColor indexed="64"/>
      </patternFill>
    </fill>
    <fill>
      <patternFill patternType="solid">
        <fgColor rgb="FFFFFFFF"/>
        <bgColor indexed="64"/>
      </patternFill>
    </fill>
  </fills>
  <borders count="14">
    <border>
      <left/>
      <right/>
      <top/>
      <bottom/>
      <diagonal/>
    </border>
    <border>
      <left/>
      <right/>
      <top/>
      <bottom style="medium">
        <color indexed="64"/>
      </bottom>
      <diagonal/>
    </border>
    <border>
      <left/>
      <right/>
      <top style="thin">
        <color indexed="64"/>
      </top>
      <bottom style="double">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top style="medium">
        <color indexed="64"/>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6" fillId="0" borderId="0"/>
    <xf numFmtId="0" fontId="2" fillId="0" borderId="0"/>
    <xf numFmtId="44" fontId="6" fillId="0" borderId="0" applyFont="0" applyFill="0" applyBorder="0" applyAlignment="0" applyProtection="0"/>
  </cellStyleXfs>
  <cellXfs count="379">
    <xf numFmtId="0" fontId="0" fillId="0" borderId="0" xfId="0"/>
    <xf numFmtId="0" fontId="3" fillId="0" borderId="0" xfId="3" applyFont="1"/>
    <xf numFmtId="0" fontId="4" fillId="0" borderId="0" xfId="3" applyFont="1"/>
    <xf numFmtId="0" fontId="5" fillId="0" borderId="0" xfId="3" applyFont="1"/>
    <xf numFmtId="4" fontId="6" fillId="0" borderId="0" xfId="3" applyNumberFormat="1" applyFont="1"/>
    <xf numFmtId="0" fontId="6" fillId="0" borderId="0" xfId="3" applyFont="1"/>
    <xf numFmtId="164" fontId="7" fillId="0" borderId="0" xfId="4" applyNumberFormat="1" applyFont="1"/>
    <xf numFmtId="1" fontId="8" fillId="0" borderId="0" xfId="4" applyNumberFormat="1" applyFont="1" applyAlignment="1">
      <alignment horizontal="left"/>
    </xf>
    <xf numFmtId="4" fontId="9" fillId="0" borderId="0" xfId="3" applyNumberFormat="1" applyFont="1"/>
    <xf numFmtId="40" fontId="10" fillId="0" borderId="0" xfId="4" applyNumberFormat="1" applyFont="1"/>
    <xf numFmtId="164" fontId="5" fillId="0" borderId="0" xfId="3" applyNumberFormat="1" applyFont="1"/>
    <xf numFmtId="164" fontId="5" fillId="0" borderId="0" xfId="4" applyNumberFormat="1" applyFont="1"/>
    <xf numFmtId="0" fontId="5" fillId="0" borderId="0" xfId="3" applyFont="1" applyAlignment="1">
      <alignment wrapText="1"/>
    </xf>
    <xf numFmtId="4" fontId="3" fillId="0" borderId="0" xfId="3" applyNumberFormat="1" applyFont="1"/>
    <xf numFmtId="0" fontId="3" fillId="0" borderId="1" xfId="3" applyFont="1" applyBorder="1"/>
    <xf numFmtId="0" fontId="3" fillId="0" borderId="1" xfId="3" applyFont="1" applyBorder="1" applyAlignment="1">
      <alignment horizontal="center" wrapText="1"/>
    </xf>
    <xf numFmtId="40" fontId="3" fillId="0" borderId="1" xfId="3" applyNumberFormat="1" applyFont="1" applyBorder="1"/>
    <xf numFmtId="40" fontId="3" fillId="0" borderId="1" xfId="3" applyNumberFormat="1" applyFont="1" applyBorder="1" applyAlignment="1">
      <alignment horizontal="center"/>
    </xf>
    <xf numFmtId="40" fontId="3" fillId="0" borderId="1" xfId="3" applyNumberFormat="1" applyFont="1" applyBorder="1" applyAlignment="1">
      <alignment horizontal="center" wrapText="1"/>
    </xf>
    <xf numFmtId="4" fontId="3" fillId="0" borderId="0" xfId="3" applyNumberFormat="1" applyFont="1" applyAlignment="1">
      <alignment horizontal="center"/>
    </xf>
    <xf numFmtId="40" fontId="6" fillId="0" borderId="0" xfId="3" applyNumberFormat="1" applyFont="1" applyAlignment="1">
      <alignment horizontal="center"/>
    </xf>
    <xf numFmtId="40" fontId="6" fillId="0" borderId="0" xfId="3" applyNumberFormat="1" applyFont="1"/>
    <xf numFmtId="0" fontId="6" fillId="0" borderId="0" xfId="3" applyFont="1" applyAlignment="1">
      <alignment horizontal="center"/>
    </xf>
    <xf numFmtId="4" fontId="6" fillId="0" borderId="0" xfId="3" applyNumberFormat="1" applyFont="1" applyAlignment="1">
      <alignment horizontal="center"/>
    </xf>
    <xf numFmtId="40" fontId="6" fillId="0" borderId="0" xfId="4" applyNumberFormat="1" applyAlignment="1">
      <alignment horizontal="center"/>
    </xf>
    <xf numFmtId="0" fontId="11" fillId="0" borderId="0" xfId="3" applyFont="1"/>
    <xf numFmtId="0" fontId="11" fillId="0" borderId="2" xfId="3" applyFont="1" applyBorder="1" applyAlignment="1">
      <alignment horizontal="left"/>
    </xf>
    <xf numFmtId="40" fontId="11" fillId="0" borderId="2" xfId="3" applyNumberFormat="1" applyFont="1" applyBorder="1"/>
    <xf numFmtId="40" fontId="4" fillId="0" borderId="0" xfId="4" applyNumberFormat="1" applyFont="1"/>
    <xf numFmtId="0" fontId="4" fillId="0" borderId="0" xfId="4" applyFont="1"/>
    <xf numFmtId="0" fontId="12" fillId="0" borderId="0" xfId="3" applyFont="1"/>
    <xf numFmtId="164" fontId="12" fillId="0" borderId="0" xfId="4" applyNumberFormat="1" applyFont="1"/>
    <xf numFmtId="0" fontId="10" fillId="0" borderId="0" xfId="4" applyFont="1"/>
    <xf numFmtId="49" fontId="10" fillId="0" borderId="0" xfId="4" applyNumberFormat="1" applyFont="1" applyAlignment="1">
      <alignment horizontal="left"/>
    </xf>
    <xf numFmtId="164" fontId="11" fillId="0" borderId="0" xfId="0" applyNumberFormat="1" applyFont="1"/>
    <xf numFmtId="0" fontId="5" fillId="0" borderId="0" xfId="4" applyFont="1"/>
    <xf numFmtId="0" fontId="11" fillId="0" borderId="0" xfId="4" applyFont="1"/>
    <xf numFmtId="0" fontId="14" fillId="0" borderId="0" xfId="4" applyFont="1"/>
    <xf numFmtId="0" fontId="6" fillId="0" borderId="0" xfId="4"/>
    <xf numFmtId="40" fontId="5" fillId="0" borderId="0" xfId="4" applyNumberFormat="1" applyFont="1"/>
    <xf numFmtId="0" fontId="5" fillId="0" borderId="0" xfId="4" applyFont="1" applyAlignment="1">
      <alignment horizontal="right"/>
    </xf>
    <xf numFmtId="40" fontId="15" fillId="0" borderId="0" xfId="4" applyNumberFormat="1" applyFont="1"/>
    <xf numFmtId="0" fontId="16" fillId="0" borderId="0" xfId="4" applyFont="1"/>
    <xf numFmtId="40" fontId="14" fillId="0" borderId="0" xfId="4" applyNumberFormat="1" applyFont="1"/>
    <xf numFmtId="164" fontId="5" fillId="0" borderId="0" xfId="4" applyNumberFormat="1" applyFont="1" applyAlignment="1">
      <alignment horizontal="left"/>
    </xf>
    <xf numFmtId="49" fontId="5" fillId="0" borderId="1" xfId="4" applyNumberFormat="1" applyFont="1" applyBorder="1" applyAlignment="1">
      <alignment horizontal="center" wrapText="1"/>
    </xf>
    <xf numFmtId="164" fontId="5" fillId="0" borderId="1" xfId="4" applyNumberFormat="1" applyFont="1" applyBorder="1" applyAlignment="1">
      <alignment horizontal="center"/>
    </xf>
    <xf numFmtId="0" fontId="5" fillId="0" borderId="1" xfId="4" applyFont="1" applyBorder="1" applyAlignment="1">
      <alignment horizontal="center"/>
    </xf>
    <xf numFmtId="40" fontId="5" fillId="0" borderId="1" xfId="4" applyNumberFormat="1" applyFont="1" applyBorder="1" applyAlignment="1">
      <alignment horizontal="center" wrapText="1"/>
    </xf>
    <xf numFmtId="49" fontId="6" fillId="0" borderId="0" xfId="4" applyNumberFormat="1"/>
    <xf numFmtId="164" fontId="6" fillId="0" borderId="0" xfId="4" applyNumberFormat="1" applyAlignment="1">
      <alignment horizontal="center"/>
    </xf>
    <xf numFmtId="164" fontId="6" fillId="0" borderId="0" xfId="4" applyNumberFormat="1" applyAlignment="1">
      <alignment horizontal="left"/>
    </xf>
    <xf numFmtId="4" fontId="3" fillId="0" borderId="0" xfId="4" applyNumberFormat="1" applyFont="1" applyAlignment="1">
      <alignment horizontal="center"/>
    </xf>
    <xf numFmtId="4" fontId="6" fillId="0" borderId="0" xfId="4" applyNumberFormat="1" applyAlignment="1">
      <alignment horizontal="center"/>
    </xf>
    <xf numFmtId="4" fontId="6" fillId="0" borderId="0" xfId="4" applyNumberFormat="1"/>
    <xf numFmtId="0" fontId="17" fillId="0" borderId="0" xfId="4" applyFont="1"/>
    <xf numFmtId="164" fontId="6" fillId="0" borderId="0" xfId="0" applyNumberFormat="1" applyFont="1" applyAlignment="1">
      <alignment horizontal="center"/>
    </xf>
    <xf numFmtId="4" fontId="3" fillId="0" borderId="0" xfId="4" applyNumberFormat="1" applyFont="1"/>
    <xf numFmtId="0" fontId="6" fillId="0" borderId="0" xfId="4" applyAlignment="1">
      <alignment horizontal="left"/>
    </xf>
    <xf numFmtId="164" fontId="6" fillId="0" borderId="0" xfId="4" applyNumberFormat="1"/>
    <xf numFmtId="164" fontId="3" fillId="0" borderId="0" xfId="4" applyNumberFormat="1" applyFont="1" applyAlignment="1">
      <alignment horizontal="left"/>
    </xf>
    <xf numFmtId="164" fontId="3" fillId="0" borderId="2" xfId="4" applyNumberFormat="1" applyFont="1" applyBorder="1"/>
    <xf numFmtId="44" fontId="3" fillId="0" borderId="2" xfId="2" applyFont="1" applyBorder="1"/>
    <xf numFmtId="40" fontId="6" fillId="0" borderId="0" xfId="4" applyNumberFormat="1"/>
    <xf numFmtId="164" fontId="5" fillId="0" borderId="1" xfId="4" applyNumberFormat="1" applyFont="1" applyBorder="1" applyAlignment="1">
      <alignment horizontal="center" wrapText="1"/>
    </xf>
    <xf numFmtId="49" fontId="6" fillId="0" borderId="0" xfId="4" applyNumberFormat="1" applyAlignment="1">
      <alignment horizontal="center"/>
    </xf>
    <xf numFmtId="0" fontId="18" fillId="0" borderId="0" xfId="0" applyFont="1"/>
    <xf numFmtId="49" fontId="10" fillId="0" borderId="0" xfId="4" applyNumberFormat="1" applyFont="1"/>
    <xf numFmtId="164" fontId="10" fillId="0" borderId="0" xfId="4" applyNumberFormat="1" applyFont="1"/>
    <xf numFmtId="0" fontId="19" fillId="0" borderId="0" xfId="4" applyFont="1"/>
    <xf numFmtId="49" fontId="6" fillId="0" borderId="0" xfId="4" applyNumberFormat="1" applyAlignment="1">
      <alignment horizontal="left"/>
    </xf>
    <xf numFmtId="40" fontId="6" fillId="0" borderId="0" xfId="4" quotePrefix="1" applyNumberFormat="1"/>
    <xf numFmtId="0" fontId="3" fillId="0" borderId="0" xfId="4" applyFont="1"/>
    <xf numFmtId="49" fontId="3" fillId="0" borderId="0" xfId="4" applyNumberFormat="1" applyFont="1"/>
    <xf numFmtId="164" fontId="3" fillId="0" borderId="0" xfId="4" applyNumberFormat="1" applyFont="1"/>
    <xf numFmtId="0" fontId="3" fillId="0" borderId="2" xfId="4" applyFont="1" applyBorder="1"/>
    <xf numFmtId="40" fontId="3" fillId="0" borderId="2" xfId="4" applyNumberFormat="1" applyFont="1" applyBorder="1"/>
    <xf numFmtId="0" fontId="6" fillId="0" borderId="0" xfId="5" applyFont="1"/>
    <xf numFmtId="49" fontId="6" fillId="0" borderId="0" xfId="5" applyNumberFormat="1" applyFont="1" applyAlignment="1">
      <alignment horizontal="center"/>
    </xf>
    <xf numFmtId="40" fontId="6" fillId="0" borderId="0" xfId="5" applyNumberFormat="1" applyFont="1" applyAlignment="1">
      <alignment horizontal="center"/>
    </xf>
    <xf numFmtId="40" fontId="6" fillId="0" borderId="0" xfId="5" applyNumberFormat="1" applyFont="1"/>
    <xf numFmtId="0" fontId="20" fillId="0" borderId="0" xfId="0" applyFont="1"/>
    <xf numFmtId="0" fontId="14" fillId="0" borderId="1" xfId="5" applyFont="1" applyBorder="1" applyAlignment="1">
      <alignment horizontal="center" textRotation="90" wrapText="1"/>
    </xf>
    <xf numFmtId="49" fontId="14" fillId="0" borderId="1" xfId="1" applyNumberFormat="1" applyFont="1" applyBorder="1" applyAlignment="1">
      <alignment horizontal="center" textRotation="90" wrapText="1"/>
    </xf>
    <xf numFmtId="40" fontId="14" fillId="0" borderId="1" xfId="1" applyNumberFormat="1" applyFont="1" applyBorder="1" applyAlignment="1">
      <alignment horizontal="center" wrapText="1"/>
    </xf>
    <xf numFmtId="40" fontId="3" fillId="0" borderId="1" xfId="5" applyNumberFormat="1" applyFont="1" applyBorder="1" applyAlignment="1">
      <alignment horizontal="center" wrapText="1"/>
    </xf>
    <xf numFmtId="165" fontId="21" fillId="0" borderId="1" xfId="0" applyNumberFormat="1" applyFont="1" applyBorder="1" applyAlignment="1">
      <alignment horizontal="center" wrapText="1"/>
    </xf>
    <xf numFmtId="4" fontId="21" fillId="0" borderId="1" xfId="0" applyNumberFormat="1" applyFont="1" applyBorder="1" applyAlignment="1">
      <alignment horizontal="center" wrapText="1"/>
    </xf>
    <xf numFmtId="165" fontId="3" fillId="0" borderId="1" xfId="0" applyNumberFormat="1" applyFont="1" applyBorder="1" applyAlignment="1">
      <alignment horizontal="center" wrapText="1"/>
    </xf>
    <xf numFmtId="0" fontId="22" fillId="0" borderId="0" xfId="0" applyFont="1" applyAlignment="1">
      <alignment horizontal="center" wrapText="1"/>
    </xf>
    <xf numFmtId="0" fontId="6" fillId="0" borderId="0" xfId="5" applyFont="1" applyAlignment="1">
      <alignment horizontal="center"/>
    </xf>
    <xf numFmtId="49" fontId="23" fillId="0" borderId="0" xfId="0" applyNumberFormat="1" applyFont="1" applyAlignment="1">
      <alignment horizontal="center" wrapText="1"/>
    </xf>
    <xf numFmtId="40" fontId="3" fillId="2" borderId="0" xfId="5" applyNumberFormat="1" applyFont="1" applyFill="1"/>
    <xf numFmtId="40" fontId="6" fillId="0" borderId="0" xfId="5" applyNumberFormat="1" applyFont="1" applyAlignment="1">
      <alignment horizontal="right"/>
    </xf>
    <xf numFmtId="40" fontId="3" fillId="2" borderId="3" xfId="5" applyNumberFormat="1" applyFont="1" applyFill="1" applyBorder="1" applyAlignment="1">
      <alignment horizontal="right"/>
    </xf>
    <xf numFmtId="40" fontId="3" fillId="2" borderId="2" xfId="5" applyNumberFormat="1" applyFont="1" applyFill="1" applyBorder="1" applyAlignment="1">
      <alignment horizontal="right"/>
    </xf>
    <xf numFmtId="40" fontId="3" fillId="2" borderId="0" xfId="5" applyNumberFormat="1" applyFont="1" applyFill="1" applyAlignment="1">
      <alignment horizontal="right"/>
    </xf>
    <xf numFmtId="40" fontId="3" fillId="2" borderId="4" xfId="5" applyNumberFormat="1" applyFont="1" applyFill="1" applyBorder="1" applyAlignment="1">
      <alignment horizontal="right"/>
    </xf>
    <xf numFmtId="0" fontId="6" fillId="3" borderId="0" xfId="5" applyFont="1" applyFill="1" applyAlignment="1">
      <alignment horizontal="center"/>
    </xf>
    <xf numFmtId="49" fontId="6" fillId="3" borderId="0" xfId="5" applyNumberFormat="1" applyFont="1" applyFill="1" applyAlignment="1">
      <alignment horizontal="center"/>
    </xf>
    <xf numFmtId="0" fontId="5" fillId="4" borderId="0" xfId="0" applyFont="1" applyFill="1" applyAlignment="1">
      <alignment horizontal="left" wrapText="1"/>
    </xf>
    <xf numFmtId="40" fontId="6" fillId="3" borderId="0" xfId="5" applyNumberFormat="1" applyFont="1" applyFill="1" applyAlignment="1">
      <alignment horizontal="center"/>
    </xf>
    <xf numFmtId="40" fontId="6" fillId="3" borderId="0" xfId="5" applyNumberFormat="1" applyFont="1" applyFill="1"/>
    <xf numFmtId="0" fontId="20" fillId="3" borderId="0" xfId="0" applyFont="1" applyFill="1"/>
    <xf numFmtId="0" fontId="6" fillId="0" borderId="5" xfId="5" applyFont="1" applyBorder="1" applyAlignment="1">
      <alignment horizontal="center"/>
    </xf>
    <xf numFmtId="49" fontId="6" fillId="0" borderId="5" xfId="5" applyNumberFormat="1" applyFont="1" applyBorder="1" applyAlignment="1">
      <alignment horizontal="center"/>
    </xf>
    <xf numFmtId="0" fontId="3" fillId="0" borderId="5" xfId="5" applyFont="1" applyBorder="1"/>
    <xf numFmtId="40" fontId="6" fillId="0" borderId="5" xfId="5" applyNumberFormat="1" applyFont="1" applyBorder="1" applyAlignment="1">
      <alignment horizontal="center"/>
    </xf>
    <xf numFmtId="40" fontId="24" fillId="0" borderId="5" xfId="5" applyNumberFormat="1" applyFont="1" applyBorder="1" applyAlignment="1">
      <alignment horizontal="center" vertical="center"/>
    </xf>
    <xf numFmtId="40" fontId="24" fillId="0" borderId="5" xfId="5" applyNumberFormat="1" applyFont="1" applyBorder="1" applyAlignment="1">
      <alignment horizontal="center" wrapText="1"/>
    </xf>
    <xf numFmtId="0" fontId="6" fillId="0" borderId="5" xfId="5" applyFont="1" applyBorder="1"/>
    <xf numFmtId="8" fontId="6" fillId="0" borderId="5" xfId="2" applyNumberFormat="1" applyFont="1" applyFill="1" applyBorder="1" applyAlignment="1">
      <alignment horizontal="center"/>
    </xf>
    <xf numFmtId="0" fontId="3" fillId="0" borderId="5" xfId="0" applyFont="1" applyBorder="1" applyAlignment="1">
      <alignment horizontal="center"/>
    </xf>
    <xf numFmtId="49" fontId="6" fillId="0" borderId="5" xfId="0" applyNumberFormat="1" applyFont="1" applyBorder="1" applyAlignment="1">
      <alignment horizontal="center" wrapText="1"/>
    </xf>
    <xf numFmtId="40" fontId="6" fillId="0" borderId="6" xfId="5" applyNumberFormat="1" applyFont="1" applyBorder="1" applyAlignment="1">
      <alignment horizontal="center"/>
    </xf>
    <xf numFmtId="49" fontId="6" fillId="0" borderId="7" xfId="0" applyNumberFormat="1" applyFont="1" applyBorder="1" applyAlignment="1">
      <alignment horizontal="center" wrapText="1"/>
    </xf>
    <xf numFmtId="0" fontId="3" fillId="0" borderId="8" xfId="0" applyFont="1" applyBorder="1" applyAlignment="1">
      <alignment horizontal="left"/>
    </xf>
    <xf numFmtId="40" fontId="22" fillId="0" borderId="6" xfId="0" applyNumberFormat="1" applyFont="1" applyBorder="1" applyAlignment="1">
      <alignment horizontal="center"/>
    </xf>
    <xf numFmtId="8" fontId="3" fillId="0" borderId="6" xfId="5" applyNumberFormat="1" applyFont="1" applyBorder="1" applyAlignment="1">
      <alignment horizontal="center"/>
    </xf>
    <xf numFmtId="0" fontId="6" fillId="0" borderId="9" xfId="5" applyFont="1" applyBorder="1" applyAlignment="1">
      <alignment horizontal="center"/>
    </xf>
    <xf numFmtId="49" fontId="6" fillId="0" borderId="10" xfId="5" applyNumberFormat="1" applyFont="1" applyBorder="1" applyAlignment="1">
      <alignment horizontal="center"/>
    </xf>
    <xf numFmtId="0" fontId="6" fillId="0" borderId="10" xfId="5" applyFont="1" applyBorder="1"/>
    <xf numFmtId="40" fontId="6" fillId="0" borderId="10" xfId="5" applyNumberFormat="1" applyFont="1" applyBorder="1" applyAlignment="1">
      <alignment horizontal="center"/>
    </xf>
    <xf numFmtId="8" fontId="6" fillId="0" borderId="10" xfId="5" applyNumberFormat="1" applyFont="1" applyBorder="1" applyAlignment="1">
      <alignment horizontal="center"/>
    </xf>
    <xf numFmtId="8" fontId="20" fillId="0" borderId="10" xfId="0" applyNumberFormat="1" applyFont="1" applyBorder="1" applyAlignment="1">
      <alignment horizontal="center"/>
    </xf>
    <xf numFmtId="8" fontId="20" fillId="0" borderId="11" xfId="0" applyNumberFormat="1" applyFont="1" applyBorder="1" applyAlignment="1">
      <alignment horizontal="center"/>
    </xf>
    <xf numFmtId="8" fontId="6" fillId="0" borderId="0" xfId="5" applyNumberFormat="1" applyFont="1" applyAlignment="1">
      <alignment horizontal="center"/>
    </xf>
    <xf numFmtId="165" fontId="6" fillId="0" borderId="0" xfId="0" applyNumberFormat="1" applyFont="1" applyAlignment="1">
      <alignment horizontal="left"/>
    </xf>
    <xf numFmtId="8" fontId="20" fillId="0" borderId="0" xfId="0" applyNumberFormat="1" applyFont="1" applyAlignment="1">
      <alignment horizontal="center"/>
    </xf>
    <xf numFmtId="165" fontId="23" fillId="0" borderId="0" xfId="6" applyNumberFormat="1" applyFont="1" applyFill="1" applyBorder="1" applyAlignment="1">
      <alignment horizontal="center"/>
    </xf>
    <xf numFmtId="49" fontId="3" fillId="0" borderId="0" xfId="5" applyNumberFormat="1" applyFont="1" applyAlignment="1">
      <alignment horizontal="center"/>
    </xf>
    <xf numFmtId="8" fontId="22" fillId="0" borderId="2" xfId="0" applyNumberFormat="1" applyFont="1" applyBorder="1" applyAlignment="1">
      <alignment horizontal="center"/>
    </xf>
    <xf numFmtId="0" fontId="3" fillId="0" borderId="0" xfId="5" applyFont="1"/>
    <xf numFmtId="165" fontId="23" fillId="0" borderId="0" xfId="0" applyNumberFormat="1" applyFont="1" applyAlignment="1">
      <alignment horizontal="left"/>
    </xf>
    <xf numFmtId="165" fontId="23" fillId="0" borderId="3" xfId="6" applyNumberFormat="1" applyFont="1" applyFill="1" applyBorder="1" applyAlignment="1">
      <alignment horizontal="center"/>
    </xf>
    <xf numFmtId="165" fontId="23" fillId="0" borderId="2" xfId="6" applyNumberFormat="1" applyFont="1" applyFill="1" applyBorder="1" applyAlignment="1">
      <alignment horizontal="center"/>
    </xf>
    <xf numFmtId="164" fontId="18" fillId="0" borderId="0" xfId="4" applyNumberFormat="1" applyFont="1"/>
    <xf numFmtId="43" fontId="18" fillId="0" borderId="0" xfId="1" applyFont="1"/>
    <xf numFmtId="164" fontId="22" fillId="0" borderId="0" xfId="4" applyNumberFormat="1" applyFont="1"/>
    <xf numFmtId="44" fontId="22" fillId="0" borderId="2" xfId="2" applyFont="1" applyBorder="1"/>
    <xf numFmtId="44" fontId="22" fillId="0" borderId="0" xfId="2" applyFont="1"/>
    <xf numFmtId="4" fontId="29" fillId="0" borderId="0" xfId="4" applyNumberFormat="1" applyFont="1" applyAlignment="1">
      <alignment horizontal="center"/>
    </xf>
    <xf numFmtId="4" fontId="20" fillId="0" borderId="0" xfId="0" applyNumberFormat="1" applyFont="1"/>
    <xf numFmtId="0" fontId="30" fillId="0" borderId="0" xfId="0" applyFont="1"/>
    <xf numFmtId="0" fontId="6" fillId="0" borderId="0" xfId="0" applyFont="1"/>
    <xf numFmtId="4" fontId="29" fillId="0" borderId="0" xfId="4" applyNumberFormat="1" applyFont="1"/>
    <xf numFmtId="40" fontId="14" fillId="0" borderId="0" xfId="5" applyNumberFormat="1" applyFont="1" applyAlignment="1">
      <alignment horizontal="center"/>
    </xf>
    <xf numFmtId="40" fontId="3" fillId="0" borderId="0" xfId="4" applyNumberFormat="1" applyFont="1"/>
    <xf numFmtId="0" fontId="6" fillId="0" borderId="0" xfId="0" applyFont="1" applyAlignment="1">
      <alignment vertical="center"/>
    </xf>
    <xf numFmtId="0" fontId="18" fillId="0" borderId="0" xfId="0" applyFont="1" applyAlignment="1">
      <alignment vertical="center"/>
    </xf>
    <xf numFmtId="0" fontId="16" fillId="0" borderId="0" xfId="3" applyFont="1"/>
    <xf numFmtId="0" fontId="14" fillId="0" borderId="0" xfId="3" applyFont="1"/>
    <xf numFmtId="14" fontId="14" fillId="0" borderId="0" xfId="3" applyNumberFormat="1" applyFont="1"/>
    <xf numFmtId="4" fontId="16" fillId="0" borderId="0" xfId="3" applyNumberFormat="1" applyFont="1"/>
    <xf numFmtId="1" fontId="12" fillId="0" borderId="0" xfId="4" applyNumberFormat="1" applyFont="1" applyAlignment="1">
      <alignment horizontal="left"/>
    </xf>
    <xf numFmtId="4" fontId="12" fillId="0" borderId="0" xfId="3" applyNumberFormat="1" applyFont="1"/>
    <xf numFmtId="40" fontId="12" fillId="0" borderId="0" xfId="4" applyNumberFormat="1" applyFont="1"/>
    <xf numFmtId="164" fontId="12" fillId="0" borderId="0" xfId="3" applyNumberFormat="1" applyFont="1"/>
    <xf numFmtId="0" fontId="12" fillId="0" borderId="0" xfId="3" applyFont="1" applyAlignment="1">
      <alignment wrapText="1"/>
    </xf>
    <xf numFmtId="4" fontId="14" fillId="0" borderId="0" xfId="3" applyNumberFormat="1" applyFont="1"/>
    <xf numFmtId="0" fontId="14" fillId="0" borderId="1" xfId="3" applyFont="1" applyBorder="1"/>
    <xf numFmtId="0" fontId="14" fillId="0" borderId="1" xfId="3" applyFont="1" applyBorder="1" applyAlignment="1">
      <alignment horizontal="center" wrapText="1"/>
    </xf>
    <xf numFmtId="40" fontId="14" fillId="0" borderId="1" xfId="3" applyNumberFormat="1" applyFont="1" applyBorder="1"/>
    <xf numFmtId="40" fontId="14" fillId="0" borderId="1" xfId="3" applyNumberFormat="1" applyFont="1" applyBorder="1" applyAlignment="1">
      <alignment horizontal="center"/>
    </xf>
    <xf numFmtId="40" fontId="14" fillId="0" borderId="1" xfId="3" applyNumberFormat="1" applyFont="1" applyBorder="1" applyAlignment="1">
      <alignment horizontal="center" wrapText="1"/>
    </xf>
    <xf numFmtId="4" fontId="14" fillId="0" borderId="0" xfId="3" applyNumberFormat="1" applyFont="1" applyAlignment="1">
      <alignment horizontal="center"/>
    </xf>
    <xf numFmtId="40" fontId="16" fillId="0" borderId="0" xfId="3" applyNumberFormat="1" applyFont="1" applyAlignment="1">
      <alignment horizontal="center"/>
    </xf>
    <xf numFmtId="40" fontId="16" fillId="0" borderId="0" xfId="3" applyNumberFormat="1" applyFont="1"/>
    <xf numFmtId="0" fontId="16" fillId="0" borderId="0" xfId="3" applyFont="1" applyAlignment="1">
      <alignment horizontal="center"/>
    </xf>
    <xf numFmtId="4" fontId="16" fillId="0" borderId="0" xfId="3" applyNumberFormat="1" applyFont="1" applyAlignment="1">
      <alignment horizontal="center"/>
    </xf>
    <xf numFmtId="40" fontId="16" fillId="0" borderId="0" xfId="4" applyNumberFormat="1" applyFont="1" applyAlignment="1">
      <alignment horizontal="center"/>
    </xf>
    <xf numFmtId="0" fontId="31" fillId="0" borderId="0" xfId="3" applyFont="1"/>
    <xf numFmtId="0" fontId="31" fillId="0" borderId="2" xfId="3" applyFont="1" applyBorder="1" applyAlignment="1">
      <alignment horizontal="left"/>
    </xf>
    <xf numFmtId="40" fontId="31" fillId="0" borderId="2" xfId="3" applyNumberFormat="1" applyFont="1" applyBorder="1"/>
    <xf numFmtId="8" fontId="6" fillId="0" borderId="0" xfId="3" applyNumberFormat="1" applyFont="1" applyAlignment="1">
      <alignment horizontal="center"/>
    </xf>
    <xf numFmtId="0" fontId="0" fillId="0" borderId="0" xfId="0" applyAlignment="1">
      <alignment horizontal="center"/>
    </xf>
    <xf numFmtId="49" fontId="6" fillId="0" borderId="0" xfId="4" applyNumberFormat="1" applyAlignment="1">
      <alignment horizontal="left" vertical="center"/>
    </xf>
    <xf numFmtId="164" fontId="6" fillId="0" borderId="0" xfId="4" applyNumberFormat="1" applyAlignment="1">
      <alignment horizontal="center" vertical="center"/>
    </xf>
    <xf numFmtId="1" fontId="6" fillId="0" borderId="0" xfId="4" applyNumberFormat="1" applyAlignment="1">
      <alignment horizontal="center" vertical="center"/>
    </xf>
    <xf numFmtId="0" fontId="12" fillId="0" borderId="0" xfId="4" applyFont="1"/>
    <xf numFmtId="49" fontId="12" fillId="0" borderId="0" xfId="4" applyNumberFormat="1" applyFont="1" applyAlignment="1">
      <alignment horizontal="left"/>
    </xf>
    <xf numFmtId="164" fontId="31" fillId="0" borderId="0" xfId="0" applyNumberFormat="1" applyFont="1"/>
    <xf numFmtId="0" fontId="31" fillId="0" borderId="0" xfId="4" applyFont="1"/>
    <xf numFmtId="0" fontId="12" fillId="0" borderId="0" xfId="4" applyFont="1" applyAlignment="1">
      <alignment horizontal="right"/>
    </xf>
    <xf numFmtId="40" fontId="32" fillId="0" borderId="0" xfId="4" applyNumberFormat="1" applyFont="1"/>
    <xf numFmtId="164" fontId="12" fillId="0" borderId="0" xfId="4" applyNumberFormat="1" applyFont="1" applyAlignment="1">
      <alignment horizontal="left"/>
    </xf>
    <xf numFmtId="49" fontId="12" fillId="0" borderId="1" xfId="4" applyNumberFormat="1" applyFont="1" applyBorder="1" applyAlignment="1">
      <alignment horizontal="center" wrapText="1"/>
    </xf>
    <xf numFmtId="164" fontId="12" fillId="0" borderId="1" xfId="4" applyNumberFormat="1" applyFont="1" applyBorder="1" applyAlignment="1">
      <alignment horizontal="center"/>
    </xf>
    <xf numFmtId="0" fontId="12" fillId="0" borderId="1" xfId="4" applyFont="1" applyBorder="1" applyAlignment="1">
      <alignment horizontal="center"/>
    </xf>
    <xf numFmtId="40" fontId="12" fillId="0" borderId="1" xfId="4" applyNumberFormat="1" applyFont="1" applyBorder="1" applyAlignment="1">
      <alignment horizontal="center" wrapText="1"/>
    </xf>
    <xf numFmtId="49" fontId="16" fillId="0" borderId="0" xfId="4" applyNumberFormat="1" applyFont="1"/>
    <xf numFmtId="164" fontId="16" fillId="0" borderId="0" xfId="4" applyNumberFormat="1" applyFont="1" applyAlignment="1">
      <alignment horizontal="center"/>
    </xf>
    <xf numFmtId="164" fontId="16" fillId="0" borderId="0" xfId="4" applyNumberFormat="1" applyFont="1" applyAlignment="1">
      <alignment horizontal="left"/>
    </xf>
    <xf numFmtId="4" fontId="14" fillId="0" borderId="0" xfId="4" applyNumberFormat="1" applyFont="1" applyAlignment="1">
      <alignment horizontal="center"/>
    </xf>
    <xf numFmtId="4" fontId="16" fillId="0" borderId="0" xfId="4" applyNumberFormat="1" applyFont="1" applyAlignment="1">
      <alignment horizontal="center"/>
    </xf>
    <xf numFmtId="4" fontId="16" fillId="0" borderId="0" xfId="4" applyNumberFormat="1" applyFont="1"/>
    <xf numFmtId="164" fontId="16" fillId="0" borderId="0" xfId="0" applyNumberFormat="1" applyFont="1" applyAlignment="1">
      <alignment horizontal="center"/>
    </xf>
    <xf numFmtId="4" fontId="14" fillId="0" borderId="0" xfId="4" applyNumberFormat="1" applyFont="1"/>
    <xf numFmtId="0" fontId="16" fillId="0" borderId="0" xfId="4" applyFont="1" applyAlignment="1">
      <alignment horizontal="left"/>
    </xf>
    <xf numFmtId="164" fontId="16" fillId="0" borderId="0" xfId="4" applyNumberFormat="1" applyFont="1"/>
    <xf numFmtId="164" fontId="14" fillId="0" borderId="0" xfId="4" applyNumberFormat="1" applyFont="1" applyAlignment="1">
      <alignment horizontal="left"/>
    </xf>
    <xf numFmtId="164" fontId="14" fillId="0" borderId="2" xfId="4" applyNumberFormat="1" applyFont="1" applyBorder="1"/>
    <xf numFmtId="44" fontId="14" fillId="0" borderId="2" xfId="2" applyFont="1" applyBorder="1"/>
    <xf numFmtId="43" fontId="16" fillId="0" borderId="0" xfId="1" applyFont="1"/>
    <xf numFmtId="164" fontId="14" fillId="0" borderId="0" xfId="4" applyNumberFormat="1" applyFont="1"/>
    <xf numFmtId="44" fontId="14" fillId="0" borderId="0" xfId="2" applyFont="1"/>
    <xf numFmtId="40" fontId="16" fillId="0" borderId="0" xfId="4" applyNumberFormat="1" applyFont="1"/>
    <xf numFmtId="164" fontId="12" fillId="0" borderId="1" xfId="4" applyNumberFormat="1" applyFont="1" applyBorder="1" applyAlignment="1">
      <alignment horizontal="center" wrapText="1"/>
    </xf>
    <xf numFmtId="49" fontId="16" fillId="0" borderId="0" xfId="4" applyNumberFormat="1" applyFont="1" applyAlignment="1">
      <alignment horizontal="center"/>
    </xf>
    <xf numFmtId="0" fontId="16" fillId="0" borderId="0" xfId="0" applyFont="1"/>
    <xf numFmtId="49" fontId="12" fillId="0" borderId="0" xfId="4" applyNumberFormat="1" applyFont="1"/>
    <xf numFmtId="49" fontId="16" fillId="0" borderId="0" xfId="4" applyNumberFormat="1" applyFont="1" applyAlignment="1">
      <alignment horizontal="left"/>
    </xf>
    <xf numFmtId="40" fontId="16" fillId="0" borderId="0" xfId="4" quotePrefix="1" applyNumberFormat="1" applyFont="1"/>
    <xf numFmtId="49" fontId="14" fillId="0" borderId="0" xfId="4" applyNumberFormat="1" applyFont="1"/>
    <xf numFmtId="0" fontId="14" fillId="0" borderId="2" xfId="4" applyFont="1" applyBorder="1"/>
    <xf numFmtId="40" fontId="14" fillId="0" borderId="2" xfId="4" applyNumberFormat="1" applyFont="1" applyBorder="1"/>
    <xf numFmtId="0" fontId="6" fillId="0" borderId="5" xfId="5" applyFont="1" applyBorder="1" applyAlignment="1">
      <alignment horizontal="center" vertical="center"/>
    </xf>
    <xf numFmtId="49" fontId="6" fillId="0" borderId="5" xfId="5" applyNumberFormat="1" applyFont="1" applyBorder="1" applyAlignment="1">
      <alignment horizontal="center" vertical="center"/>
    </xf>
    <xf numFmtId="0" fontId="6" fillId="0" borderId="5" xfId="5" applyFont="1" applyBorder="1" applyAlignment="1">
      <alignment vertical="center"/>
    </xf>
    <xf numFmtId="40" fontId="6" fillId="0" borderId="5" xfId="5" applyNumberFormat="1" applyFont="1" applyBorder="1" applyAlignment="1">
      <alignment horizontal="center" vertical="center"/>
    </xf>
    <xf numFmtId="39" fontId="6" fillId="0" borderId="5" xfId="2" applyNumberFormat="1" applyFont="1" applyFill="1" applyBorder="1" applyAlignment="1">
      <alignment horizontal="center" vertical="center"/>
    </xf>
    <xf numFmtId="40" fontId="24" fillId="0" borderId="5" xfId="5" applyNumberFormat="1" applyFont="1" applyBorder="1" applyAlignment="1">
      <alignment horizontal="center" vertical="center" wrapText="1"/>
    </xf>
    <xf numFmtId="0" fontId="20" fillId="0" borderId="0" xfId="0" applyFont="1" applyAlignment="1">
      <alignment vertical="center"/>
    </xf>
    <xf numFmtId="0" fontId="0" fillId="0" borderId="0" xfId="0" applyAlignment="1">
      <alignment vertical="center"/>
    </xf>
    <xf numFmtId="0" fontId="6" fillId="0" borderId="5" xfId="5" applyFont="1" applyBorder="1" applyAlignment="1">
      <alignment vertical="center" wrapText="1"/>
    </xf>
    <xf numFmtId="8" fontId="6" fillId="0" borderId="5" xfId="2" applyNumberFormat="1" applyFont="1" applyFill="1" applyBorder="1" applyAlignment="1">
      <alignment horizontal="center" vertical="center"/>
    </xf>
    <xf numFmtId="4" fontId="20" fillId="0" borderId="0" xfId="0" applyNumberFormat="1" applyFont="1" applyAlignment="1">
      <alignment vertical="center"/>
    </xf>
    <xf numFmtId="0" fontId="33" fillId="6" borderId="12" xfId="0" applyFont="1" applyFill="1" applyBorder="1" applyAlignment="1">
      <alignment vertical="center" wrapText="1"/>
    </xf>
    <xf numFmtId="0" fontId="14" fillId="0" borderId="5" xfId="5" applyFont="1" applyBorder="1" applyAlignment="1">
      <alignment horizontal="center" vertical="center"/>
    </xf>
    <xf numFmtId="0" fontId="3" fillId="0" borderId="5" xfId="0" applyFont="1" applyBorder="1" applyAlignment="1">
      <alignment horizontal="center" vertical="center"/>
    </xf>
    <xf numFmtId="49" fontId="6" fillId="0" borderId="0" xfId="4" applyNumberFormat="1" applyAlignment="1">
      <alignment vertical="center"/>
    </xf>
    <xf numFmtId="164" fontId="6" fillId="0" borderId="0" xfId="4" applyNumberFormat="1" applyAlignment="1">
      <alignment horizontal="left" vertical="center"/>
    </xf>
    <xf numFmtId="4" fontId="29" fillId="0" borderId="0" xfId="4" applyNumberFormat="1" applyFont="1" applyAlignment="1">
      <alignment horizontal="center" vertical="center"/>
    </xf>
    <xf numFmtId="4" fontId="6" fillId="0" borderId="0" xfId="4" applyNumberFormat="1" applyAlignment="1">
      <alignment horizontal="center" vertical="center"/>
    </xf>
    <xf numFmtId="4" fontId="6" fillId="0" borderId="0" xfId="4" applyNumberFormat="1" applyAlignment="1">
      <alignment vertical="center"/>
    </xf>
    <xf numFmtId="0" fontId="17" fillId="0" borderId="0" xfId="4" applyFont="1" applyAlignment="1">
      <alignment vertical="center"/>
    </xf>
    <xf numFmtId="164" fontId="6" fillId="0" borderId="0" xfId="0" applyNumberFormat="1" applyFont="1" applyAlignment="1">
      <alignment horizontal="center" vertical="center"/>
    </xf>
    <xf numFmtId="4" fontId="29" fillId="0" borderId="0" xfId="4" applyNumberFormat="1" applyFont="1" applyAlignment="1">
      <alignment vertical="center"/>
    </xf>
    <xf numFmtId="4" fontId="3" fillId="0" borderId="0" xfId="4" applyNumberFormat="1" applyFont="1" applyAlignment="1">
      <alignment vertical="center"/>
    </xf>
    <xf numFmtId="0" fontId="6" fillId="0" borderId="0" xfId="4" applyAlignment="1">
      <alignment horizontal="left" vertical="center"/>
    </xf>
    <xf numFmtId="164" fontId="6" fillId="0" borderId="0" xfId="4" applyNumberFormat="1" applyAlignment="1">
      <alignment vertical="center"/>
    </xf>
    <xf numFmtId="49" fontId="6" fillId="0" borderId="0" xfId="4" applyNumberFormat="1" applyAlignment="1">
      <alignment horizontal="center" vertical="center"/>
    </xf>
    <xf numFmtId="40" fontId="3" fillId="0" borderId="0" xfId="4" applyNumberFormat="1" applyFont="1" applyAlignment="1">
      <alignment vertical="center"/>
    </xf>
    <xf numFmtId="164" fontId="3" fillId="0" borderId="0" xfId="4" applyNumberFormat="1" applyFont="1" applyAlignment="1">
      <alignment horizontal="left" vertical="center"/>
    </xf>
    <xf numFmtId="164" fontId="3" fillId="0" borderId="2" xfId="4" applyNumberFormat="1" applyFont="1" applyBorder="1" applyAlignment="1">
      <alignment vertical="center"/>
    </xf>
    <xf numFmtId="44" fontId="3" fillId="0" borderId="2" xfId="2" applyFont="1" applyBorder="1" applyAlignment="1">
      <alignment vertical="center"/>
    </xf>
    <xf numFmtId="0" fontId="3" fillId="0" borderId="0" xfId="3" applyFont="1" applyAlignment="1">
      <alignment vertical="center"/>
    </xf>
    <xf numFmtId="0" fontId="6" fillId="0" borderId="0" xfId="3" applyFont="1" applyAlignment="1">
      <alignment vertical="center"/>
    </xf>
    <xf numFmtId="0" fontId="6" fillId="0" borderId="0" xfId="3" applyFont="1" applyAlignment="1">
      <alignment horizontal="center" vertical="center"/>
    </xf>
    <xf numFmtId="4" fontId="6" fillId="0" borderId="0" xfId="3" applyNumberFormat="1" applyFont="1" applyAlignment="1">
      <alignment horizontal="center" vertical="center"/>
    </xf>
    <xf numFmtId="40" fontId="6" fillId="0" borderId="0" xfId="3" applyNumberFormat="1" applyFont="1" applyAlignment="1">
      <alignment vertical="center"/>
    </xf>
    <xf numFmtId="40" fontId="6" fillId="0" borderId="0" xfId="3" applyNumberFormat="1" applyFont="1" applyAlignment="1">
      <alignment horizontal="center" vertical="center"/>
    </xf>
    <xf numFmtId="40" fontId="6" fillId="0" borderId="0" xfId="4" applyNumberFormat="1" applyAlignment="1">
      <alignment horizontal="center" vertical="center"/>
    </xf>
    <xf numFmtId="164" fontId="18" fillId="0" borderId="0" xfId="4" applyNumberFormat="1" applyFont="1" applyAlignment="1">
      <alignment vertical="center"/>
    </xf>
    <xf numFmtId="43" fontId="18" fillId="0" borderId="0" xfId="1" applyFont="1" applyAlignment="1">
      <alignment vertical="center"/>
    </xf>
    <xf numFmtId="164" fontId="22" fillId="0" borderId="0" xfId="4" applyNumberFormat="1" applyFont="1" applyAlignment="1">
      <alignment vertical="center"/>
    </xf>
    <xf numFmtId="44" fontId="22" fillId="0" borderId="2" xfId="2" applyFont="1" applyBorder="1" applyAlignment="1">
      <alignment vertical="center"/>
    </xf>
    <xf numFmtId="44" fontId="22" fillId="0" borderId="0" xfId="2" applyFont="1" applyAlignment="1">
      <alignment vertical="center"/>
    </xf>
    <xf numFmtId="0" fontId="6" fillId="0" borderId="0" xfId="4" applyAlignment="1">
      <alignment vertical="center"/>
    </xf>
    <xf numFmtId="40" fontId="6" fillId="0" borderId="0" xfId="4" quotePrefix="1" applyNumberFormat="1" applyAlignment="1">
      <alignment vertical="center"/>
    </xf>
    <xf numFmtId="40" fontId="6" fillId="0" borderId="0" xfId="4" applyNumberFormat="1" applyAlignment="1">
      <alignment vertical="center"/>
    </xf>
    <xf numFmtId="0" fontId="3" fillId="0" borderId="0" xfId="4" applyFont="1" applyAlignment="1">
      <alignment vertical="center"/>
    </xf>
    <xf numFmtId="49" fontId="3" fillId="0" borderId="0" xfId="4" applyNumberFormat="1" applyFont="1" applyAlignment="1">
      <alignment vertical="center"/>
    </xf>
    <xf numFmtId="164" fontId="3" fillId="0" borderId="0" xfId="4" applyNumberFormat="1" applyFont="1" applyAlignment="1">
      <alignment vertical="center"/>
    </xf>
    <xf numFmtId="0" fontId="3" fillId="0" borderId="2" xfId="4" applyFont="1" applyBorder="1" applyAlignment="1">
      <alignment vertical="center"/>
    </xf>
    <xf numFmtId="40" fontId="3" fillId="0" borderId="2" xfId="4" applyNumberFormat="1" applyFont="1" applyBorder="1" applyAlignment="1">
      <alignment vertical="center"/>
    </xf>
    <xf numFmtId="4" fontId="3" fillId="0" borderId="0" xfId="4" applyNumberFormat="1" applyFont="1" applyAlignment="1">
      <alignment horizontal="center" vertical="center"/>
    </xf>
    <xf numFmtId="8" fontId="6" fillId="0" borderId="0" xfId="3" applyNumberFormat="1" applyFont="1" applyAlignment="1">
      <alignment horizontal="center" vertical="center"/>
    </xf>
    <xf numFmtId="0" fontId="6" fillId="0" borderId="0" xfId="4" applyAlignment="1">
      <alignment horizontal="center"/>
    </xf>
    <xf numFmtId="43" fontId="18" fillId="0" borderId="0" xfId="1" applyFont="1" applyAlignment="1"/>
    <xf numFmtId="43" fontId="18" fillId="0" borderId="0" xfId="1" applyFont="1" applyBorder="1" applyAlignment="1">
      <alignment vertical="center"/>
    </xf>
    <xf numFmtId="44" fontId="22" fillId="0" borderId="0" xfId="2" applyFont="1" applyBorder="1" applyAlignment="1">
      <alignment vertical="center"/>
    </xf>
    <xf numFmtId="40" fontId="6" fillId="0" borderId="0" xfId="4" applyNumberFormat="1" applyAlignment="1">
      <alignment horizontal="left" vertical="center"/>
    </xf>
    <xf numFmtId="0" fontId="14" fillId="0" borderId="0" xfId="3" applyFont="1" applyAlignment="1">
      <alignment vertical="center"/>
    </xf>
    <xf numFmtId="0" fontId="34" fillId="0" borderId="0" xfId="0" applyFont="1"/>
    <xf numFmtId="49" fontId="16" fillId="0" borderId="0" xfId="4" applyNumberFormat="1" applyFont="1" applyAlignment="1">
      <alignment vertical="center"/>
    </xf>
    <xf numFmtId="164" fontId="16" fillId="0" borderId="0" xfId="4" applyNumberFormat="1" applyFont="1" applyAlignment="1">
      <alignment horizontal="center" vertical="center"/>
    </xf>
    <xf numFmtId="164" fontId="16" fillId="0" borderId="0" xfId="4" applyNumberFormat="1" applyFont="1" applyAlignment="1">
      <alignment horizontal="left" vertical="center"/>
    </xf>
    <xf numFmtId="4" fontId="14" fillId="0" borderId="0" xfId="4" applyNumberFormat="1" applyFont="1" applyAlignment="1">
      <alignment horizontal="center" vertical="center"/>
    </xf>
    <xf numFmtId="4" fontId="16" fillId="0" borderId="0" xfId="4" applyNumberFormat="1" applyFont="1" applyAlignment="1">
      <alignment horizontal="center" vertical="center"/>
    </xf>
    <xf numFmtId="4" fontId="16" fillId="0" borderId="0" xfId="4" applyNumberFormat="1" applyFont="1" applyAlignment="1">
      <alignment vertical="center"/>
    </xf>
    <xf numFmtId="0" fontId="16" fillId="0" borderId="0" xfId="4" applyFont="1" applyAlignment="1">
      <alignment vertical="center"/>
    </xf>
    <xf numFmtId="0" fontId="34" fillId="0" borderId="0" xfId="0" applyFont="1" applyAlignment="1">
      <alignment vertical="center"/>
    </xf>
    <xf numFmtId="164" fontId="16" fillId="0" borderId="0" xfId="0" applyNumberFormat="1" applyFont="1" applyAlignment="1">
      <alignment horizontal="center" vertical="center"/>
    </xf>
    <xf numFmtId="4" fontId="14" fillId="0" borderId="0" xfId="4" applyNumberFormat="1" applyFont="1" applyAlignment="1">
      <alignment vertical="center"/>
    </xf>
    <xf numFmtId="40" fontId="14" fillId="0" borderId="0" xfId="4" applyNumberFormat="1" applyFont="1" applyAlignment="1">
      <alignment horizontal="center" vertical="center"/>
    </xf>
    <xf numFmtId="0" fontId="16" fillId="0" borderId="0" xfId="4" applyFont="1" applyAlignment="1">
      <alignment horizontal="left" vertical="center"/>
    </xf>
    <xf numFmtId="164" fontId="16" fillId="0" borderId="0" xfId="4" applyNumberFormat="1" applyFont="1" applyAlignment="1">
      <alignment vertical="center"/>
    </xf>
    <xf numFmtId="164" fontId="14" fillId="0" borderId="0" xfId="4" applyNumberFormat="1" applyFont="1" applyAlignment="1">
      <alignment horizontal="left" vertical="center"/>
    </xf>
    <xf numFmtId="164" fontId="14" fillId="0" borderId="2" xfId="4" applyNumberFormat="1" applyFont="1" applyBorder="1" applyAlignment="1">
      <alignment vertical="center"/>
    </xf>
    <xf numFmtId="44" fontId="14" fillId="0" borderId="2" xfId="2" applyFont="1" applyBorder="1" applyAlignment="1">
      <alignment vertical="center"/>
    </xf>
    <xf numFmtId="0" fontId="14" fillId="0" borderId="0" xfId="4" applyFont="1" applyAlignment="1">
      <alignment vertical="center"/>
    </xf>
    <xf numFmtId="43" fontId="16" fillId="0" borderId="0" xfId="1" applyFont="1" applyAlignment="1">
      <alignment vertical="center"/>
    </xf>
    <xf numFmtId="164" fontId="14" fillId="0" borderId="0" xfId="4" applyNumberFormat="1" applyFont="1" applyAlignment="1">
      <alignment vertical="center"/>
    </xf>
    <xf numFmtId="44" fontId="14" fillId="0" borderId="0" xfId="2" applyFont="1" applyAlignment="1">
      <alignment vertical="center"/>
    </xf>
    <xf numFmtId="40" fontId="35" fillId="0" borderId="0" xfId="4" applyNumberFormat="1" applyFont="1"/>
    <xf numFmtId="44" fontId="3" fillId="0" borderId="0" xfId="2" applyFont="1" applyAlignment="1">
      <alignment vertical="center"/>
    </xf>
    <xf numFmtId="4" fontId="36" fillId="0" borderId="0" xfId="4" applyNumberFormat="1" applyFont="1" applyAlignment="1">
      <alignment vertical="center"/>
    </xf>
    <xf numFmtId="0" fontId="36" fillId="0" borderId="0" xfId="4" applyFont="1" applyAlignment="1">
      <alignment vertical="center"/>
    </xf>
    <xf numFmtId="0" fontId="37" fillId="0" borderId="0" xfId="0" applyFont="1"/>
    <xf numFmtId="40" fontId="20" fillId="0" borderId="0" xfId="0" applyNumberFormat="1" applyFont="1" applyAlignment="1">
      <alignment vertical="center"/>
    </xf>
    <xf numFmtId="40" fontId="16" fillId="0" borderId="0" xfId="1" applyNumberFormat="1" applyFont="1" applyAlignment="1">
      <alignment vertical="center"/>
    </xf>
    <xf numFmtId="4" fontId="22" fillId="0" borderId="0" xfId="4" applyNumberFormat="1" applyFont="1" applyAlignment="1">
      <alignment vertical="center"/>
    </xf>
    <xf numFmtId="4" fontId="29" fillId="0" borderId="0" xfId="4" applyNumberFormat="1" applyFont="1" applyAlignment="1">
      <alignment horizontal="right" vertical="center"/>
    </xf>
    <xf numFmtId="49" fontId="16" fillId="0" borderId="0" xfId="4" applyNumberFormat="1" applyFont="1" applyAlignment="1">
      <alignment horizontal="center" vertical="center"/>
    </xf>
    <xf numFmtId="49" fontId="16" fillId="0" borderId="0" xfId="4" applyNumberFormat="1" applyFont="1" applyAlignment="1">
      <alignment horizontal="left" vertical="center"/>
    </xf>
    <xf numFmtId="0" fontId="16" fillId="0" borderId="0" xfId="0" applyFont="1" applyAlignment="1">
      <alignment vertical="center"/>
    </xf>
    <xf numFmtId="40" fontId="14" fillId="0" borderId="0" xfId="4" applyNumberFormat="1" applyFont="1" applyAlignment="1">
      <alignment vertical="center"/>
    </xf>
    <xf numFmtId="0" fontId="16" fillId="0" borderId="0" xfId="4" applyFont="1" applyAlignment="1">
      <alignment horizontal="center"/>
    </xf>
    <xf numFmtId="0" fontId="16" fillId="0" borderId="0" xfId="3" applyFont="1" applyAlignment="1">
      <alignment vertical="center"/>
    </xf>
    <xf numFmtId="8" fontId="16" fillId="0" borderId="0" xfId="3" applyNumberFormat="1" applyFont="1" applyAlignment="1">
      <alignment horizontal="center" vertical="center"/>
    </xf>
    <xf numFmtId="4" fontId="16" fillId="0" borderId="0" xfId="3" applyNumberFormat="1" applyFont="1" applyAlignment="1">
      <alignment horizontal="center" vertical="center"/>
    </xf>
    <xf numFmtId="40" fontId="16" fillId="0" borderId="0" xfId="3" applyNumberFormat="1" applyFont="1" applyAlignment="1">
      <alignment vertical="center"/>
    </xf>
    <xf numFmtId="0" fontId="16" fillId="0" borderId="0" xfId="3" applyFont="1" applyAlignment="1">
      <alignment horizontal="center" vertical="center"/>
    </xf>
    <xf numFmtId="40" fontId="16" fillId="0" borderId="0" xfId="3" applyNumberFormat="1" applyFont="1" applyAlignment="1">
      <alignment horizontal="center" vertical="center"/>
    </xf>
    <xf numFmtId="40" fontId="16" fillId="0" borderId="0" xfId="4" applyNumberFormat="1" applyFont="1" applyAlignment="1">
      <alignment horizontal="center" vertical="center"/>
    </xf>
    <xf numFmtId="0" fontId="38" fillId="0" borderId="0" xfId="0" applyFont="1"/>
    <xf numFmtId="40" fontId="6" fillId="0" borderId="0" xfId="4" quotePrefix="1" applyNumberFormat="1" applyAlignment="1">
      <alignment horizontal="left" vertical="center"/>
    </xf>
    <xf numFmtId="0" fontId="12" fillId="0" borderId="1" xfId="4" applyFont="1" applyBorder="1" applyAlignment="1">
      <alignment horizontal="center" wrapText="1"/>
    </xf>
    <xf numFmtId="40" fontId="16" fillId="0" borderId="0" xfId="4" quotePrefix="1" applyNumberFormat="1" applyFont="1" applyAlignment="1">
      <alignment vertical="center"/>
    </xf>
    <xf numFmtId="40" fontId="16" fillId="0" borderId="0" xfId="4" applyNumberFormat="1" applyFont="1" applyAlignment="1">
      <alignment vertical="center"/>
    </xf>
    <xf numFmtId="49" fontId="14" fillId="0" borderId="0" xfId="4" applyNumberFormat="1" applyFont="1" applyAlignment="1">
      <alignment vertical="center"/>
    </xf>
    <xf numFmtId="0" fontId="14" fillId="0" borderId="2" xfId="4" applyFont="1" applyBorder="1" applyAlignment="1">
      <alignment vertical="center"/>
    </xf>
    <xf numFmtId="40" fontId="14" fillId="0" borderId="2" xfId="4" applyNumberFormat="1" applyFont="1" applyBorder="1" applyAlignment="1">
      <alignment vertical="center"/>
    </xf>
    <xf numFmtId="43" fontId="16" fillId="0" borderId="0" xfId="1" applyFont="1" applyBorder="1" applyAlignment="1">
      <alignment vertical="center"/>
    </xf>
    <xf numFmtId="44" fontId="14" fillId="0" borderId="0" xfId="2" applyFont="1" applyBorder="1" applyAlignment="1">
      <alignment vertical="center"/>
    </xf>
    <xf numFmtId="44" fontId="34" fillId="0" borderId="0" xfId="0" applyNumberFormat="1" applyFont="1" applyAlignment="1">
      <alignment vertical="center"/>
    </xf>
    <xf numFmtId="14" fontId="3" fillId="0" borderId="0" xfId="3" applyNumberFormat="1" applyFont="1"/>
    <xf numFmtId="49" fontId="6" fillId="0" borderId="3" xfId="4" applyNumberFormat="1" applyBorder="1" applyAlignment="1">
      <alignment vertical="center"/>
    </xf>
    <xf numFmtId="164" fontId="6" fillId="0" borderId="3" xfId="4" applyNumberFormat="1" applyBorder="1" applyAlignment="1">
      <alignment horizontal="center" vertical="center"/>
    </xf>
    <xf numFmtId="164" fontId="6" fillId="0" borderId="3" xfId="4" applyNumberFormat="1" applyBorder="1" applyAlignment="1">
      <alignment horizontal="left" vertical="center"/>
    </xf>
    <xf numFmtId="4" fontId="6" fillId="0" borderId="3" xfId="4" applyNumberFormat="1" applyBorder="1" applyAlignment="1">
      <alignment horizontal="center" vertical="center"/>
    </xf>
    <xf numFmtId="4" fontId="6" fillId="0" borderId="3" xfId="4" applyNumberFormat="1" applyBorder="1" applyAlignment="1">
      <alignment vertical="center"/>
    </xf>
    <xf numFmtId="0" fontId="36" fillId="0" borderId="3" xfId="4" applyFont="1" applyBorder="1" applyAlignment="1">
      <alignment vertical="center"/>
    </xf>
    <xf numFmtId="0" fontId="36" fillId="0" borderId="3" xfId="4" applyFont="1" applyBorder="1" applyAlignment="1">
      <alignment horizontal="right" vertical="center"/>
    </xf>
    <xf numFmtId="164" fontId="6" fillId="0" borderId="3" xfId="0" applyNumberFormat="1" applyFont="1" applyBorder="1" applyAlignment="1">
      <alignment horizontal="center" vertical="center"/>
    </xf>
    <xf numFmtId="4" fontId="36" fillId="0" borderId="3" xfId="4" applyNumberFormat="1" applyFont="1" applyBorder="1" applyAlignment="1">
      <alignment vertical="center"/>
    </xf>
    <xf numFmtId="40" fontId="14" fillId="0" borderId="3" xfId="4" applyNumberFormat="1" applyFont="1" applyBorder="1" applyAlignment="1">
      <alignment vertical="center"/>
    </xf>
    <xf numFmtId="4" fontId="29" fillId="0" borderId="3" xfId="4" applyNumberFormat="1" applyFont="1" applyBorder="1" applyAlignment="1">
      <alignment vertical="center"/>
    </xf>
    <xf numFmtId="49" fontId="6" fillId="0" borderId="13" xfId="4" applyNumberFormat="1" applyBorder="1" applyAlignment="1">
      <alignment vertical="center"/>
    </xf>
    <xf numFmtId="164" fontId="6" fillId="0" borderId="13" xfId="4" applyNumberFormat="1" applyBorder="1" applyAlignment="1">
      <alignment horizontal="center" vertical="center"/>
    </xf>
    <xf numFmtId="164" fontId="6" fillId="0" borderId="13" xfId="4" applyNumberFormat="1" applyBorder="1" applyAlignment="1">
      <alignment horizontal="left" vertical="center"/>
    </xf>
    <xf numFmtId="4" fontId="29" fillId="0" borderId="13" xfId="4" applyNumberFormat="1" applyFont="1" applyBorder="1" applyAlignment="1">
      <alignment horizontal="center" vertical="center"/>
    </xf>
    <xf numFmtId="4" fontId="6" fillId="0" borderId="13" xfId="4" applyNumberFormat="1" applyBorder="1" applyAlignment="1">
      <alignment horizontal="center" vertical="center"/>
    </xf>
    <xf numFmtId="4" fontId="6" fillId="0" borderId="13" xfId="4" applyNumberFormat="1" applyBorder="1" applyAlignment="1">
      <alignment vertical="center"/>
    </xf>
    <xf numFmtId="4" fontId="29" fillId="0" borderId="3" xfId="4" applyNumberFormat="1" applyFont="1" applyBorder="1" applyAlignment="1">
      <alignment horizontal="center" vertical="center"/>
    </xf>
    <xf numFmtId="164" fontId="6" fillId="0" borderId="3" xfId="4" applyNumberFormat="1" applyBorder="1" applyAlignment="1">
      <alignment horizontal="center"/>
    </xf>
    <xf numFmtId="164" fontId="6" fillId="0" borderId="3" xfId="4" applyNumberFormat="1" applyBorder="1" applyAlignment="1">
      <alignment horizontal="left"/>
    </xf>
    <xf numFmtId="4" fontId="6" fillId="0" borderId="3" xfId="4" applyNumberFormat="1" applyBorder="1" applyAlignment="1">
      <alignment horizontal="center"/>
    </xf>
    <xf numFmtId="4" fontId="6" fillId="0" borderId="3" xfId="4" applyNumberFormat="1" applyBorder="1"/>
    <xf numFmtId="0" fontId="38" fillId="0" borderId="3" xfId="0" applyFont="1" applyBorder="1" applyAlignment="1">
      <alignment vertical="center"/>
    </xf>
    <xf numFmtId="1" fontId="16" fillId="0" borderId="0" xfId="4" applyNumberFormat="1" applyFont="1" applyAlignment="1">
      <alignment horizontal="center" vertical="center"/>
    </xf>
    <xf numFmtId="166" fontId="14" fillId="0" borderId="0" xfId="3" applyNumberFormat="1" applyFont="1"/>
    <xf numFmtId="166" fontId="3" fillId="0" borderId="0" xfId="3" applyNumberFormat="1" applyFont="1"/>
    <xf numFmtId="40" fontId="3" fillId="0" borderId="0" xfId="4" applyNumberFormat="1" applyFont="1" applyAlignment="1">
      <alignment horizontal="center" vertical="center"/>
    </xf>
    <xf numFmtId="43" fontId="6" fillId="0" borderId="0" xfId="1" applyFont="1"/>
    <xf numFmtId="44" fontId="3" fillId="0" borderId="0" xfId="2" applyFont="1"/>
    <xf numFmtId="40" fontId="29" fillId="0" borderId="0" xfId="4" applyNumberFormat="1" applyFont="1" applyAlignment="1">
      <alignment vertical="center"/>
    </xf>
    <xf numFmtId="49" fontId="16" fillId="0" borderId="3" xfId="4" applyNumberFormat="1" applyFont="1" applyBorder="1" applyAlignment="1">
      <alignment vertical="center"/>
    </xf>
    <xf numFmtId="164" fontId="16" fillId="0" borderId="3" xfId="4" applyNumberFormat="1" applyFont="1" applyBorder="1" applyAlignment="1">
      <alignment horizontal="center" vertical="center"/>
    </xf>
    <xf numFmtId="164" fontId="16" fillId="0" borderId="3" xfId="4" applyNumberFormat="1" applyFont="1" applyBorder="1" applyAlignment="1">
      <alignment horizontal="left" vertical="center"/>
    </xf>
    <xf numFmtId="4" fontId="16" fillId="0" borderId="3" xfId="4" applyNumberFormat="1" applyFont="1" applyBorder="1" applyAlignment="1">
      <alignment horizontal="center" vertical="center"/>
    </xf>
    <xf numFmtId="4" fontId="14" fillId="0" borderId="3" xfId="4" applyNumberFormat="1" applyFont="1" applyBorder="1" applyAlignment="1">
      <alignment vertical="center"/>
    </xf>
    <xf numFmtId="4" fontId="16" fillId="0" borderId="3" xfId="4" applyNumberFormat="1" applyFont="1" applyBorder="1" applyAlignment="1">
      <alignment vertical="center"/>
    </xf>
    <xf numFmtId="0" fontId="14" fillId="0" borderId="3" xfId="4" applyFont="1" applyBorder="1" applyAlignment="1">
      <alignment vertical="center"/>
    </xf>
    <xf numFmtId="14" fontId="6" fillId="0" borderId="0" xfId="4" applyNumberFormat="1" applyAlignment="1">
      <alignment horizontal="center"/>
    </xf>
    <xf numFmtId="4" fontId="0" fillId="0" borderId="0" xfId="0" applyNumberFormat="1"/>
    <xf numFmtId="0" fontId="39" fillId="0" borderId="0" xfId="0" applyFont="1"/>
    <xf numFmtId="49" fontId="16" fillId="0" borderId="13" xfId="4" applyNumberFormat="1" applyFont="1" applyBorder="1" applyAlignment="1">
      <alignment vertical="center"/>
    </xf>
    <xf numFmtId="164" fontId="16" fillId="0" borderId="13" xfId="4" applyNumberFormat="1" applyFont="1" applyBorder="1" applyAlignment="1">
      <alignment horizontal="center" vertical="center"/>
    </xf>
    <xf numFmtId="164" fontId="16" fillId="0" borderId="13" xfId="4" applyNumberFormat="1" applyFont="1" applyBorder="1" applyAlignment="1">
      <alignment horizontal="left" vertical="center"/>
    </xf>
    <xf numFmtId="4" fontId="14" fillId="0" borderId="13" xfId="4" applyNumberFormat="1" applyFont="1" applyBorder="1" applyAlignment="1">
      <alignment horizontal="center" vertical="center"/>
    </xf>
    <xf numFmtId="4" fontId="16" fillId="0" borderId="13" xfId="4" applyNumberFormat="1" applyFont="1" applyBorder="1" applyAlignment="1">
      <alignment horizontal="center" vertical="center"/>
    </xf>
    <xf numFmtId="4" fontId="16" fillId="0" borderId="13" xfId="4" applyNumberFormat="1" applyFont="1" applyBorder="1" applyAlignment="1">
      <alignment vertical="center"/>
    </xf>
    <xf numFmtId="4" fontId="0" fillId="0" borderId="0" xfId="0" applyNumberFormat="1" applyAlignment="1">
      <alignment vertical="center"/>
    </xf>
    <xf numFmtId="0" fontId="40" fillId="5" borderId="0" xfId="0" applyFont="1" applyFill="1" applyAlignment="1">
      <alignment horizontal="center" wrapText="1"/>
    </xf>
    <xf numFmtId="14" fontId="6" fillId="0" borderId="0" xfId="3" applyNumberFormat="1" applyFont="1"/>
    <xf numFmtId="14" fontId="16" fillId="0" borderId="0" xfId="3" applyNumberFormat="1" applyFont="1"/>
    <xf numFmtId="40" fontId="6" fillId="0" borderId="0" xfId="4" applyNumberFormat="1" applyAlignment="1">
      <alignment horizontal="right" vertical="center"/>
    </xf>
  </cellXfs>
  <cellStyles count="7">
    <cellStyle name="Comma" xfId="1" builtinId="3"/>
    <cellStyle name="Currency" xfId="2" builtinId="4"/>
    <cellStyle name="Currency 2" xfId="6" xr:uid="{22775A5C-E89F-44D4-9A80-E39CF55AD25A}"/>
    <cellStyle name="Normal" xfId="0" builtinId="0"/>
    <cellStyle name="Normal 2" xfId="4" xr:uid="{27F19638-7D44-43C8-A204-F964AC5CBA9B}"/>
    <cellStyle name="Normal_CLARINDA" xfId="5" xr:uid="{8AAD15FC-EC67-45EF-94E6-501FBD44E13D}"/>
    <cellStyle name="Normal_LUCAS REMODEL FOR Dept of Comm." xfId="3" xr:uid="{2B0244D6-5D10-4DFF-B673-9140ACE28B5F}"/>
  </cellStyles>
  <dxfs count="6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styles" Target="styles.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sharedStrings" Target="sharedStrings.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microsoft.com/office/2017/10/relationships/person" Target="persons/person.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calcChain" Target="calcChain.xml"/><Relationship Id="rId3" Type="http://schemas.openxmlformats.org/officeDocument/2006/relationships/worksheet" Target="worksheets/sheet3.xml"/><Relationship Id="rId214" Type="http://schemas.openxmlformats.org/officeDocument/2006/relationships/externalLink" Target="externalLinks/externalLink2.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theme" Target="theme/theme1.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externalLink" Target="externalLinks/externalLink1.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18</xdr:col>
      <xdr:colOff>495300</xdr:colOff>
      <xdr:row>23</xdr:row>
      <xdr:rowOff>87630</xdr:rowOff>
    </xdr:to>
    <xdr:pic>
      <xdr:nvPicPr>
        <xdr:cNvPr id="4" name="Picture 1">
          <a:extLst>
            <a:ext uri="{FF2B5EF4-FFF2-40B4-BE49-F238E27FC236}">
              <a16:creationId xmlns:a16="http://schemas.microsoft.com/office/drawing/2014/main" id="{0D1F59B0-9349-4F55-BDF0-55794F75B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11468100" cy="42786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xdr:row>
      <xdr:rowOff>0</xdr:rowOff>
    </xdr:from>
    <xdr:to>
      <xdr:col>18</xdr:col>
      <xdr:colOff>91440</xdr:colOff>
      <xdr:row>67</xdr:row>
      <xdr:rowOff>95250</xdr:rowOff>
    </xdr:to>
    <xdr:pic>
      <xdr:nvPicPr>
        <xdr:cNvPr id="5" name="Picture 2">
          <a:extLst>
            <a:ext uri="{FF2B5EF4-FFF2-40B4-BE49-F238E27FC236}">
              <a16:creationId xmlns:a16="http://schemas.microsoft.com/office/drawing/2014/main" id="{92184267-723A-48F5-8B31-3CB0FCF272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762500"/>
          <a:ext cx="11064240" cy="809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OU%20Project%20Improvements%20(DA27)%200506/MOU%20Project%20Improvements%20DA27.xlsx" TargetMode="External"/><Relationship Id="rId2" Type="http://schemas.openxmlformats.org/officeDocument/2006/relationships/externalLinkPath" Target="file:///N:\DAS%20Shared%20Perm\GSE%20Infrastructure\MOU%20Project%20Improvements%20(DA27)%200506\MOU%20Project%20Improvements%20DA27.xlsx" TargetMode="External"/><Relationship Id="rId1" Type="http://schemas.openxmlformats.org/officeDocument/2006/relationships/externalLinkPath" Target="/DAS%20Shared%20Perm/GSE%20Infrastructure/MOU%20Project%20Improvements%20(DA27)%200506/MOU%20Project%20Improvements%20DA27.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WebMaster/Financials/Major-Maintenance-FY26-MM26.xlsx" TargetMode="External"/><Relationship Id="rId2" Type="http://schemas.openxmlformats.org/officeDocument/2006/relationships/externalLinkPath" Target="file:///N:\DAS%20Shared%20Perm\WebMaster\Financials\Major-Maintenance-FY26-MM26.xlsx" TargetMode="External"/><Relationship Id="rId1" Type="http://schemas.openxmlformats.org/officeDocument/2006/relationships/externalLinkPath" Target="/DAS%20Shared%20Perm/WebMaster/Financials/Major-Maintenance-FY26-MM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INANCIAL"/>
      <sheetName val="RECAP #9455.00"/>
      <sheetName val="#9455.00 Funds Rec'd "/>
      <sheetName val="#9455.00 OPN Architects"/>
      <sheetName val="#9455.00 PM TIME"/>
      <sheetName val="#9455.00 Misc"/>
      <sheetName val="#9455.00 Samuels Group"/>
      <sheetName val="#9455.00 McKinnis"/>
      <sheetName val="RECAP #9516.01"/>
      <sheetName val="#9516.01 Funds Rec'd "/>
      <sheetName val="#9516.01 Bergstrom Construction"/>
      <sheetName val="#9516.01 PM TIME"/>
      <sheetName val="#9516.01 Misc"/>
      <sheetName val="#9516.01 Proctor Mechanical"/>
      <sheetName val="#9516.01 Mahoney Fire"/>
      <sheetName val="#9516.01 Waldinger Electrical"/>
      <sheetName val="#9516.01 Paragon Interiors "/>
      <sheetName val="#9516.01 DCI Group"/>
      <sheetName val="#9516.01 CTI"/>
      <sheetName val="RECAP #9522.00"/>
      <sheetName val="#9522.00 Funds Rec'd "/>
      <sheetName val="#9522.00 Vendor A"/>
      <sheetName val="#9522.00 PM TIME"/>
      <sheetName val="#9522.00 Misc"/>
      <sheetName val="RECAP #9534.01"/>
      <sheetName val="#9534.01 Funds Rec'd "/>
      <sheetName val="#9534.01 Absolute Group"/>
      <sheetName val="#9534.01 PM TIME"/>
      <sheetName val="#9534.01 Misc"/>
      <sheetName val="#9534.01 Samuels Group"/>
      <sheetName val="RECAP #9543.00"/>
      <sheetName val="#9543.00 Funds Rec'd"/>
      <sheetName val="#9543.00 McGough Construction"/>
      <sheetName val="#9543.00 PM TIME"/>
      <sheetName val="#9543.00 Misc"/>
      <sheetName val="RECAP #9545.00"/>
      <sheetName val="#9545.00 Funds Rec'd "/>
      <sheetName val="#9545.00 Story Construction"/>
      <sheetName val="#9545.00 PM TIME"/>
      <sheetName val="#9545.00 Misc"/>
      <sheetName val="#9545.00 Innovative Engineers"/>
      <sheetName val="RECAP #9546.00"/>
      <sheetName val="#9546.00 Funds Rec'd"/>
      <sheetName val="#9546.00 Samuels Group"/>
      <sheetName val="#9546.00 PM TIME"/>
      <sheetName val="#9546.00 Misc"/>
      <sheetName val="RECAP #9571.00"/>
      <sheetName val="#9571.00 Funds Rec'd "/>
      <sheetName val="#9571.00 Vendor A"/>
      <sheetName val="#9571.00 PM TIME"/>
      <sheetName val="#9571.00 Misc"/>
      <sheetName val=" Funds Rec'd Incorrectly"/>
      <sheetName val="RECAP #XXXX.XX "/>
      <sheetName val="#xxxx.xx Funds Rec'd "/>
      <sheetName val="#xxxx.xx Vendor A "/>
      <sheetName val="#xxxx.xx PM TIME "/>
      <sheetName val="#xxxx.xx Misc"/>
    </sheetNames>
    <sheetDataSet>
      <sheetData sheetId="0">
        <row r="3">
          <cell r="D3">
            <v>7429627.9699999997</v>
          </cell>
        </row>
      </sheetData>
      <sheetData sheetId="1"/>
      <sheetData sheetId="2"/>
      <sheetData sheetId="3"/>
      <sheetData sheetId="4"/>
      <sheetData sheetId="5"/>
      <sheetData sheetId="6">
        <row r="23">
          <cell r="D23">
            <v>683763.29</v>
          </cell>
          <cell r="F23">
            <v>37935.600000000006</v>
          </cell>
          <cell r="H23">
            <v>645827.69000000006</v>
          </cell>
        </row>
      </sheetData>
      <sheetData sheetId="7">
        <row r="28">
          <cell r="D28">
            <v>4887544.8899999997</v>
          </cell>
          <cell r="F28">
            <v>155808.35</v>
          </cell>
          <cell r="H28">
            <v>4731736.54</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anguage"/>
      <sheetName val="FINANCIAL"/>
      <sheetName val="RECAP #9997.26"/>
      <sheetName val="#9997.26 PM TIME "/>
      <sheetName val="RECAP #9440.01"/>
      <sheetName val="#9440.01 DCI Group"/>
      <sheetName val="#9440.01 PM TIME "/>
      <sheetName val="#9440.01 Misc "/>
      <sheetName val="#9440.01 OPN Architects"/>
      <sheetName val="#9440.01 DCI Group (2)"/>
      <sheetName val="#9440.01 Bergstrom Construction"/>
      <sheetName val="#9440.01 VanMaanen Electric"/>
      <sheetName val="#9440.01 Schumacher Elevator"/>
      <sheetName val="RECAP #9455.00"/>
      <sheetName val="#9455.00 McKinnis Roofing"/>
      <sheetName val="#9455.00 PM TIME "/>
      <sheetName val="#9455.00 Misc"/>
      <sheetName val="#9455.00 Samuels Group"/>
      <sheetName val="RECAP #9483.00"/>
      <sheetName val="#9483.00 DCI Group"/>
      <sheetName val="#9483.00 PM TIME"/>
      <sheetName val="#9483.00 Misc"/>
      <sheetName val="#9483.00 Genesis Architectural"/>
      <sheetName val="#9483.00 Academy Roofing"/>
      <sheetName val="#9483.00 DCI Group (2)"/>
      <sheetName val="RECAP #9484.00"/>
      <sheetName val="#9484.00 DCI Group"/>
      <sheetName val="#9484.00 PM TIME"/>
      <sheetName val="#9484.00 Misc"/>
      <sheetName val="#9484.00 OPN Architects"/>
      <sheetName val="#9484.00 GTG Construction"/>
      <sheetName val="#9484.00 Schumacher Elevator"/>
      <sheetName val="#9484.00 DCI Group (2)"/>
      <sheetName val="#9484.00 J.Pettiecord"/>
      <sheetName val="RECAP #9491.00"/>
      <sheetName val="#9491.00 DCI Group"/>
      <sheetName val="#9491.00 PM TIME "/>
      <sheetName val="#9491.00 Misc "/>
      <sheetName val="#9491.00 KCL Engineering"/>
      <sheetName val="#9491.00 Modern Piping Service"/>
      <sheetName val="#9491.00 DCI Group (2)"/>
      <sheetName val="RECAP #9494.00"/>
      <sheetName val="#9494.00 Vendor A "/>
      <sheetName val="#9494.00 PM TIME"/>
      <sheetName val="#9494.00 Misc "/>
      <sheetName val="RECAP #9495.00"/>
      <sheetName val="#9495.00 Vendor A "/>
      <sheetName val="#9495.00 PM TIME "/>
      <sheetName val="#9495.00 Misc"/>
      <sheetName val="RECAP #9496.00"/>
      <sheetName val="#9496.00 McGough Construction"/>
      <sheetName val="#9496.00 PM TIME"/>
      <sheetName val="#9496.00 Misc"/>
      <sheetName val="#9496.00 CMB Architects"/>
      <sheetName val="#9496.00 McGough Constructi (2)"/>
      <sheetName val="#9496.00 Timekey Enterprise"/>
      <sheetName val="RECAP #9497.00"/>
      <sheetName val="#9497.00 Story Construction"/>
      <sheetName val="#9497.00 PM TIME"/>
      <sheetName val="#9497.00 Misc"/>
      <sheetName val="#9497.00 ECS Midwest"/>
      <sheetName val="#9497.00 Story Construction (2)"/>
      <sheetName val="#9497.00 Service Roofing"/>
      <sheetName val="#9497.00 Advanced Environmental"/>
      <sheetName val="RECAP #9498.00"/>
      <sheetName val="#9498.00 DCI Group"/>
      <sheetName val="#9498.00 PM TIME"/>
      <sheetName val="#9498.00 Misc"/>
      <sheetName val="#9498.00 OPN Architects"/>
      <sheetName val="#9498.00 MB Lawn Care"/>
      <sheetName val="#9498.00 DCI Group (2)"/>
      <sheetName val="#9498.00 Concrete Connections"/>
      <sheetName val="RECAP #9499.00"/>
      <sheetName val="#9499.00 Boyd Jones"/>
      <sheetName val="#9499.00 PM TIME "/>
      <sheetName val="#9499.00 Misc "/>
      <sheetName val="#9499.00 Larson Engineering"/>
      <sheetName val="#9499.00 Boyd Jones (2)"/>
      <sheetName val="#9499.00 Core Construction"/>
      <sheetName val="RECAP #9500.00"/>
      <sheetName val="#9500.00 McGough Construction"/>
      <sheetName val="#9500.00 PM TIME"/>
      <sheetName val="#9500.00 Misc"/>
      <sheetName val="#9500.00 KCL Engineering"/>
      <sheetName val="#9500.00 Terracon Consultants"/>
      <sheetName val="#9500.00 McGough Constructi (2)"/>
      <sheetName val="#9500.00 Acterra Group"/>
      <sheetName val="RECAP #9501.00"/>
      <sheetName val="#9501.00 McGough Construction"/>
      <sheetName val="#9501.00 PM TIME"/>
      <sheetName val="#9501.00 Misc"/>
      <sheetName val="#9501.00 IMEG Corp"/>
      <sheetName val="#9501.00 McGough Constructi (2)"/>
      <sheetName val="#9501.00 Winger Contracting"/>
      <sheetName val="RECAP #9502.00"/>
      <sheetName val="#9502.00 McGough Construction"/>
      <sheetName val="#9502.00 PM TIME"/>
      <sheetName val="#9502.00 Misc "/>
      <sheetName val="#9502.00 Modus Engineering"/>
      <sheetName val="#9502.00 McGough Constructi (2)"/>
      <sheetName val="#9502.00 Modern Piping"/>
      <sheetName val="RECAP #9503.00"/>
      <sheetName val="#9503.00 Story Construction"/>
      <sheetName val="#9503.00 PM TIME "/>
      <sheetName val="#9503.00 Misc"/>
      <sheetName val="#9503.00 SystemWorks"/>
      <sheetName val="#9503.00 10Fold Architecture"/>
      <sheetName val="#9503.00 Story Construction (2)"/>
      <sheetName val="RECAP #9504.00"/>
      <sheetName val="#9504.00 Story Construction"/>
      <sheetName val="#9504.00 PM TIME"/>
      <sheetName val="#9504.00 Misc"/>
      <sheetName val="#9504.00 OPN Architects"/>
      <sheetName val="#9504.00 Story Construction (2)"/>
      <sheetName val="#9504.00 Schumacher Elevator"/>
      <sheetName val="RECAP #9505.00"/>
      <sheetName val="#9505.00 Shive Hattery"/>
      <sheetName val="#9505.00 PM TIME"/>
      <sheetName val="#9505.00 Misc"/>
      <sheetName val="#9505.00 Boyd Jones"/>
      <sheetName val="#9505.00 Midwest Fence &amp; Gate"/>
      <sheetName val="#9505.00 Boyd Jones (2)"/>
      <sheetName val="RECAP #9506.00"/>
      <sheetName val="#9506.00 McGough Construction"/>
      <sheetName val="#9506.00 PM TIME"/>
      <sheetName val="#9506.00 Misc"/>
      <sheetName val="#9506.00 Bolton and Menk"/>
      <sheetName val="#9506.00 Terracon"/>
      <sheetName val="RECAP #9507.00"/>
      <sheetName val="#9507.00 SYSKool"/>
      <sheetName val="#9507.00 PM TIME"/>
      <sheetName val="#9507.00 Misc"/>
      <sheetName val="RECAP #9508.00"/>
      <sheetName val="#9508.00 Story Construction"/>
      <sheetName val="#9508.00 PM TIME"/>
      <sheetName val="#9508.00 Misc "/>
      <sheetName val="#9508.00 CMB Architects"/>
      <sheetName val="#9508.00 Story Construction (2)"/>
      <sheetName val="#9508.00 White Castle Roofing"/>
      <sheetName val="RECAP #9509.00"/>
      <sheetName val="#9509.00 Vendor A"/>
      <sheetName val="#9509.00 PM TIME"/>
      <sheetName val="#9509.00 Misc"/>
      <sheetName val="RECAP #9510.00"/>
      <sheetName val="#9510.00 Vendor A"/>
      <sheetName val="#9510.00 PM TIME"/>
      <sheetName val="#9510.00 Misc"/>
      <sheetName val="RECAP #9511.00"/>
      <sheetName val="#9511.00 McGough Construction"/>
      <sheetName val="#9511.00 PM TIME"/>
      <sheetName val="#9511.00 Misc"/>
      <sheetName val="#9511.00 Bolton and Menk"/>
      <sheetName val="#9511.00 Terracon Consultants"/>
      <sheetName val="#9511.00 McGough Construction 2"/>
      <sheetName val="#9511.00 Jones Contracting"/>
      <sheetName val="RECAP #9512.00"/>
      <sheetName val="#9512.00 Larson Engineering"/>
      <sheetName val="#9512.00 PM TIME"/>
      <sheetName val="#9512.00 Misc"/>
      <sheetName val="#9512.00 Boyd Jones"/>
      <sheetName val="#9512.00 Boyd Jones (2)"/>
      <sheetName val="RECAP #9513.00"/>
      <sheetName val="#9513.00 DCI Group"/>
      <sheetName val="#9513.00 PM TIME"/>
      <sheetName val="#9513.00 Misc"/>
      <sheetName val="#9513.00 Kezlo Group"/>
      <sheetName val="#9513.00 Bi-State Masonry"/>
      <sheetName val="#9513.00 DCI Group (2)"/>
      <sheetName val="RECAP #9514.00"/>
      <sheetName val="#9514.00 Horizon Architecture"/>
      <sheetName val="#9514.00 PM TIME "/>
      <sheetName val="#9514.00 Misc "/>
      <sheetName val="RECAP #9519.00"/>
      <sheetName val="#9519.00 Story Construction"/>
      <sheetName val="#9519.00 PM TIME"/>
      <sheetName val="#9519.00 Misc"/>
      <sheetName val="#9519.00 10Fold Architecture"/>
      <sheetName val="RECAP #9521.00"/>
      <sheetName val="#9521.00 Boyd Jones"/>
      <sheetName val="#9521.00 PM TIME "/>
      <sheetName val="#9521.00 Misc"/>
      <sheetName val="#9521.00 Genesis Architectural"/>
      <sheetName val="#9521.00 Academy Roofing"/>
      <sheetName val="#9521.00 Boyd Jones (2)"/>
      <sheetName val="RECAP #9524.00"/>
      <sheetName val="#9524.00 McGough Construction"/>
      <sheetName val="#9524.00 PM TIME"/>
      <sheetName val="#9524.00 Misc "/>
      <sheetName val="#9524.00 Shive Hattery"/>
      <sheetName val="RECAP #9527.00"/>
      <sheetName val="#9527.00 DCI Group"/>
      <sheetName val="#9527.00 PM TIME"/>
      <sheetName val="#9527.00 Misc"/>
      <sheetName val="#9527.00 CMBA Architects"/>
      <sheetName val="RECAP #9529.00"/>
      <sheetName val="#9529.00 DCI Group"/>
      <sheetName val="#9529.00 PM TIME"/>
      <sheetName val="#9529.00 Misc "/>
      <sheetName val="#9529.00 CMB Architects"/>
      <sheetName val="RECAP #9530.00"/>
      <sheetName val="#9530.00 Story Construction"/>
      <sheetName val="#9530.00 PM TIME"/>
      <sheetName val="#9530.00 Misc"/>
      <sheetName val="#9530.00 10Fold Architecture"/>
      <sheetName val="RECAP #XXXX.XX "/>
      <sheetName val="#XXXX.XX Vendor A"/>
      <sheetName val="#XXXX.XX PM TIME"/>
      <sheetName val="#XXXX.XX Mis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ow r="1">
          <cell r="B1" t="str">
            <v>DPS P13 Upper Parking Lot Replacement</v>
          </cell>
        </row>
        <row r="2">
          <cell r="B2" t="str">
            <v>Project # 9511.00</v>
          </cell>
        </row>
        <row r="3">
          <cell r="B3" t="str">
            <v>Program code 951100</v>
          </cell>
          <cell r="E3" t="str">
            <v>Major Program 4E12</v>
          </cell>
        </row>
        <row r="6">
          <cell r="B6" t="str">
            <v>Project Manager - Brandon A.</v>
          </cell>
        </row>
      </sheetData>
      <sheetData sheetId="148"/>
      <sheetData sheetId="149"/>
      <sheetData sheetId="150"/>
      <sheetData sheetId="151"/>
      <sheetData sheetId="152"/>
      <sheetData sheetId="153"/>
      <sheetData sheetId="154"/>
      <sheetData sheetId="155">
        <row r="1">
          <cell r="B1" t="str">
            <v>IDOE IPBS 6450 Corporate Drive Repair Auditorium Exterior Fire Exit</v>
          </cell>
        </row>
        <row r="2">
          <cell r="B2" t="str">
            <v>Project # 9512.00</v>
          </cell>
        </row>
        <row r="3">
          <cell r="B3" t="str">
            <v>Program code 951200</v>
          </cell>
          <cell r="E3" t="str">
            <v>Major Program 4E19</v>
          </cell>
        </row>
        <row r="6">
          <cell r="B6" t="str">
            <v>Project Manager -Brandon A.</v>
          </cell>
        </row>
      </sheetData>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Set>
  </externalBook>
</externalLink>
</file>

<file path=xl/persons/person.xml><?xml version="1.0" encoding="utf-8"?>
<personList xmlns="http://schemas.microsoft.com/office/spreadsheetml/2018/threadedcomments" xmlns:x="http://schemas.openxmlformats.org/spreadsheetml/2006/main">
  <person displayName="Huggins, Joni" id="{A1A35B24-1E1D-4FC2-8C33-12DF1B6A1193}" userId="S::joni.huggins@das.iowa.gov::98878c84-4296-45b4-ad84-dee99dd88b1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5" dT="2026-05-06T13:13:06.83" personId="{A1A35B24-1E1D-4FC2-8C33-12DF1B6A1193}" id="{75262FAA-EEC0-4BDE-A782-FEEC238C7BC6}">
    <text xml:space="preserve">Please make the following shifts within MM26:
Project  9484.00 - Reduce budget by $100,000 as bids came in better than expected. Shift the $100,000 into project 9483.00.
Project  9483.00 - If OK with Geoff and Jennifer please pull another $90,000 from the non-allocated funds of $131,688 to fund the balance of needed funds on the current project. 
Thank you,
Brad Tonyan, CPM, LEED Green Associate
Please make the following shifts within MM26:
Project  9484.00 - Reduce budget by $100,000 as bids came in better than expected. Shift the $100,000 into project 9483.00.
Project  9483.00 - If OK with Geoff and Jennifer please pull another $90,000 from the non-allocated funds of $131,688 to fund the balance of needed funds on the current project. 
Thank you,
Brad Tonyan, CPM, LEED Green Associate
</text>
  </threadedComment>
  <threadedComment ref="E19" dT="2026-06-25T18:35:16.07" personId="{A1A35B24-1E1D-4FC2-8C33-12DF1B6A1193}" id="{E3771EC8-E3E8-4BAB-B85E-06E2CCCDD150}">
    <text xml:space="preserve">Elliott, Jennie
​DAS Finance Payables Infrastructure​
​Wheelock, Geoff​
Finance,
  Can you please transfer an additional $120,000.00 from the total unassigned/unallocated line in MM26 to project 9496.00 - DOC NCCF Replace Windows in Education Building.
Thank you,
Jennie Elliott
</text>
  </threadedComment>
  <threadedComment ref="E22" dT="2026-06-15T13:06:18.62" personId="{A1A35B24-1E1D-4FC2-8C33-12DF1B6A1193}" id="{C281CA90-3FC3-4DA2-A279-34D1AB7D2F7A}">
    <text xml:space="preserve">Adams, Brandon
​DAS Finance Payables Infrastructure​
​Wheelock, Geoff;​Kleene, Jennifer​
Finance,
Please make the following changes:
MM26 - 9499.00 DOE IPBS 6535 Parking Lot Replacement - Please return $200,000 to MM26
MM26 - 9511.00 DPS Post 13 Upper Parking Lot Replacement - Please increase funds by $60,000
Regards,
Brandon Adams 
</text>
  </threadedComment>
  <threadedComment ref="E23" dT="2026-06-25T12:57:04.55" personId="{A1A35B24-1E1D-4FC2-8C33-12DF1B6A1193}" id="{11081C4B-67CB-4179-B015-E61E6A2AA2A5}">
    <text xml:space="preserve">Adams, Brandon
​DAS Finance Payables Infrastructure​
​Wheelock, Geoff;​Kleene, Jennifer​
Finance,
Please increase project MM26 9500.00 MPCF Diesel Tanks by $150,000 with MM26 funds.
Regards,
Brandon Adams 
</text>
  </threadedComment>
  <threadedComment ref="E34" dT="2026-06-15T13:07:12.29" personId="{A1A35B24-1E1D-4FC2-8C33-12DF1B6A1193}" id="{64EFD3BF-2BAD-47E1-935A-420DE517328A}">
    <text xml:space="preserve">Adams, Brandon
​DAS Finance Payables Infrastructure​
Wheelock, Geoff;​Kleene, Jennifer​
Finance,
Please make the following changes:
MM26 - 9499.00 DOE IPBS 6535 Parking Lot Replacement - Please return $200,000 to MM26
MM26 - 9511.00 DPS Post 13 Upper Parking Lot Replacement - Please increase funds by $60,000
Regards,
Brandon Adams 
</text>
  </threadedComment>
  <threadedComment ref="E37" dT="2026-06-18T13:52:11.34" personId="{A1A35B24-1E1D-4FC2-8C33-12DF1B6A1193}" id="{074CC874-BC28-4C37-B225-0A85BACC14C9}">
    <text xml:space="preserve">Shimp, Oliver
​DAS Finance Payables Infrastructure​
​Wheelock, Geoff​
Good Morning,
Project MM26 9514.00 DAS Union Sunday School Investigation can be closed. PM Time and Misc. Contracts are all final completed. Please return any remaining funds to the MM26 funding pool.
Thank you,
Oliver Shimp
</text>
  </threadedComment>
  <threadedComment ref="E39" dT="2026-06-22T12:56:02.34" personId="{A1A35B24-1E1D-4FC2-8C33-12DF1B6A1193}" id="{4AF41963-9482-4359-A0A7-4ED9D0E35B35}">
    <text xml:space="preserve">Adams, Brandon
​DAS Finance Payables Infrastructure​
​Wheelock, Geoff;​Kleene, Jennifer;​Elliott, Jennie;​Tonyan, Brad;​Trower, James​
Finance,
Can you please return funds for the following projects:
MM25 - 9422.00 DOC ASP Tuck Pointing 7,8 &amp; 9 - $450,000
MM26 - 9521.00 DPS D1 1333 Ohio Roof Replacement - $700,000
Regards,
Brandon Adams 
</text>
  </threadedComment>
</ThreadedComments>
</file>

<file path=xl/threadedComments/threadedComment2.xml><?xml version="1.0" encoding="utf-8"?>
<ThreadedComments xmlns="http://schemas.microsoft.com/office/spreadsheetml/2018/threadedcomments" xmlns:x="http://schemas.openxmlformats.org/spreadsheetml/2006/main">
  <threadedComment ref="E9" dT="2026-05-19T11:11:59.72" personId="{A1A35B24-1E1D-4FC2-8C33-12DF1B6A1193}" id="{F5C13E41-084B-49B4-A65E-E1D23F4151B3}">
    <text xml:space="preserve">Adams, Brandon
Please increase the following PM Time:
Unit MM23 Project 9465.00 (854.26)  Increase by $1,500
Unit MM23 Project 9533.00 (1,179.31)  Increase by $2,500
Unit MM24 Project 9541.00 (1,954.84)  Increase by $8,000
Unit MM26 Project 9500.00 (170.70)  Increase by $5,000
Regards,
Brandon Adams 
</text>
  </threadedComment>
</ThreadedComments>
</file>

<file path=xl/threadedComments/threadedComment3.xml><?xml version="1.0" encoding="utf-8"?>
<ThreadedComments xmlns="http://schemas.microsoft.com/office/spreadsheetml/2018/threadedcomments" xmlns:x="http://schemas.openxmlformats.org/spreadsheetml/2006/main">
  <threadedComment ref="E9" dT="2026-07-09T18:21:49.13" personId="{A1A35B24-1E1D-4FC2-8C33-12DF1B6A1193}" id="{0E561AAE-7C90-462E-B711-F47CF70646A6}">
    <text xml:space="preserve">Trower, James
​Huggins, Joni;​DAS Finance Payables Infrastructure​
Finance -
Please increase PM Time by $15,000 for project 9519.00 (MM26)
Thanks,
James Trower, Licensed Architect, LEED AP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81.bin"/><Relationship Id="rId4" Type="http://schemas.microsoft.com/office/2017/10/relationships/threadedComment" Target="../threadedComments/threadedComment2.xml"/></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2.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11.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9.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18.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2.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31.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6.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35.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40.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5.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44.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9.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158.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5.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164.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2.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171.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6.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175.bin"/><Relationship Id="rId4" Type="http://schemas.microsoft.com/office/2017/10/relationships/threadedComment" Target="../threadedComments/threadedComment3.xml"/></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69CBB-1171-49C5-B164-DB70D9B89106}">
  <sheetPr>
    <tabColor rgb="FF0070C0"/>
  </sheetPr>
  <dimension ref="A1:A68"/>
  <sheetViews>
    <sheetView topLeftCell="A34" workbookViewId="0">
      <selection activeCell="B13" sqref="B13:D13"/>
    </sheetView>
  </sheetViews>
  <sheetFormatPr defaultRowHeight="15" customHeight="1" x14ac:dyDescent="0.25"/>
  <sheetData>
    <row r="1" spans="1:1" ht="15" customHeight="1" x14ac:dyDescent="0.25">
      <c r="A1" s="143" t="s">
        <v>86</v>
      </c>
    </row>
    <row r="60" x14ac:dyDescent="0.25"/>
    <row r="61" x14ac:dyDescent="0.25"/>
    <row r="62" x14ac:dyDescent="0.25"/>
    <row r="63" x14ac:dyDescent="0.25"/>
    <row r="64" x14ac:dyDescent="0.25"/>
    <row r="65" x14ac:dyDescent="0.25"/>
    <row r="66" x14ac:dyDescent="0.25"/>
    <row r="67" x14ac:dyDescent="0.25"/>
    <row r="68"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39CD2-D880-4FB3-B34B-0B4B732DD131}">
  <sheetPr codeName="Sheet1">
    <tabColor rgb="FFFF0000"/>
    <pageSetUpPr fitToPage="1"/>
  </sheetPr>
  <dimension ref="A1:O52"/>
  <sheetViews>
    <sheetView tabSelected="1" topLeftCell="A3" zoomScaleNormal="100" workbookViewId="0"/>
  </sheetViews>
  <sheetFormatPr defaultColWidth="11.42578125" defaultRowHeight="15" customHeight="1" x14ac:dyDescent="0.25"/>
  <cols>
    <col min="1" max="1" width="3.42578125" bestFit="1" customWidth="1"/>
    <col min="2" max="2" width="9.5703125" customWidth="1"/>
    <col min="3" max="3" width="68" customWidth="1"/>
    <col min="4" max="4" width="14.42578125" customWidth="1"/>
    <col min="5" max="5" width="15.42578125" customWidth="1"/>
    <col min="6" max="6" width="13.5703125" customWidth="1"/>
    <col min="7" max="7" width="15.5703125" bestFit="1" customWidth="1"/>
    <col min="8" max="8" width="14.5703125" customWidth="1"/>
    <col min="9" max="10" width="14.42578125" customWidth="1"/>
    <col min="11" max="11" width="17" bestFit="1" customWidth="1"/>
    <col min="12" max="12" width="4.140625" customWidth="1"/>
    <col min="13" max="13" width="2" customWidth="1"/>
    <col min="14" max="14" width="0.5703125" customWidth="1"/>
    <col min="15" max="15" width="0.140625" customWidth="1"/>
    <col min="16" max="16" width="14.140625" customWidth="1"/>
    <col min="17" max="23" width="11.42578125" customWidth="1"/>
    <col min="257" max="267" width="11.42578125" customWidth="1"/>
    <col min="513" max="523" width="11.42578125" customWidth="1"/>
    <col min="769" max="779" width="11.42578125" customWidth="1"/>
    <col min="1025" max="1035" width="11.42578125" customWidth="1"/>
    <col min="1281" max="1291" width="11.42578125" customWidth="1"/>
    <col min="1537" max="1547" width="11.42578125" customWidth="1"/>
    <col min="1793" max="1803" width="11.42578125" customWidth="1"/>
    <col min="2049" max="2059" width="11.42578125" customWidth="1"/>
    <col min="2305" max="2315" width="11.42578125" customWidth="1"/>
    <col min="2561" max="2571" width="11.42578125" customWidth="1"/>
    <col min="2817" max="2827" width="11.42578125" customWidth="1"/>
    <col min="3073" max="3083" width="11.42578125" customWidth="1"/>
    <col min="3329" max="3339" width="11.42578125" customWidth="1"/>
    <col min="3585" max="3595" width="11.42578125" customWidth="1"/>
    <col min="3841" max="3851" width="11.42578125" customWidth="1"/>
    <col min="4097" max="4107" width="11.42578125" customWidth="1"/>
    <col min="4353" max="4363" width="11.42578125" customWidth="1"/>
    <col min="4609" max="4619" width="11.42578125" customWidth="1"/>
    <col min="4865" max="4875" width="11.42578125" customWidth="1"/>
    <col min="5121" max="5131" width="11.42578125" customWidth="1"/>
    <col min="5377" max="5387" width="11.42578125" customWidth="1"/>
    <col min="5633" max="5643" width="11.42578125" customWidth="1"/>
    <col min="5889" max="5899" width="11.42578125" customWidth="1"/>
    <col min="6145" max="6155" width="11.42578125" customWidth="1"/>
    <col min="6401" max="6411" width="11.42578125" customWidth="1"/>
    <col min="6657" max="6667" width="11.42578125" customWidth="1"/>
    <col min="6913" max="6923" width="11.42578125" customWidth="1"/>
    <col min="7169" max="7179" width="11.42578125" customWidth="1"/>
    <col min="7425" max="7435" width="11.42578125" customWidth="1"/>
    <col min="7681" max="7691" width="11.42578125" customWidth="1"/>
    <col min="7937" max="7947" width="11.42578125" customWidth="1"/>
    <col min="8193" max="8203" width="11.42578125" customWidth="1"/>
    <col min="8449" max="8459" width="11.42578125" customWidth="1"/>
    <col min="8705" max="8715" width="11.42578125" customWidth="1"/>
    <col min="8961" max="8971" width="11.42578125" customWidth="1"/>
    <col min="9217" max="9227" width="11.42578125" customWidth="1"/>
    <col min="9473" max="9483" width="11.42578125" customWidth="1"/>
    <col min="9729" max="9739" width="11.42578125" customWidth="1"/>
    <col min="9985" max="9995" width="11.42578125" customWidth="1"/>
    <col min="10241" max="10251" width="11.42578125" customWidth="1"/>
    <col min="10497" max="10507" width="11.42578125" customWidth="1"/>
    <col min="10753" max="10763" width="11.42578125" customWidth="1"/>
    <col min="11009" max="11019" width="11.42578125" customWidth="1"/>
    <col min="11265" max="11275" width="11.42578125" customWidth="1"/>
    <col min="11521" max="11531" width="11.42578125" customWidth="1"/>
    <col min="11777" max="11787" width="11.42578125" customWidth="1"/>
    <col min="12033" max="12043" width="11.42578125" customWidth="1"/>
    <col min="12289" max="12299" width="11.42578125" customWidth="1"/>
    <col min="12545" max="12555" width="11.42578125" customWidth="1"/>
    <col min="12801" max="12811" width="11.42578125" customWidth="1"/>
    <col min="13057" max="13067" width="11.42578125" customWidth="1"/>
    <col min="13313" max="13323" width="11.42578125" customWidth="1"/>
    <col min="13569" max="13579" width="11.42578125" customWidth="1"/>
    <col min="13825" max="13835" width="11.42578125" customWidth="1"/>
    <col min="14081" max="14091" width="11.42578125" customWidth="1"/>
    <col min="14337" max="14347" width="11.42578125" customWidth="1"/>
    <col min="14593" max="14603" width="11.42578125" customWidth="1"/>
    <col min="14849" max="14859" width="11.42578125" customWidth="1"/>
    <col min="15105" max="15115" width="11.42578125" customWidth="1"/>
    <col min="15361" max="15371" width="11.42578125" customWidth="1"/>
    <col min="15617" max="15627" width="11.42578125" customWidth="1"/>
    <col min="15873" max="15883" width="11.42578125" customWidth="1"/>
    <col min="16129" max="16139" width="11.42578125" customWidth="1"/>
  </cols>
  <sheetData>
    <row r="1" spans="1:15" ht="54" customHeight="1" thickBot="1" x14ac:dyDescent="0.3">
      <c r="A1" s="82" t="s">
        <v>34</v>
      </c>
      <c r="B1" s="83" t="s">
        <v>35</v>
      </c>
      <c r="C1" s="84" t="s">
        <v>36</v>
      </c>
      <c r="D1" s="85" t="s">
        <v>37</v>
      </c>
      <c r="E1" s="86" t="s">
        <v>38</v>
      </c>
      <c r="F1" s="87" t="s">
        <v>39</v>
      </c>
      <c r="G1" s="88" t="s">
        <v>40</v>
      </c>
      <c r="H1" s="86" t="s">
        <v>41</v>
      </c>
      <c r="I1" s="86" t="s">
        <v>42</v>
      </c>
      <c r="J1" s="88" t="s">
        <v>43</v>
      </c>
      <c r="K1" s="86" t="s">
        <v>44</v>
      </c>
      <c r="L1" s="89"/>
      <c r="M1" s="89"/>
      <c r="N1" s="89"/>
      <c r="O1" s="89"/>
    </row>
    <row r="2" spans="1:15" x14ac:dyDescent="0.25">
      <c r="A2" s="90"/>
      <c r="B2" s="91"/>
      <c r="C2" s="92" t="s">
        <v>85</v>
      </c>
      <c r="D2" s="146">
        <v>22000000</v>
      </c>
      <c r="E2" s="93"/>
      <c r="F2" s="93"/>
      <c r="G2" s="93"/>
      <c r="H2" s="93"/>
      <c r="I2" s="80"/>
      <c r="J2" s="81"/>
      <c r="K2" s="81"/>
      <c r="L2" s="81"/>
      <c r="M2" s="81"/>
      <c r="N2" s="81"/>
      <c r="O2" s="81"/>
    </row>
    <row r="3" spans="1:15" x14ac:dyDescent="0.25">
      <c r="A3" s="90"/>
      <c r="B3" s="91"/>
      <c r="C3" s="92" t="s">
        <v>39</v>
      </c>
      <c r="D3" s="79"/>
      <c r="E3" s="93"/>
      <c r="F3" s="93"/>
      <c r="G3" s="93"/>
      <c r="H3" s="93"/>
      <c r="I3" s="80"/>
      <c r="J3" s="81"/>
      <c r="K3" s="81"/>
      <c r="L3" s="81"/>
      <c r="M3" s="81"/>
      <c r="N3" s="81"/>
      <c r="O3" s="81"/>
    </row>
    <row r="4" spans="1:15" x14ac:dyDescent="0.25">
      <c r="A4" s="90"/>
      <c r="B4" s="91"/>
      <c r="C4" s="92" t="s">
        <v>45</v>
      </c>
      <c r="D4" s="79"/>
      <c r="E4" s="94">
        <v>0</v>
      </c>
      <c r="F4" s="93"/>
      <c r="G4" s="93"/>
      <c r="H4" s="93"/>
      <c r="I4" s="80"/>
      <c r="J4" s="81"/>
      <c r="K4" s="81"/>
      <c r="L4" s="81"/>
      <c r="M4" s="81"/>
      <c r="N4" s="81"/>
      <c r="O4" s="81"/>
    </row>
    <row r="5" spans="1:15" ht="15.75" thickBot="1" x14ac:dyDescent="0.3">
      <c r="A5" s="90"/>
      <c r="B5" s="91"/>
      <c r="C5" s="92" t="s">
        <v>46</v>
      </c>
      <c r="D5" s="79"/>
      <c r="E5" s="95">
        <f>D2+D3-E4</f>
        <v>22000000</v>
      </c>
      <c r="F5" s="93"/>
      <c r="G5" s="93"/>
      <c r="H5" s="93"/>
      <c r="I5" s="80"/>
      <c r="J5" s="81"/>
      <c r="K5" s="81"/>
      <c r="L5" s="81"/>
      <c r="M5" s="81"/>
      <c r="N5" s="81"/>
      <c r="O5" s="81"/>
    </row>
    <row r="6" spans="1:15" ht="16.5" thickTop="1" thickBot="1" x14ac:dyDescent="0.3">
      <c r="A6" s="90"/>
      <c r="B6" s="91" t="s">
        <v>47</v>
      </c>
      <c r="C6" s="92" t="s">
        <v>48</v>
      </c>
      <c r="D6" s="79"/>
      <c r="E6" s="96">
        <f>G45</f>
        <v>18436370.219999999</v>
      </c>
      <c r="F6" s="93"/>
      <c r="G6" s="93"/>
      <c r="H6" s="93"/>
      <c r="I6" s="80"/>
      <c r="J6" s="81"/>
      <c r="K6" s="81"/>
      <c r="L6" s="81"/>
      <c r="M6" s="81"/>
      <c r="N6" s="81"/>
      <c r="O6" s="81"/>
    </row>
    <row r="7" spans="1:15" ht="15.75" thickBot="1" x14ac:dyDescent="0.3">
      <c r="A7" s="90"/>
      <c r="B7" s="91"/>
      <c r="C7" s="92" t="s">
        <v>49</v>
      </c>
      <c r="D7" s="79"/>
      <c r="E7" s="97">
        <f>E5-E6</f>
        <v>3563629.7800000012</v>
      </c>
      <c r="F7" s="93"/>
      <c r="G7" s="93"/>
      <c r="H7" s="93"/>
      <c r="I7" s="80"/>
      <c r="J7" s="81"/>
      <c r="K7" s="81"/>
      <c r="L7" s="81"/>
      <c r="M7" s="81"/>
      <c r="N7" s="81"/>
      <c r="O7" s="81"/>
    </row>
    <row r="8" spans="1:15" ht="15.75" x14ac:dyDescent="0.25">
      <c r="A8" s="98"/>
      <c r="B8" s="99"/>
      <c r="C8" s="100" t="s">
        <v>50</v>
      </c>
      <c r="D8" s="101"/>
      <c r="E8" s="102"/>
      <c r="F8" s="102"/>
      <c r="G8" s="102"/>
      <c r="H8" s="102"/>
      <c r="I8" s="102"/>
      <c r="J8" s="103"/>
      <c r="K8" s="103"/>
      <c r="L8" s="81"/>
      <c r="M8" s="81"/>
      <c r="N8" s="81"/>
      <c r="O8" s="81"/>
    </row>
    <row r="9" spans="1:15" ht="11.25" customHeight="1" x14ac:dyDescent="0.25">
      <c r="A9" s="104"/>
      <c r="B9" s="105"/>
      <c r="C9" s="106"/>
      <c r="D9" s="107"/>
      <c r="E9" s="108" t="s">
        <v>51</v>
      </c>
      <c r="F9" s="109" t="s">
        <v>52</v>
      </c>
      <c r="G9" s="109" t="s">
        <v>53</v>
      </c>
      <c r="H9" s="109" t="s">
        <v>52</v>
      </c>
      <c r="I9" s="109" t="s">
        <v>52</v>
      </c>
      <c r="J9" s="109" t="s">
        <v>52</v>
      </c>
      <c r="K9" s="109" t="s">
        <v>52</v>
      </c>
      <c r="L9" s="81"/>
      <c r="M9" s="81"/>
      <c r="N9" s="81"/>
      <c r="O9" s="81"/>
    </row>
    <row r="10" spans="1:15" s="223" customFormat="1" ht="12.75" customHeight="1" x14ac:dyDescent="0.25">
      <c r="A10" s="216"/>
      <c r="B10" s="217"/>
      <c r="C10" s="218" t="s">
        <v>54</v>
      </c>
      <c r="D10" s="219"/>
      <c r="E10" s="108"/>
      <c r="F10" s="220"/>
      <c r="G10" s="221"/>
      <c r="H10" s="221"/>
      <c r="I10" s="221"/>
      <c r="J10" s="221"/>
      <c r="K10" s="221"/>
      <c r="L10" s="222"/>
      <c r="M10" s="222"/>
      <c r="N10" s="222"/>
      <c r="O10" s="222"/>
    </row>
    <row r="11" spans="1:15" s="223" customFormat="1" ht="12.75" customHeight="1" x14ac:dyDescent="0.25">
      <c r="A11" s="228" t="s">
        <v>250</v>
      </c>
      <c r="B11" s="217" t="s">
        <v>63</v>
      </c>
      <c r="C11" s="224" t="s">
        <v>55</v>
      </c>
      <c r="D11" s="219" t="s">
        <v>98</v>
      </c>
      <c r="E11" s="225">
        <f>75000-27187.7</f>
        <v>47812.3</v>
      </c>
      <c r="F11" s="219"/>
      <c r="G11" s="225">
        <f t="shared" ref="G11:G43" si="0">E11+F11</f>
        <v>47812.3</v>
      </c>
      <c r="H11" s="219">
        <f>'RECAP #9997.26'!D14</f>
        <v>47812.3</v>
      </c>
      <c r="I11" s="219">
        <f>'RECAP #9997.26'!E14</f>
        <v>47812.299999999981</v>
      </c>
      <c r="J11" s="219">
        <f>'RECAP #9997.26'!F14</f>
        <v>2.1827872842550278E-11</v>
      </c>
      <c r="K11" s="219">
        <f>'RECAP #9997.26'!G14</f>
        <v>0</v>
      </c>
      <c r="L11" s="222"/>
      <c r="M11" s="222"/>
      <c r="N11" s="222"/>
      <c r="O11" s="226"/>
    </row>
    <row r="12" spans="1:15" s="223" customFormat="1" ht="12.75" customHeight="1" x14ac:dyDescent="0.25">
      <c r="A12" s="216"/>
      <c r="B12" s="217" t="s">
        <v>487</v>
      </c>
      <c r="C12" s="218" t="s">
        <v>488</v>
      </c>
      <c r="D12" s="219" t="s">
        <v>75</v>
      </c>
      <c r="E12" s="225">
        <f>1550000+200000</f>
        <v>1750000</v>
      </c>
      <c r="F12" s="219"/>
      <c r="G12" s="225">
        <f t="shared" si="0"/>
        <v>1750000</v>
      </c>
      <c r="H12" s="219">
        <f>'RECAP #9440.01'!D19</f>
        <v>1627413.15</v>
      </c>
      <c r="I12" s="219">
        <f>'RECAP #9440.01'!E19</f>
        <v>123996.56</v>
      </c>
      <c r="J12" s="219">
        <f>'RECAP #9440.01'!F19</f>
        <v>1503416.5899999999</v>
      </c>
      <c r="K12" s="219">
        <f>'RECAP #9440.01'!G19</f>
        <v>122586.85000000009</v>
      </c>
      <c r="L12" s="222"/>
      <c r="M12" s="222"/>
      <c r="N12" s="222"/>
      <c r="O12" s="226">
        <f>'#9440.01 PM TIME '!I29</f>
        <v>22559.73</v>
      </c>
    </row>
    <row r="13" spans="1:15" s="223" customFormat="1" ht="12.75" customHeight="1" x14ac:dyDescent="0.25">
      <c r="A13" s="216"/>
      <c r="B13" s="217" t="s">
        <v>344</v>
      </c>
      <c r="C13" s="227" t="s">
        <v>345</v>
      </c>
      <c r="D13" s="216" t="s">
        <v>346</v>
      </c>
      <c r="E13" s="225">
        <f>4600000-900000-3402430.58</f>
        <v>297569.41999999993</v>
      </c>
      <c r="F13" s="219"/>
      <c r="G13" s="225">
        <f t="shared" si="0"/>
        <v>297569.41999999993</v>
      </c>
      <c r="H13" s="219">
        <f>'RECAP #9455.00'!D15</f>
        <v>297569.41999999981</v>
      </c>
      <c r="I13" s="219">
        <f>'RECAP #9455.00'!E15</f>
        <v>290959.03999999998</v>
      </c>
      <c r="J13" s="219">
        <f>'RECAP #9455.00'!F15</f>
        <v>6610.37999999983</v>
      </c>
      <c r="K13" s="219">
        <f>'RECAP #9455.00'!G15</f>
        <v>0</v>
      </c>
      <c r="L13" s="222"/>
      <c r="M13" s="222"/>
      <c r="N13" s="222"/>
      <c r="O13" s="226"/>
    </row>
    <row r="14" spans="1:15" s="223" customFormat="1" ht="12.75" customHeight="1" x14ac:dyDescent="0.25">
      <c r="A14" s="216"/>
      <c r="B14" s="217" t="s">
        <v>71</v>
      </c>
      <c r="C14" s="218" t="s">
        <v>73</v>
      </c>
      <c r="D14" s="219" t="s">
        <v>75</v>
      </c>
      <c r="E14" s="225">
        <f>2630000+100000+90000</f>
        <v>2820000</v>
      </c>
      <c r="F14" s="219"/>
      <c r="G14" s="225">
        <f t="shared" si="0"/>
        <v>2820000</v>
      </c>
      <c r="H14" s="219">
        <f>'RECAP #9483.00'!D17</f>
        <v>2752691.67</v>
      </c>
      <c r="I14" s="219">
        <f>'RECAP #9483.00'!E17</f>
        <v>1934997.36</v>
      </c>
      <c r="J14" s="219">
        <f>'RECAP #9483.00'!F17</f>
        <v>817694.30999999982</v>
      </c>
      <c r="K14" s="219">
        <f>'RECAP #9483.00'!G17</f>
        <v>67308.330000000075</v>
      </c>
      <c r="L14" s="222"/>
      <c r="M14" s="222"/>
      <c r="N14" s="222"/>
      <c r="O14" s="226">
        <f>'#9483.00 PM TIME'!I43</f>
        <v>55228.5</v>
      </c>
    </row>
    <row r="15" spans="1:15" s="223" customFormat="1" ht="12.75" customHeight="1" x14ac:dyDescent="0.25">
      <c r="A15" s="216"/>
      <c r="B15" s="217" t="s">
        <v>72</v>
      </c>
      <c r="C15" s="218" t="s">
        <v>74</v>
      </c>
      <c r="D15" s="219" t="s">
        <v>75</v>
      </c>
      <c r="E15" s="225">
        <f>575000-100000</f>
        <v>475000</v>
      </c>
      <c r="F15" s="219"/>
      <c r="G15" s="225">
        <f t="shared" si="0"/>
        <v>475000</v>
      </c>
      <c r="H15" s="219">
        <f>'RECAP #9484.00'!D19</f>
        <v>402440.55000000005</v>
      </c>
      <c r="I15" s="219">
        <f>'RECAP #9484.00'!E19</f>
        <v>359784.60000000003</v>
      </c>
      <c r="J15" s="219">
        <f>'RECAP #9484.00'!F19</f>
        <v>42655.950000000012</v>
      </c>
      <c r="K15" s="219">
        <f>'RECAP #9484.00'!G19</f>
        <v>72559.449999999953</v>
      </c>
      <c r="L15" s="222"/>
      <c r="M15" s="222"/>
      <c r="N15" s="222"/>
      <c r="O15" s="226">
        <f>'#9484.00 PM TIME'!I43</f>
        <v>4997.8200000000015</v>
      </c>
    </row>
    <row r="16" spans="1:15" s="223" customFormat="1" ht="12.75" customHeight="1" x14ac:dyDescent="0.25">
      <c r="A16" s="216"/>
      <c r="B16" s="217" t="s">
        <v>90</v>
      </c>
      <c r="C16" s="218" t="s">
        <v>91</v>
      </c>
      <c r="D16" s="219" t="s">
        <v>167</v>
      </c>
      <c r="E16" s="225">
        <f>170000+300000-150000</f>
        <v>320000</v>
      </c>
      <c r="F16" s="219"/>
      <c r="G16" s="225">
        <f t="shared" si="0"/>
        <v>320000</v>
      </c>
      <c r="H16" s="219">
        <f>'RECAP #9491.00'!D17</f>
        <v>276688.96000000002</v>
      </c>
      <c r="I16" s="219">
        <f>'RECAP #9491.00'!E17</f>
        <v>46537.070000000007</v>
      </c>
      <c r="J16" s="219">
        <f>'RECAP #9491.00'!F17</f>
        <v>230151.89</v>
      </c>
      <c r="K16" s="219">
        <f>'RECAP #9491.00'!G17</f>
        <v>43311.039999999979</v>
      </c>
      <c r="L16" s="222"/>
      <c r="M16" s="222"/>
      <c r="N16" s="222"/>
      <c r="O16" s="300">
        <f>'#9491.00 PM TIME '!I39</f>
        <v>7303.880000000001</v>
      </c>
    </row>
    <row r="17" spans="1:15" s="223" customFormat="1" ht="12.75" customHeight="1" x14ac:dyDescent="0.25">
      <c r="A17" s="228" t="s">
        <v>250</v>
      </c>
      <c r="B17" s="217" t="s">
        <v>128</v>
      </c>
      <c r="C17" s="218" t="s">
        <v>148</v>
      </c>
      <c r="D17" s="219" t="s">
        <v>165</v>
      </c>
      <c r="E17" s="225">
        <f>4600000-4600000</f>
        <v>0</v>
      </c>
      <c r="F17" s="219"/>
      <c r="G17" s="225">
        <f t="shared" si="0"/>
        <v>0</v>
      </c>
      <c r="H17" s="219">
        <f>'RECAP #9494.00'!D14</f>
        <v>0</v>
      </c>
      <c r="I17" s="219">
        <f>'RECAP #9494.00'!E14</f>
        <v>0</v>
      </c>
      <c r="J17" s="219">
        <f>'RECAP #9494.00'!F14</f>
        <v>0</v>
      </c>
      <c r="K17" s="219">
        <f>'RECAP #9494.00'!G14</f>
        <v>0</v>
      </c>
      <c r="L17" s="222"/>
      <c r="M17" s="222"/>
      <c r="N17" s="222"/>
      <c r="O17" s="226"/>
    </row>
    <row r="18" spans="1:15" s="223" customFormat="1" ht="12.75" customHeight="1" x14ac:dyDescent="0.25">
      <c r="A18" s="228" t="s">
        <v>250</v>
      </c>
      <c r="B18" s="217" t="s">
        <v>129</v>
      </c>
      <c r="C18" s="218" t="s">
        <v>149</v>
      </c>
      <c r="D18" s="219" t="s">
        <v>166</v>
      </c>
      <c r="E18" s="225">
        <f>1400000-1400000</f>
        <v>0</v>
      </c>
      <c r="F18" s="219"/>
      <c r="G18" s="225">
        <f t="shared" si="0"/>
        <v>0</v>
      </c>
      <c r="H18" s="219">
        <f>'RECAP #9495.00'!D14</f>
        <v>0</v>
      </c>
      <c r="I18" s="219">
        <f>'RECAP #9495.00'!E14</f>
        <v>0</v>
      </c>
      <c r="J18" s="219">
        <f>'RECAP #9495.00'!F14</f>
        <v>0</v>
      </c>
      <c r="K18" s="219">
        <f>'RECAP #9495.00'!G14</f>
        <v>0</v>
      </c>
      <c r="L18" s="222"/>
      <c r="M18" s="222"/>
      <c r="N18" s="222"/>
      <c r="O18" s="226"/>
    </row>
    <row r="19" spans="1:15" s="223" customFormat="1" ht="12.75" customHeight="1" x14ac:dyDescent="0.25">
      <c r="A19" s="228"/>
      <c r="B19" s="217" t="s">
        <v>130</v>
      </c>
      <c r="C19" s="218" t="s">
        <v>150</v>
      </c>
      <c r="D19" s="219" t="s">
        <v>165</v>
      </c>
      <c r="E19" s="225">
        <f>250000+120000</f>
        <v>370000</v>
      </c>
      <c r="F19" s="219"/>
      <c r="G19" s="225">
        <f t="shared" si="0"/>
        <v>370000</v>
      </c>
      <c r="H19" s="219">
        <f>'RECAP #9496.00'!D17</f>
        <v>326173.92</v>
      </c>
      <c r="I19" s="219">
        <f>'RECAP #9496.00'!E17</f>
        <v>63909.919999999998</v>
      </c>
      <c r="J19" s="219">
        <f>'RECAP #9496.00'!F17</f>
        <v>262264</v>
      </c>
      <c r="K19" s="219">
        <f>'RECAP #9496.00'!G17</f>
        <v>43826.080000000016</v>
      </c>
      <c r="L19" s="222"/>
      <c r="M19" s="222"/>
      <c r="N19" s="222"/>
      <c r="O19" s="226">
        <f>'#9496.00 PM TIME'!I35</f>
        <v>4151.29</v>
      </c>
    </row>
    <row r="20" spans="1:15" s="223" customFormat="1" ht="12.75" customHeight="1" x14ac:dyDescent="0.25">
      <c r="A20" s="216"/>
      <c r="B20" s="217" t="s">
        <v>131</v>
      </c>
      <c r="C20" s="218" t="s">
        <v>151</v>
      </c>
      <c r="D20" s="219" t="s">
        <v>167</v>
      </c>
      <c r="E20" s="225">
        <v>495000</v>
      </c>
      <c r="F20" s="219"/>
      <c r="G20" s="225">
        <f t="shared" si="0"/>
        <v>495000</v>
      </c>
      <c r="H20" s="219">
        <f>'RECAP #9497.00'!D18</f>
        <v>235116.53999999998</v>
      </c>
      <c r="I20" s="219">
        <f>'RECAP #9497.00'!E18</f>
        <v>71968.44</v>
      </c>
      <c r="J20" s="219">
        <f>'RECAP #9497.00'!F18</f>
        <v>163148.09999999998</v>
      </c>
      <c r="K20" s="219">
        <f>'RECAP #9497.00'!G18</f>
        <v>259883.46000000002</v>
      </c>
      <c r="L20" s="222"/>
      <c r="M20" s="222"/>
      <c r="N20" s="222"/>
      <c r="O20" s="226">
        <f>'#9497.00 PM TIME'!I37</f>
        <v>383.34999999999854</v>
      </c>
    </row>
    <row r="21" spans="1:15" s="223" customFormat="1" ht="12.75" customHeight="1" x14ac:dyDescent="0.25">
      <c r="A21" s="216"/>
      <c r="B21" s="217" t="s">
        <v>132</v>
      </c>
      <c r="C21" s="218" t="s">
        <v>152</v>
      </c>
      <c r="D21" s="219" t="s">
        <v>167</v>
      </c>
      <c r="E21" s="225">
        <f>105000+35000+95000</f>
        <v>235000</v>
      </c>
      <c r="F21" s="219"/>
      <c r="G21" s="225">
        <f t="shared" si="0"/>
        <v>235000</v>
      </c>
      <c r="H21" s="219">
        <f>'RECAP #9498.00'!D18</f>
        <v>219050.51</v>
      </c>
      <c r="I21" s="219">
        <f>'RECAP #9498.00'!E18</f>
        <v>70275.489999999991</v>
      </c>
      <c r="J21" s="219">
        <f>'RECAP #9498.00'!F18</f>
        <v>148775.02000000002</v>
      </c>
      <c r="K21" s="219">
        <f>'RECAP #9498.00'!G18</f>
        <v>15949.489999999991</v>
      </c>
      <c r="L21" s="222"/>
      <c r="M21" s="222"/>
      <c r="N21" s="222"/>
      <c r="O21" s="226">
        <f>'#9498.00 PM TIME'!I39</f>
        <v>3546.0400000000009</v>
      </c>
    </row>
    <row r="22" spans="1:15" s="223" customFormat="1" ht="12.75" customHeight="1" x14ac:dyDescent="0.25">
      <c r="A22" s="216"/>
      <c r="B22" s="217" t="s">
        <v>133</v>
      </c>
      <c r="C22" s="218" t="s">
        <v>153</v>
      </c>
      <c r="D22" s="219" t="s">
        <v>168</v>
      </c>
      <c r="E22" s="225">
        <f>640965-200000</f>
        <v>440965</v>
      </c>
      <c r="F22" s="219"/>
      <c r="G22" s="225">
        <f t="shared" si="0"/>
        <v>440965</v>
      </c>
      <c r="H22" s="219">
        <f>'RECAP #9499.00'!D17</f>
        <v>419314.01</v>
      </c>
      <c r="I22" s="219">
        <f>'RECAP #9499.00'!E17</f>
        <v>399998.07</v>
      </c>
      <c r="J22" s="219">
        <f>'RECAP #9499.00'!F17</f>
        <v>19315.940000000002</v>
      </c>
      <c r="K22" s="219">
        <f>'RECAP #9499.00'!G17</f>
        <v>21650.989999999991</v>
      </c>
      <c r="L22" s="222"/>
      <c r="M22" s="222"/>
      <c r="N22" s="222"/>
      <c r="O22" s="226">
        <f>'#9499.00 PM TIME '!I37</f>
        <v>1435.4599999999991</v>
      </c>
    </row>
    <row r="23" spans="1:15" s="223" customFormat="1" ht="12.75" customHeight="1" x14ac:dyDescent="0.25">
      <c r="A23" s="228"/>
      <c r="B23" s="217" t="s">
        <v>134</v>
      </c>
      <c r="C23" s="218" t="s">
        <v>154</v>
      </c>
      <c r="D23" s="219" t="s">
        <v>168</v>
      </c>
      <c r="E23" s="225">
        <f>400000+150000</f>
        <v>550000</v>
      </c>
      <c r="F23" s="219"/>
      <c r="G23" s="225">
        <f t="shared" si="0"/>
        <v>550000</v>
      </c>
      <c r="H23" s="219">
        <f>'RECAP #9500.00'!D18</f>
        <v>505936.55</v>
      </c>
      <c r="I23" s="219">
        <f>'RECAP #9500.00'!E18</f>
        <v>83781.27</v>
      </c>
      <c r="J23" s="219">
        <f>'RECAP #9500.00'!F18</f>
        <v>422155.27999999997</v>
      </c>
      <c r="K23" s="219">
        <f>'RECAP #9500.00'!G18</f>
        <v>44063.450000000012</v>
      </c>
      <c r="L23" s="222"/>
      <c r="M23" s="222"/>
      <c r="N23" s="222"/>
      <c r="O23" s="226">
        <f>'#9500.00 PM TIME'!I39</f>
        <v>1000.0599999999995</v>
      </c>
    </row>
    <row r="24" spans="1:15" s="223" customFormat="1" ht="12.75" customHeight="1" x14ac:dyDescent="0.25">
      <c r="A24" s="216"/>
      <c r="B24" s="217" t="s">
        <v>135</v>
      </c>
      <c r="C24" s="218" t="s">
        <v>460</v>
      </c>
      <c r="D24" s="219" t="s">
        <v>165</v>
      </c>
      <c r="E24" s="225">
        <v>275000</v>
      </c>
      <c r="F24" s="219"/>
      <c r="G24" s="225">
        <f t="shared" si="0"/>
        <v>275000</v>
      </c>
      <c r="H24" s="219">
        <f>'RECAP #9501.00'!D17</f>
        <v>231488.81</v>
      </c>
      <c r="I24" s="219">
        <f>'RECAP #9501.00'!E17</f>
        <v>52596.15</v>
      </c>
      <c r="J24" s="219">
        <f>'RECAP #9501.00'!F17</f>
        <v>178892.66</v>
      </c>
      <c r="K24" s="219">
        <f>'RECAP #9501.00'!G17</f>
        <v>43511.19</v>
      </c>
      <c r="L24" s="222"/>
      <c r="M24" s="222"/>
      <c r="N24" s="222"/>
      <c r="O24" s="226">
        <f>'#9501.00 PM TIME'!I35</f>
        <v>3053.38</v>
      </c>
    </row>
    <row r="25" spans="1:15" s="223" customFormat="1" ht="12.75" customHeight="1" x14ac:dyDescent="0.25">
      <c r="A25" s="229"/>
      <c r="B25" s="217" t="s">
        <v>136</v>
      </c>
      <c r="C25" s="218" t="s">
        <v>172</v>
      </c>
      <c r="D25" s="219" t="s">
        <v>168</v>
      </c>
      <c r="E25" s="225">
        <f>505000+450000</f>
        <v>955000</v>
      </c>
      <c r="F25" s="219"/>
      <c r="G25" s="225">
        <f t="shared" si="0"/>
        <v>955000</v>
      </c>
      <c r="H25" s="219">
        <f>'RECAP #9502.00'!D17</f>
        <v>899595.47</v>
      </c>
      <c r="I25" s="219">
        <f>'RECAP #9502.00'!E17</f>
        <v>623534.77</v>
      </c>
      <c r="J25" s="219">
        <f>'RECAP #9502.00'!F17</f>
        <v>276060.69999999995</v>
      </c>
      <c r="K25" s="219">
        <f>'RECAP #9502.00'!G17</f>
        <v>55404.530000000028</v>
      </c>
      <c r="L25" s="222"/>
      <c r="M25" s="222"/>
      <c r="N25" s="222"/>
      <c r="O25" s="226">
        <f>'#9502.00 PM TIME'!I39</f>
        <v>3795.989999999998</v>
      </c>
    </row>
    <row r="26" spans="1:15" s="223" customFormat="1" ht="12.75" customHeight="1" x14ac:dyDescent="0.25">
      <c r="A26" s="229"/>
      <c r="B26" s="217" t="s">
        <v>137</v>
      </c>
      <c r="C26" s="218" t="s">
        <v>155</v>
      </c>
      <c r="D26" s="219" t="s">
        <v>169</v>
      </c>
      <c r="E26" s="225">
        <v>440000</v>
      </c>
      <c r="F26" s="219"/>
      <c r="G26" s="225">
        <f t="shared" si="0"/>
        <v>440000</v>
      </c>
      <c r="H26" s="219">
        <f>'RECAP #9503.00'!D18</f>
        <v>105690.06</v>
      </c>
      <c r="I26" s="219">
        <f>'RECAP #9503.00'!E18</f>
        <v>73321.48</v>
      </c>
      <c r="J26" s="219">
        <f>'RECAP #9503.00'!F18</f>
        <v>32368.58</v>
      </c>
      <c r="K26" s="219">
        <f>'RECAP #9503.00'!G18</f>
        <v>334309.94</v>
      </c>
      <c r="L26" s="222"/>
      <c r="M26" s="222"/>
      <c r="N26" s="222"/>
      <c r="O26" s="226">
        <f>'#9503.00 PM TIME '!I35</f>
        <v>4673.43</v>
      </c>
    </row>
    <row r="27" spans="1:15" s="223" customFormat="1" ht="12.75" customHeight="1" x14ac:dyDescent="0.25">
      <c r="A27" s="229"/>
      <c r="B27" s="217" t="s">
        <v>138</v>
      </c>
      <c r="C27" s="218" t="s">
        <v>156</v>
      </c>
      <c r="D27" s="219" t="s">
        <v>169</v>
      </c>
      <c r="E27" s="225">
        <v>400000</v>
      </c>
      <c r="F27" s="219"/>
      <c r="G27" s="225">
        <f t="shared" si="0"/>
        <v>400000</v>
      </c>
      <c r="H27" s="219">
        <f>'RECAP #9504.00'!D17</f>
        <v>307537.46999999997</v>
      </c>
      <c r="I27" s="219">
        <f>'RECAP #9504.00'!E17</f>
        <v>87651.19</v>
      </c>
      <c r="J27" s="219">
        <f>'RECAP #9504.00'!F17</f>
        <v>219886.27999999997</v>
      </c>
      <c r="K27" s="219">
        <f>'RECAP #9504.00'!G17</f>
        <v>92462.530000000028</v>
      </c>
      <c r="L27" s="222"/>
      <c r="M27" s="222"/>
      <c r="N27" s="222"/>
      <c r="O27" s="226">
        <f>'#9504.00 PM TIME'!I35</f>
        <v>4291.53</v>
      </c>
    </row>
    <row r="28" spans="1:15" s="223" customFormat="1" ht="12.75" customHeight="1" x14ac:dyDescent="0.25">
      <c r="A28" s="229"/>
      <c r="B28" s="217" t="s">
        <v>139</v>
      </c>
      <c r="C28" s="218" t="s">
        <v>157</v>
      </c>
      <c r="D28" s="219" t="s">
        <v>165</v>
      </c>
      <c r="E28" s="225">
        <f>385000+106000</f>
        <v>491000</v>
      </c>
      <c r="F28" s="219"/>
      <c r="G28" s="225">
        <f t="shared" si="0"/>
        <v>491000</v>
      </c>
      <c r="H28" s="219">
        <f>'RECAP #9505.00'!D17</f>
        <v>486945.01</v>
      </c>
      <c r="I28" s="219">
        <f>'RECAP #9505.00'!E17</f>
        <v>69930.539999999994</v>
      </c>
      <c r="J28" s="219">
        <f>'RECAP #9505.00'!F17</f>
        <v>417014.47000000003</v>
      </c>
      <c r="K28" s="219">
        <f>'RECAP #9505.00'!G17</f>
        <v>4054.9899999999907</v>
      </c>
      <c r="L28" s="222"/>
      <c r="M28" s="222"/>
      <c r="N28" s="222"/>
      <c r="O28" s="226">
        <f>'#9505.00 PM TIME'!I37</f>
        <v>3519.0399999999991</v>
      </c>
    </row>
    <row r="29" spans="1:15" s="223" customFormat="1" ht="12.75" customHeight="1" x14ac:dyDescent="0.25">
      <c r="A29" s="229"/>
      <c r="B29" s="217" t="s">
        <v>140</v>
      </c>
      <c r="C29" s="218" t="s">
        <v>173</v>
      </c>
      <c r="D29" s="219" t="s">
        <v>168</v>
      </c>
      <c r="E29" s="225">
        <v>1680747</v>
      </c>
      <c r="F29" s="219"/>
      <c r="G29" s="225">
        <f t="shared" si="0"/>
        <v>1680747</v>
      </c>
      <c r="H29" s="219">
        <f>'RECAP #9506.00'!D16</f>
        <v>197979.32</v>
      </c>
      <c r="I29" s="219">
        <f>'RECAP #9506.00'!E16</f>
        <v>140953.03</v>
      </c>
      <c r="J29" s="219">
        <f>'RECAP #9506.00'!F16</f>
        <v>57026.290000000008</v>
      </c>
      <c r="K29" s="219">
        <f>'RECAP #9506.00'!G16</f>
        <v>1482767.68</v>
      </c>
      <c r="L29" s="222"/>
      <c r="M29" s="222"/>
      <c r="N29" s="222"/>
      <c r="O29" s="226">
        <f>'#9506.00 PM TIME'!I39</f>
        <v>1253.3400000000001</v>
      </c>
    </row>
    <row r="30" spans="1:15" s="223" customFormat="1" ht="12.75" customHeight="1" x14ac:dyDescent="0.25">
      <c r="A30" s="229"/>
      <c r="B30" s="217" t="s">
        <v>141</v>
      </c>
      <c r="C30" s="218" t="s">
        <v>158</v>
      </c>
      <c r="D30" s="219" t="s">
        <v>170</v>
      </c>
      <c r="E30" s="225">
        <v>700000</v>
      </c>
      <c r="F30" s="219"/>
      <c r="G30" s="225">
        <f t="shared" si="0"/>
        <v>700000</v>
      </c>
      <c r="H30" s="219">
        <f>'RECAP #9507.00'!D14</f>
        <v>451832</v>
      </c>
      <c r="I30" s="219">
        <f>'RECAP #9507.00'!E14</f>
        <v>734.36</v>
      </c>
      <c r="J30" s="219">
        <f>'RECAP #9507.00'!F14</f>
        <v>451097.64</v>
      </c>
      <c r="K30" s="219">
        <f>'RECAP #9507.00'!G14</f>
        <v>248168</v>
      </c>
      <c r="L30" s="222"/>
      <c r="M30" s="222"/>
      <c r="N30" s="222"/>
      <c r="O30" s="226">
        <f>'#9507.00 PM TIME'!I23</f>
        <v>14265.64</v>
      </c>
    </row>
    <row r="31" spans="1:15" s="223" customFormat="1" ht="12.75" customHeight="1" x14ac:dyDescent="0.25">
      <c r="A31" s="229"/>
      <c r="B31" s="217" t="s">
        <v>142</v>
      </c>
      <c r="C31" s="218" t="s">
        <v>159</v>
      </c>
      <c r="D31" s="219" t="s">
        <v>171</v>
      </c>
      <c r="E31" s="225">
        <f>440800+633500+633000</f>
        <v>1707300</v>
      </c>
      <c r="F31" s="219"/>
      <c r="G31" s="225">
        <f t="shared" si="0"/>
        <v>1707300</v>
      </c>
      <c r="H31" s="219">
        <f>'RECAP #9508.00'!D17</f>
        <v>1268098.8999999999</v>
      </c>
      <c r="I31" s="219">
        <f>'RECAP #9508.00'!E17</f>
        <v>785455.03999999992</v>
      </c>
      <c r="J31" s="219">
        <f>'RECAP #9508.00'!F17</f>
        <v>482643.86</v>
      </c>
      <c r="K31" s="219">
        <f>'RECAP #9508.00'!G17</f>
        <v>439201.10000000009</v>
      </c>
      <c r="L31" s="222"/>
      <c r="M31" s="222"/>
      <c r="N31" s="222"/>
      <c r="O31" s="226">
        <f>'#9508.00 PM TIME'!I37</f>
        <v>27534.449999999997</v>
      </c>
    </row>
    <row r="32" spans="1:15" s="223" customFormat="1" ht="12.75" customHeight="1" x14ac:dyDescent="0.25">
      <c r="A32" s="228" t="s">
        <v>250</v>
      </c>
      <c r="B32" s="217" t="s">
        <v>143</v>
      </c>
      <c r="C32" s="218" t="s">
        <v>160</v>
      </c>
      <c r="D32" s="219" t="s">
        <v>171</v>
      </c>
      <c r="E32" s="225">
        <f>633500-633500</f>
        <v>0</v>
      </c>
      <c r="F32" s="219"/>
      <c r="G32" s="225">
        <f t="shared" si="0"/>
        <v>0</v>
      </c>
      <c r="H32" s="219">
        <f>'RECAP #9509.00'!D14</f>
        <v>0</v>
      </c>
      <c r="I32" s="219">
        <f>'RECAP #9509.00'!E14</f>
        <v>0</v>
      </c>
      <c r="J32" s="219">
        <f>'RECAP #9509.00'!F14</f>
        <v>0</v>
      </c>
      <c r="K32" s="219">
        <f>'RECAP #9509.00'!G14</f>
        <v>0</v>
      </c>
      <c r="L32" s="222"/>
      <c r="M32" s="222"/>
      <c r="N32" s="222"/>
      <c r="O32" s="226"/>
    </row>
    <row r="33" spans="1:15" s="223" customFormat="1" ht="12.75" customHeight="1" x14ac:dyDescent="0.25">
      <c r="A33" s="228" t="s">
        <v>250</v>
      </c>
      <c r="B33" s="217" t="s">
        <v>144</v>
      </c>
      <c r="C33" s="218" t="s">
        <v>161</v>
      </c>
      <c r="D33" s="219" t="s">
        <v>171</v>
      </c>
      <c r="E33" s="225">
        <f>633000-633000</f>
        <v>0</v>
      </c>
      <c r="F33" s="219"/>
      <c r="G33" s="225">
        <f t="shared" si="0"/>
        <v>0</v>
      </c>
      <c r="H33" s="219">
        <f>'RECAP #9510.00'!D14</f>
        <v>0</v>
      </c>
      <c r="I33" s="219">
        <f>'RECAP #9510.00'!E14</f>
        <v>0</v>
      </c>
      <c r="J33" s="219">
        <f>'RECAP #9510.00'!F14</f>
        <v>0</v>
      </c>
      <c r="K33" s="219">
        <f>'RECAP #9510.00'!G14</f>
        <v>0</v>
      </c>
      <c r="L33" s="222"/>
      <c r="M33" s="222"/>
      <c r="N33" s="222"/>
      <c r="O33" s="226"/>
    </row>
    <row r="34" spans="1:15" s="223" customFormat="1" ht="12.75" customHeight="1" x14ac:dyDescent="0.25">
      <c r="A34" s="229"/>
      <c r="B34" s="217" t="s">
        <v>145</v>
      </c>
      <c r="C34" s="218" t="s">
        <v>162</v>
      </c>
      <c r="D34" s="219" t="s">
        <v>168</v>
      </c>
      <c r="E34" s="225">
        <f>205000+60000</f>
        <v>265000</v>
      </c>
      <c r="F34" s="219"/>
      <c r="G34" s="225">
        <f t="shared" si="0"/>
        <v>265000</v>
      </c>
      <c r="H34" s="219">
        <f>'RECAP #9511.00'!D18</f>
        <v>244916.62000000002</v>
      </c>
      <c r="I34" s="219">
        <f>'RECAP #9511.00'!E18</f>
        <v>63581.220000000008</v>
      </c>
      <c r="J34" s="219">
        <f>'RECAP #9511.00'!F18</f>
        <v>181335.40000000002</v>
      </c>
      <c r="K34" s="219">
        <f>'RECAP #9511.00'!G18</f>
        <v>20083.379999999976</v>
      </c>
      <c r="L34" s="222"/>
      <c r="M34" s="222"/>
      <c r="N34" s="222"/>
      <c r="O34" s="300">
        <f>'#9511.00 PM TIME'!I39</f>
        <v>1825.1799999999967</v>
      </c>
    </row>
    <row r="35" spans="1:15" s="223" customFormat="1" ht="12.75" customHeight="1" x14ac:dyDescent="0.25">
      <c r="A35" s="228" t="s">
        <v>250</v>
      </c>
      <c r="B35" s="217" t="s">
        <v>146</v>
      </c>
      <c r="C35" s="218" t="s">
        <v>163</v>
      </c>
      <c r="D35" s="219" t="s">
        <v>168</v>
      </c>
      <c r="E35" s="225">
        <f>75000-42927.53+30.95</f>
        <v>32103.420000000002</v>
      </c>
      <c r="F35" s="219"/>
      <c r="G35" s="225">
        <f t="shared" si="0"/>
        <v>32103.420000000002</v>
      </c>
      <c r="H35" s="219">
        <f>'RECAP #9512.00'!D16</f>
        <v>32103.420000000002</v>
      </c>
      <c r="I35" s="219">
        <f>'RECAP #9512.00'!E16</f>
        <v>32103.42</v>
      </c>
      <c r="J35" s="219">
        <f>'RECAP #9512.00'!F16</f>
        <v>3.637978807091713E-12</v>
      </c>
      <c r="K35" s="219">
        <f>'RECAP #9512.00'!G16</f>
        <v>0</v>
      </c>
      <c r="L35" s="222"/>
      <c r="M35" s="222"/>
      <c r="N35" s="222"/>
      <c r="O35" s="226"/>
    </row>
    <row r="36" spans="1:15" s="223" customFormat="1" ht="12.75" customHeight="1" x14ac:dyDescent="0.25">
      <c r="A36" s="229"/>
      <c r="B36" s="217" t="s">
        <v>147</v>
      </c>
      <c r="C36" s="218" t="s">
        <v>164</v>
      </c>
      <c r="D36" s="219" t="s">
        <v>165</v>
      </c>
      <c r="E36" s="225">
        <v>640000</v>
      </c>
      <c r="F36" s="225"/>
      <c r="G36" s="225">
        <f t="shared" si="0"/>
        <v>640000</v>
      </c>
      <c r="H36" s="219">
        <f>'RECAP #9513.00'!D17</f>
        <v>457313.17000000004</v>
      </c>
      <c r="I36" s="219">
        <f>'RECAP #9513.00'!E17</f>
        <v>79246.14</v>
      </c>
      <c r="J36" s="219">
        <f>'RECAP #9513.00'!F17</f>
        <v>378067.03</v>
      </c>
      <c r="K36" s="219">
        <f>'RECAP #9513.00'!G17</f>
        <v>182686.82999999996</v>
      </c>
      <c r="L36" s="222"/>
      <c r="M36" s="222"/>
      <c r="N36" s="222"/>
      <c r="O36" s="226">
        <f>'#9513.00 PM TIME'!I37</f>
        <v>9101.89</v>
      </c>
    </row>
    <row r="37" spans="1:15" s="223" customFormat="1" ht="12.75" customHeight="1" x14ac:dyDescent="0.25">
      <c r="A37" s="228" t="s">
        <v>250</v>
      </c>
      <c r="B37" s="217" t="s">
        <v>256</v>
      </c>
      <c r="C37" s="218" t="s">
        <v>257</v>
      </c>
      <c r="D37" s="219" t="s">
        <v>976</v>
      </c>
      <c r="E37" s="225">
        <f>10000-1426.92</f>
        <v>8573.08</v>
      </c>
      <c r="F37" s="225"/>
      <c r="G37" s="225">
        <f t="shared" si="0"/>
        <v>8573.08</v>
      </c>
      <c r="H37" s="219">
        <f>'RECAP #9514.00'!D14</f>
        <v>8573.08</v>
      </c>
      <c r="I37" s="219">
        <f>'RECAP #9514.00'!E14</f>
        <v>8573.08</v>
      </c>
      <c r="J37" s="219">
        <f>'RECAP #9514.00'!F14</f>
        <v>0</v>
      </c>
      <c r="K37" s="219">
        <f>'RECAP #9514.00'!G14</f>
        <v>0</v>
      </c>
      <c r="L37" s="222"/>
      <c r="M37" s="222"/>
      <c r="N37" s="222"/>
      <c r="O37" s="226"/>
    </row>
    <row r="38" spans="1:15" s="223" customFormat="1" ht="12.75" customHeight="1" x14ac:dyDescent="0.25">
      <c r="A38" s="229"/>
      <c r="B38" s="217" t="s">
        <v>492</v>
      </c>
      <c r="C38" s="218" t="s">
        <v>493</v>
      </c>
      <c r="D38" s="219" t="s">
        <v>167</v>
      </c>
      <c r="E38" s="225">
        <v>250000</v>
      </c>
      <c r="F38" s="225"/>
      <c r="G38" s="225">
        <f t="shared" si="0"/>
        <v>250000</v>
      </c>
      <c r="H38" s="219">
        <f>'RECAP #9519.00'!D17</f>
        <v>103175.98000000001</v>
      </c>
      <c r="I38" s="219">
        <f>'RECAP #9519.00'!E17</f>
        <v>55065.59</v>
      </c>
      <c r="J38" s="219">
        <f>'RECAP #9519.00'!F17</f>
        <v>48110.390000000014</v>
      </c>
      <c r="K38" s="219">
        <f>'RECAP #9519.00'!G17</f>
        <v>146824.01999999999</v>
      </c>
      <c r="L38" s="222"/>
      <c r="M38" s="222"/>
      <c r="N38" s="222"/>
      <c r="O38" s="226">
        <f>'#9519.00 PM TIME'!I29</f>
        <v>8971.1600000000017</v>
      </c>
    </row>
    <row r="39" spans="1:15" s="223" customFormat="1" ht="12.75" customHeight="1" x14ac:dyDescent="0.25">
      <c r="A39" s="229"/>
      <c r="B39" s="217" t="s">
        <v>495</v>
      </c>
      <c r="C39" s="218" t="s">
        <v>494</v>
      </c>
      <c r="D39" s="219" t="s">
        <v>168</v>
      </c>
      <c r="E39" s="225">
        <f>1500000-700000</f>
        <v>800000</v>
      </c>
      <c r="F39" s="225"/>
      <c r="G39" s="225">
        <f t="shared" si="0"/>
        <v>800000</v>
      </c>
      <c r="H39" s="219">
        <f>'RECAP #9521.00'!D18</f>
        <v>682744.21</v>
      </c>
      <c r="I39" s="219">
        <f>'RECAP #9521.00'!E18</f>
        <v>49248.93</v>
      </c>
      <c r="J39" s="219">
        <f>'RECAP #9521.00'!F18</f>
        <v>633495.27999999991</v>
      </c>
      <c r="K39" s="219">
        <f>'RECAP #9521.00'!G18</f>
        <v>117255.79000000004</v>
      </c>
      <c r="L39" s="222"/>
      <c r="M39" s="222"/>
      <c r="N39" s="222"/>
      <c r="O39" s="226">
        <f>'#9521.00 PM TIME '!I29</f>
        <v>32301.879999999997</v>
      </c>
    </row>
    <row r="40" spans="1:15" s="223" customFormat="1" ht="12.75" customHeight="1" x14ac:dyDescent="0.25">
      <c r="A40" s="229"/>
      <c r="B40" s="217" t="s">
        <v>496</v>
      </c>
      <c r="C40" s="218" t="s">
        <v>497</v>
      </c>
      <c r="D40" s="219" t="s">
        <v>168</v>
      </c>
      <c r="E40" s="225">
        <v>250000</v>
      </c>
      <c r="F40" s="225"/>
      <c r="G40" s="225">
        <f t="shared" si="0"/>
        <v>250000</v>
      </c>
      <c r="H40" s="219">
        <f>'RECAP #9524.00'!D15</f>
        <v>70911.31</v>
      </c>
      <c r="I40" s="219">
        <f>'RECAP #9524.00'!E15</f>
        <v>29241.64</v>
      </c>
      <c r="J40" s="219">
        <f>'RECAP #9524.00'!F15</f>
        <v>41669.67</v>
      </c>
      <c r="K40" s="219">
        <f>'RECAP #9524.00'!G15</f>
        <v>179088.69</v>
      </c>
      <c r="L40" s="222"/>
      <c r="M40" s="222"/>
      <c r="N40" s="222"/>
      <c r="O40" s="226">
        <f>'#9524.00 PM TIME'!I33</f>
        <v>6937.48</v>
      </c>
    </row>
    <row r="41" spans="1:15" s="223" customFormat="1" ht="12.75" customHeight="1" x14ac:dyDescent="0.25">
      <c r="A41" s="229"/>
      <c r="B41" s="217" t="s">
        <v>499</v>
      </c>
      <c r="C41" s="218" t="s">
        <v>498</v>
      </c>
      <c r="D41" s="219" t="s">
        <v>165</v>
      </c>
      <c r="E41" s="225">
        <v>500000</v>
      </c>
      <c r="F41" s="225"/>
      <c r="G41" s="225">
        <f t="shared" si="0"/>
        <v>500000</v>
      </c>
      <c r="H41" s="219">
        <f>'RECAP #9527.00'!D15</f>
        <v>99485.759999999995</v>
      </c>
      <c r="I41" s="219">
        <f>'RECAP #9527.00'!E15</f>
        <v>57963.07</v>
      </c>
      <c r="J41" s="219">
        <f>'RECAP #9527.00'!F15</f>
        <v>41522.689999999995</v>
      </c>
      <c r="K41" s="219">
        <f>'RECAP #9527.00'!G15</f>
        <v>400514.24</v>
      </c>
      <c r="L41" s="222"/>
      <c r="M41" s="222"/>
      <c r="N41" s="222"/>
      <c r="O41" s="226">
        <f>'#9527.00 PM TIME'!I29</f>
        <v>4890.9799999999996</v>
      </c>
    </row>
    <row r="42" spans="1:15" s="223" customFormat="1" ht="12.75" customHeight="1" x14ac:dyDescent="0.25">
      <c r="A42" s="229"/>
      <c r="B42" s="217" t="s">
        <v>500</v>
      </c>
      <c r="C42" s="218" t="s">
        <v>502</v>
      </c>
      <c r="D42" s="219" t="s">
        <v>165</v>
      </c>
      <c r="E42" s="225">
        <v>800000</v>
      </c>
      <c r="F42" s="225"/>
      <c r="G42" s="225">
        <f t="shared" si="0"/>
        <v>800000</v>
      </c>
      <c r="H42" s="219">
        <f>'RECAP #9529.00'!D15</f>
        <v>130765.88</v>
      </c>
      <c r="I42" s="219">
        <f>'RECAP #9529.00'!E15</f>
        <v>30679.32</v>
      </c>
      <c r="J42" s="219">
        <f>'RECAP #9529.00'!F15</f>
        <v>100086.56</v>
      </c>
      <c r="K42" s="219">
        <f>'RECAP #9529.00'!G15</f>
        <v>669234.12</v>
      </c>
      <c r="L42" s="222"/>
      <c r="M42" s="222"/>
      <c r="N42" s="222"/>
      <c r="O42" s="226">
        <f>'#9529.00 PM TIME'!I29</f>
        <v>17675.14</v>
      </c>
    </row>
    <row r="43" spans="1:15" s="223" customFormat="1" ht="12.75" customHeight="1" x14ac:dyDescent="0.25">
      <c r="A43" s="229"/>
      <c r="B43" s="217" t="s">
        <v>501</v>
      </c>
      <c r="C43" s="218" t="s">
        <v>503</v>
      </c>
      <c r="D43" s="219" t="s">
        <v>165</v>
      </c>
      <c r="E43" s="225">
        <f>213300+227000</f>
        <v>440300</v>
      </c>
      <c r="F43" s="225"/>
      <c r="G43" s="225">
        <f t="shared" si="0"/>
        <v>440300</v>
      </c>
      <c r="H43" s="219">
        <f>'RECAP #9530.00'!D15</f>
        <v>63408.29</v>
      </c>
      <c r="I43" s="219">
        <f>'RECAP #9530.00'!E15</f>
        <v>36885.520000000004</v>
      </c>
      <c r="J43" s="219">
        <f>'RECAP #9530.00'!F15</f>
        <v>26522.769999999997</v>
      </c>
      <c r="K43" s="219">
        <f>'RECAP #9530.00'!G15</f>
        <v>376891.71</v>
      </c>
      <c r="L43" s="222"/>
      <c r="M43" s="222"/>
      <c r="N43" s="222"/>
      <c r="O43" s="226">
        <f>'#9530.00 PM TIME'!I29</f>
        <v>2174.2099999999991</v>
      </c>
    </row>
    <row r="44" spans="1:15" x14ac:dyDescent="0.25">
      <c r="A44" s="112"/>
      <c r="B44" s="113"/>
      <c r="C44" s="110"/>
      <c r="D44" s="107"/>
      <c r="E44" s="111"/>
      <c r="F44" s="111"/>
      <c r="G44" s="111"/>
      <c r="H44" s="111"/>
      <c r="I44" s="111"/>
      <c r="J44" s="111"/>
      <c r="K44" s="111"/>
      <c r="L44" s="81"/>
      <c r="M44" s="81"/>
      <c r="N44" s="81"/>
      <c r="O44" s="81"/>
    </row>
    <row r="45" spans="1:15" ht="15.75" thickBot="1" x14ac:dyDescent="0.3">
      <c r="A45" s="114"/>
      <c r="B45" s="115"/>
      <c r="C45" s="116" t="s">
        <v>56</v>
      </c>
      <c r="D45" s="117"/>
      <c r="E45" s="118">
        <f>SUM(E11:E44)</f>
        <v>18436370.219999999</v>
      </c>
      <c r="F45" s="118">
        <f>SUM(F9:F44)</f>
        <v>0</v>
      </c>
      <c r="G45" s="118">
        <f>SUM(G11:G44)</f>
        <v>18436370.219999999</v>
      </c>
      <c r="H45" s="118">
        <f>SUM(H11:H44)</f>
        <v>12952772.339999998</v>
      </c>
      <c r="I45" s="118">
        <f>SUM(I11:I44)</f>
        <v>5770784.6100000003</v>
      </c>
      <c r="J45" s="118">
        <f>SUM(J11:J44)</f>
        <v>7181987.7299999995</v>
      </c>
      <c r="K45" s="118">
        <f>SUM(K11:K44)</f>
        <v>5483597.8799999999</v>
      </c>
      <c r="L45" s="81"/>
      <c r="M45" s="81"/>
      <c r="N45" s="81"/>
      <c r="O45" s="142">
        <f>SUM(O12:O43)</f>
        <v>246870.85</v>
      </c>
    </row>
    <row r="46" spans="1:15" ht="15.75" thickBot="1" x14ac:dyDescent="0.3">
      <c r="A46" s="119"/>
      <c r="B46" s="120"/>
      <c r="C46" s="121"/>
      <c r="D46" s="122"/>
      <c r="E46" s="123"/>
      <c r="F46" s="123"/>
      <c r="G46" s="123"/>
      <c r="H46" s="123"/>
      <c r="I46" s="123"/>
      <c r="J46" s="124"/>
      <c r="K46" s="125"/>
      <c r="L46" s="81"/>
      <c r="M46" s="81"/>
      <c r="N46" s="81"/>
      <c r="O46" s="81"/>
    </row>
    <row r="47" spans="1:15" x14ac:dyDescent="0.25">
      <c r="A47" s="90"/>
      <c r="B47" s="78"/>
      <c r="C47" s="77"/>
      <c r="D47" s="79"/>
      <c r="E47" s="126"/>
      <c r="F47" s="126"/>
      <c r="G47" s="127" t="s">
        <v>57</v>
      </c>
      <c r="H47" s="126"/>
      <c r="I47" s="126"/>
      <c r="J47" s="128"/>
      <c r="K47" s="129">
        <f>E7</f>
        <v>3563629.7800000012</v>
      </c>
      <c r="L47" s="81"/>
      <c r="M47" s="81"/>
      <c r="N47" s="81"/>
      <c r="O47" s="81"/>
    </row>
    <row r="48" spans="1:15" ht="24.75" customHeight="1" thickBot="1" x14ac:dyDescent="0.3">
      <c r="A48" s="90"/>
      <c r="B48" s="130"/>
      <c r="C48" s="375" t="s">
        <v>58</v>
      </c>
      <c r="D48" s="79"/>
      <c r="E48" s="126"/>
      <c r="F48" s="126"/>
      <c r="G48" s="127" t="s">
        <v>59</v>
      </c>
      <c r="H48" s="126"/>
      <c r="I48" s="126"/>
      <c r="J48" s="128"/>
      <c r="K48" s="131">
        <f>K45+K47</f>
        <v>9047227.6600000001</v>
      </c>
      <c r="L48" s="81"/>
      <c r="M48" s="81"/>
      <c r="N48" s="81"/>
      <c r="O48" s="81"/>
    </row>
    <row r="49" spans="1:15" ht="15.75" thickTop="1" x14ac:dyDescent="0.25">
      <c r="A49" s="90"/>
      <c r="B49" s="78"/>
      <c r="C49" s="132" t="s">
        <v>2</v>
      </c>
      <c r="D49" s="79"/>
      <c r="E49" s="80"/>
      <c r="F49" s="80"/>
      <c r="G49" s="133" t="s">
        <v>60</v>
      </c>
      <c r="H49" s="80"/>
      <c r="I49" s="80"/>
      <c r="J49" s="129">
        <f>E5</f>
        <v>22000000</v>
      </c>
      <c r="K49" s="81"/>
      <c r="L49" s="81"/>
      <c r="M49" s="81"/>
      <c r="N49" s="81"/>
      <c r="O49" s="81"/>
    </row>
    <row r="50" spans="1:15" x14ac:dyDescent="0.25">
      <c r="A50" s="90"/>
      <c r="B50" s="78"/>
      <c r="C50" s="77"/>
      <c r="D50" s="79"/>
      <c r="E50" s="80"/>
      <c r="F50" s="80"/>
      <c r="G50" s="127" t="s">
        <v>61</v>
      </c>
      <c r="H50" s="80"/>
      <c r="I50" s="80"/>
      <c r="J50" s="134">
        <f>H45*-1</f>
        <v>-12952772.339999998</v>
      </c>
      <c r="K50" s="129">
        <f>SUM(J49:J50)</f>
        <v>9047227.660000002</v>
      </c>
      <c r="L50" s="81"/>
      <c r="M50" s="81"/>
      <c r="N50" s="81"/>
      <c r="O50" s="81"/>
    </row>
    <row r="51" spans="1:15" ht="15.75" thickBot="1" x14ac:dyDescent="0.3">
      <c r="A51" s="90"/>
      <c r="B51" s="77"/>
      <c r="C51" s="77"/>
      <c r="D51" s="79"/>
      <c r="E51" s="80"/>
      <c r="F51" s="80"/>
      <c r="G51" s="133" t="s">
        <v>62</v>
      </c>
      <c r="H51" s="80"/>
      <c r="I51" s="80"/>
      <c r="J51" s="81"/>
      <c r="K51" s="135">
        <f>K48-K50</f>
        <v>0</v>
      </c>
      <c r="L51" s="81"/>
      <c r="M51" s="81"/>
      <c r="N51" s="81"/>
      <c r="O51" s="81"/>
    </row>
    <row r="52" spans="1:15" ht="15" customHeight="1" thickTop="1" x14ac:dyDescent="0.25"/>
  </sheetData>
  <pageMargins left="0.25" right="0.25" top="1.024375" bottom="0.75" header="0.3" footer="0.3"/>
  <pageSetup scale="66" fitToHeight="0" orientation="landscape" r:id="rId1"/>
  <headerFooter alignWithMargins="0">
    <oddHeader xml:space="preserve">&amp;CDepartment of Administrative Services
Major Maintenance 
MM26
&amp;A
&amp;D
</oddHeader>
    <oddFooter>&amp;LAcct Codes 0017-335-MM26
Reversion 6/30/2028
&amp;C&amp;Z&amp;F&amp;R&amp;P/&amp;N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22648-A741-43C3-83C1-AAF74D8AD486}">
  <sheetPr>
    <tabColor rgb="FF0070C0"/>
    <pageSetUpPr fitToPage="1"/>
  </sheetPr>
  <dimension ref="A1:G17"/>
  <sheetViews>
    <sheetView zoomScaleNormal="100" workbookViewId="0">
      <selection activeCell="D23" sqref="D23"/>
    </sheetView>
  </sheetViews>
  <sheetFormatPr defaultColWidth="11.42578125" defaultRowHeight="15" customHeight="1" x14ac:dyDescent="0.25"/>
  <cols>
    <col min="1" max="1" width="3.5703125" style="274" customWidth="1"/>
    <col min="2" max="2" width="25" style="274" customWidth="1"/>
    <col min="3" max="3" width="17.42578125" style="274" customWidth="1"/>
    <col min="4" max="4" width="17" style="274" customWidth="1"/>
    <col min="5" max="5" width="13.42578125" style="274" bestFit="1" customWidth="1"/>
    <col min="6" max="6" width="16.42578125" style="274" customWidth="1"/>
    <col min="7" max="7" width="16.42578125" style="274" bestFit="1" customWidth="1"/>
    <col min="8" max="256" width="11.42578125" style="274"/>
    <col min="257" max="263" width="11.42578125" style="274" customWidth="1"/>
    <col min="264" max="512" width="11.42578125" style="274"/>
    <col min="513" max="519" width="11.42578125" style="274" customWidth="1"/>
    <col min="520" max="768" width="11.42578125" style="274"/>
    <col min="769" max="775" width="11.42578125" style="274" customWidth="1"/>
    <col min="776" max="1024" width="11.42578125" style="274"/>
    <col min="1025" max="1031" width="11.42578125" style="274" customWidth="1"/>
    <col min="1032" max="1280" width="11.42578125" style="274"/>
    <col min="1281" max="1287" width="11.42578125" style="274" customWidth="1"/>
    <col min="1288" max="1536" width="11.42578125" style="274"/>
    <col min="1537" max="1543" width="11.42578125" style="274" customWidth="1"/>
    <col min="1544" max="1792" width="11.42578125" style="274"/>
    <col min="1793" max="1799" width="11.42578125" style="274" customWidth="1"/>
    <col min="1800" max="2048" width="11.42578125" style="274"/>
    <col min="2049" max="2055" width="11.42578125" style="274" customWidth="1"/>
    <col min="2056" max="2304" width="11.42578125" style="274"/>
    <col min="2305" max="2311" width="11.42578125" style="274" customWidth="1"/>
    <col min="2312" max="2560" width="11.42578125" style="274"/>
    <col min="2561" max="2567" width="11.42578125" style="274" customWidth="1"/>
    <col min="2568" max="2816" width="11.42578125" style="274"/>
    <col min="2817" max="2823" width="11.42578125" style="274" customWidth="1"/>
    <col min="2824" max="3072" width="11.42578125" style="274"/>
    <col min="3073" max="3079" width="11.42578125" style="274" customWidth="1"/>
    <col min="3080" max="3328" width="11.42578125" style="274"/>
    <col min="3329" max="3335" width="11.42578125" style="274" customWidth="1"/>
    <col min="3336" max="3584" width="11.42578125" style="274"/>
    <col min="3585" max="3591" width="11.42578125" style="274" customWidth="1"/>
    <col min="3592" max="3840" width="11.42578125" style="274"/>
    <col min="3841" max="3847" width="11.42578125" style="274" customWidth="1"/>
    <col min="3848" max="4096" width="11.42578125" style="274"/>
    <col min="4097" max="4103" width="11.42578125" style="274" customWidth="1"/>
    <col min="4104" max="4352" width="11.42578125" style="274"/>
    <col min="4353" max="4359" width="11.42578125" style="274" customWidth="1"/>
    <col min="4360" max="4608" width="11.42578125" style="274"/>
    <col min="4609" max="4615" width="11.42578125" style="274" customWidth="1"/>
    <col min="4616" max="4864" width="11.42578125" style="274"/>
    <col min="4865" max="4871" width="11.42578125" style="274" customWidth="1"/>
    <col min="4872" max="5120" width="11.42578125" style="274"/>
    <col min="5121" max="5127" width="11.42578125" style="274" customWidth="1"/>
    <col min="5128" max="5376" width="11.42578125" style="274"/>
    <col min="5377" max="5383" width="11.42578125" style="274" customWidth="1"/>
    <col min="5384" max="5632" width="11.42578125" style="274"/>
    <col min="5633" max="5639" width="11.42578125" style="274" customWidth="1"/>
    <col min="5640" max="5888" width="11.42578125" style="274"/>
    <col min="5889" max="5895" width="11.42578125" style="274" customWidth="1"/>
    <col min="5896" max="6144" width="11.42578125" style="274"/>
    <col min="6145" max="6151" width="11.42578125" style="274" customWidth="1"/>
    <col min="6152" max="6400" width="11.42578125" style="274"/>
    <col min="6401" max="6407" width="11.42578125" style="274" customWidth="1"/>
    <col min="6408" max="6656" width="11.42578125" style="274"/>
    <col min="6657" max="6663" width="11.42578125" style="274" customWidth="1"/>
    <col min="6664" max="6912" width="11.42578125" style="274"/>
    <col min="6913" max="6919" width="11.42578125" style="274" customWidth="1"/>
    <col min="6920" max="7168" width="11.42578125" style="274"/>
    <col min="7169" max="7175" width="11.42578125" style="274" customWidth="1"/>
    <col min="7176" max="7424" width="11.42578125" style="274"/>
    <col min="7425" max="7431" width="11.42578125" style="274" customWidth="1"/>
    <col min="7432" max="7680" width="11.42578125" style="274"/>
    <col min="7681" max="7687" width="11.42578125" style="274" customWidth="1"/>
    <col min="7688" max="7936" width="11.42578125" style="274"/>
    <col min="7937" max="7943" width="11.42578125" style="274" customWidth="1"/>
    <col min="7944" max="8192" width="11.42578125" style="274"/>
    <col min="8193" max="8199" width="11.42578125" style="274" customWidth="1"/>
    <col min="8200" max="8448" width="11.42578125" style="274"/>
    <col min="8449" max="8455" width="11.42578125" style="274" customWidth="1"/>
    <col min="8456" max="8704" width="11.42578125" style="274"/>
    <col min="8705" max="8711" width="11.42578125" style="274" customWidth="1"/>
    <col min="8712" max="8960" width="11.42578125" style="274"/>
    <col min="8961" max="8967" width="11.42578125" style="274" customWidth="1"/>
    <col min="8968" max="9216" width="11.42578125" style="274"/>
    <col min="9217" max="9223" width="11.42578125" style="274" customWidth="1"/>
    <col min="9224" max="9472" width="11.42578125" style="274"/>
    <col min="9473" max="9479" width="11.42578125" style="274" customWidth="1"/>
    <col min="9480" max="9728" width="11.42578125" style="274"/>
    <col min="9729" max="9735" width="11.42578125" style="274" customWidth="1"/>
    <col min="9736" max="9984" width="11.42578125" style="274"/>
    <col min="9985" max="9991" width="11.42578125" style="274" customWidth="1"/>
    <col min="9992" max="10240" width="11.42578125" style="274"/>
    <col min="10241" max="10247" width="11.42578125" style="274" customWidth="1"/>
    <col min="10248" max="10496" width="11.42578125" style="274"/>
    <col min="10497" max="10503" width="11.42578125" style="274" customWidth="1"/>
    <col min="10504" max="10752" width="11.42578125" style="274"/>
    <col min="10753" max="10759" width="11.42578125" style="274" customWidth="1"/>
    <col min="10760" max="11008" width="11.42578125" style="274"/>
    <col min="11009" max="11015" width="11.42578125" style="274" customWidth="1"/>
    <col min="11016" max="11264" width="11.42578125" style="274"/>
    <col min="11265" max="11271" width="11.42578125" style="274" customWidth="1"/>
    <col min="11272" max="11520" width="11.42578125" style="274"/>
    <col min="11521" max="11527" width="11.42578125" style="274" customWidth="1"/>
    <col min="11528" max="11776" width="11.42578125" style="274"/>
    <col min="11777" max="11783" width="11.42578125" style="274" customWidth="1"/>
    <col min="11784" max="12032" width="11.42578125" style="274"/>
    <col min="12033" max="12039" width="11.42578125" style="274" customWidth="1"/>
    <col min="12040" max="12288" width="11.42578125" style="274"/>
    <col min="12289" max="12295" width="11.42578125" style="274" customWidth="1"/>
    <col min="12296" max="12544" width="11.42578125" style="274"/>
    <col min="12545" max="12551" width="11.42578125" style="274" customWidth="1"/>
    <col min="12552" max="12800" width="11.42578125" style="274"/>
    <col min="12801" max="12807" width="11.42578125" style="274" customWidth="1"/>
    <col min="12808" max="13056" width="11.42578125" style="274"/>
    <col min="13057" max="13063" width="11.42578125" style="274" customWidth="1"/>
    <col min="13064" max="13312" width="11.42578125" style="274"/>
    <col min="13313" max="13319" width="11.42578125" style="274" customWidth="1"/>
    <col min="13320" max="13568" width="11.42578125" style="274"/>
    <col min="13569" max="13575" width="11.42578125" style="274" customWidth="1"/>
    <col min="13576" max="13824" width="11.42578125" style="274"/>
    <col min="13825" max="13831" width="11.42578125" style="274" customWidth="1"/>
    <col min="13832" max="14080" width="11.42578125" style="274"/>
    <col min="14081" max="14087" width="11.42578125" style="274" customWidth="1"/>
    <col min="14088" max="14336" width="11.42578125" style="274"/>
    <col min="14337" max="14343" width="11.42578125" style="274" customWidth="1"/>
    <col min="14344" max="14592" width="11.42578125" style="274"/>
    <col min="14593" max="14599" width="11.42578125" style="274" customWidth="1"/>
    <col min="14600" max="14848" width="11.42578125" style="274"/>
    <col min="14849" max="14855" width="11.42578125" style="274" customWidth="1"/>
    <col min="14856" max="15104" width="11.42578125" style="274"/>
    <col min="15105" max="15111" width="11.42578125" style="274" customWidth="1"/>
    <col min="15112" max="15360" width="11.42578125" style="274"/>
    <col min="15361" max="15367" width="11.42578125" style="274" customWidth="1"/>
    <col min="15368" max="15616" width="11.42578125" style="274"/>
    <col min="15617" max="15623" width="11.42578125" style="274" customWidth="1"/>
    <col min="15624" max="15872" width="11.42578125" style="274"/>
    <col min="15873" max="15879" width="11.42578125" style="274" customWidth="1"/>
    <col min="15880" max="16128" width="11.42578125" style="274"/>
    <col min="16129" max="16135" width="11.42578125" style="274" customWidth="1"/>
    <col min="16136" max="16384" width="11.42578125" style="274"/>
  </cols>
  <sheetData>
    <row r="1" spans="1:7" ht="24.75" customHeight="1" x14ac:dyDescent="0.25">
      <c r="A1" s="151"/>
      <c r="B1" s="30" t="s">
        <v>55</v>
      </c>
      <c r="C1" s="30"/>
      <c r="D1" s="153"/>
      <c r="E1" s="153"/>
      <c r="F1" s="153"/>
      <c r="G1" s="153"/>
    </row>
    <row r="2" spans="1:7" ht="15.75" x14ac:dyDescent="0.25">
      <c r="A2" s="151"/>
      <c r="B2" s="31" t="s">
        <v>68</v>
      </c>
      <c r="C2" s="150"/>
      <c r="D2" s="153"/>
      <c r="E2" s="153"/>
      <c r="F2" s="153"/>
      <c r="G2" s="153"/>
    </row>
    <row r="3" spans="1:7" ht="15.75" x14ac:dyDescent="0.25">
      <c r="A3" s="151"/>
      <c r="B3" s="154" t="s">
        <v>69</v>
      </c>
      <c r="C3" s="150"/>
      <c r="D3" s="153"/>
      <c r="E3" s="155" t="s">
        <v>0</v>
      </c>
      <c r="F3" s="153"/>
      <c r="G3" s="153"/>
    </row>
    <row r="4" spans="1:7" ht="15.75" x14ac:dyDescent="0.25">
      <c r="A4" s="151"/>
      <c r="B4" s="156" t="s">
        <v>1</v>
      </c>
      <c r="C4" s="157" t="s">
        <v>2</v>
      </c>
      <c r="D4" s="153"/>
      <c r="E4" s="153"/>
      <c r="F4" s="153"/>
      <c r="G4" s="153"/>
    </row>
    <row r="5" spans="1:7" ht="15.75" x14ac:dyDescent="0.25">
      <c r="A5" s="151"/>
      <c r="B5" s="31" t="s">
        <v>64</v>
      </c>
      <c r="C5" s="150"/>
      <c r="D5" s="153"/>
      <c r="E5" s="159" t="s">
        <v>1280</v>
      </c>
      <c r="F5" s="352">
        <v>38933</v>
      </c>
      <c r="G5" s="153"/>
    </row>
    <row r="6" spans="1:7" ht="15.75" x14ac:dyDescent="0.25">
      <c r="A6" s="151"/>
      <c r="B6" s="31" t="s">
        <v>97</v>
      </c>
      <c r="C6" s="158"/>
      <c r="D6" s="159" t="s">
        <v>2</v>
      </c>
      <c r="E6" s="153"/>
      <c r="F6" s="153"/>
      <c r="G6" s="153"/>
    </row>
    <row r="7" spans="1:7" ht="35.25" customHeight="1" thickBot="1" x14ac:dyDescent="0.3">
      <c r="A7" s="151"/>
      <c r="B7" s="160" t="s">
        <v>2</v>
      </c>
      <c r="C7" s="161" t="s">
        <v>3</v>
      </c>
      <c r="D7" s="162" t="s">
        <v>4</v>
      </c>
      <c r="E7" s="163" t="s">
        <v>5</v>
      </c>
      <c r="F7" s="164" t="s">
        <v>6</v>
      </c>
      <c r="G7" s="164" t="s">
        <v>7</v>
      </c>
    </row>
    <row r="8" spans="1:7" ht="28.35" customHeight="1" x14ac:dyDescent="0.25">
      <c r="A8" s="151"/>
      <c r="B8" s="151" t="s">
        <v>8</v>
      </c>
      <c r="C8" s="165">
        <f>FINANCIAL!E11</f>
        <v>47812.3</v>
      </c>
      <c r="D8" s="166"/>
      <c r="E8" s="166"/>
      <c r="F8" s="166"/>
      <c r="G8" s="167"/>
    </row>
    <row r="9" spans="1:7" s="282" customFormat="1" ht="12.75" customHeight="1" x14ac:dyDescent="0.25">
      <c r="A9" s="273"/>
      <c r="B9" s="309"/>
      <c r="C9" s="310"/>
      <c r="D9" s="311"/>
      <c r="E9" s="311"/>
      <c r="F9" s="311"/>
      <c r="G9" s="312"/>
    </row>
    <row r="10" spans="1:7" s="282" customFormat="1" ht="12.75" customHeight="1" x14ac:dyDescent="0.25">
      <c r="A10" s="273"/>
      <c r="B10" s="309" t="s">
        <v>9</v>
      </c>
      <c r="C10" s="313"/>
      <c r="D10" s="314">
        <v>0</v>
      </c>
      <c r="E10" s="314">
        <v>0</v>
      </c>
      <c r="F10" s="314">
        <v>0</v>
      </c>
      <c r="G10" s="312"/>
    </row>
    <row r="11" spans="1:7" s="282" customFormat="1" ht="12.75" customHeight="1" x14ac:dyDescent="0.25">
      <c r="A11" s="273"/>
      <c r="B11" s="309" t="s">
        <v>10</v>
      </c>
      <c r="C11" s="313"/>
      <c r="D11" s="314">
        <f>'#9997.26 PM TIME '!E47</f>
        <v>47812.3</v>
      </c>
      <c r="E11" s="314">
        <f>'#9997.26 PM TIME '!G47</f>
        <v>47812.299999999981</v>
      </c>
      <c r="F11" s="314">
        <f>'#9997.26 PM TIME '!I47</f>
        <v>0</v>
      </c>
      <c r="G11" s="312"/>
    </row>
    <row r="12" spans="1:7" s="282" customFormat="1" ht="12.75" customHeight="1" x14ac:dyDescent="0.25">
      <c r="A12" s="273"/>
      <c r="B12" s="309" t="s">
        <v>11</v>
      </c>
      <c r="C12" s="311"/>
      <c r="D12" s="315">
        <v>0</v>
      </c>
      <c r="E12" s="315">
        <f>'#9484.00 Misc'!H22</f>
        <v>0</v>
      </c>
      <c r="F12" s="314">
        <f>D12-E12</f>
        <v>0</v>
      </c>
      <c r="G12" s="312"/>
    </row>
    <row r="13" spans="1:7" s="282" customFormat="1" ht="12.75" customHeight="1" x14ac:dyDescent="0.25">
      <c r="A13" s="273"/>
      <c r="B13" s="309"/>
      <c r="C13" s="311"/>
      <c r="D13" s="315"/>
      <c r="E13" s="315"/>
      <c r="F13" s="314"/>
      <c r="G13" s="312"/>
    </row>
    <row r="14" spans="1:7" s="282" customFormat="1" ht="22.5" customHeight="1" thickBot="1" x14ac:dyDescent="0.3">
      <c r="A14" s="273"/>
      <c r="B14" s="172" t="s">
        <v>12</v>
      </c>
      <c r="C14" s="173">
        <f>SUM(C8:C13)</f>
        <v>47812.3</v>
      </c>
      <c r="D14" s="173">
        <f>SUM(D8:D13)</f>
        <v>47812.3</v>
      </c>
      <c r="E14" s="173">
        <f>SUM(E8:E13)</f>
        <v>47812.299999999981</v>
      </c>
      <c r="F14" s="173">
        <f>SUM(D14-E14)</f>
        <v>2.1827872842550278E-11</v>
      </c>
      <c r="G14" s="173">
        <f>C8-D14</f>
        <v>0</v>
      </c>
    </row>
    <row r="15" spans="1:7" s="282" customFormat="1" ht="12.75" customHeight="1" thickTop="1" x14ac:dyDescent="0.25">
      <c r="A15" s="273"/>
      <c r="B15" s="274"/>
      <c r="C15" s="274"/>
      <c r="D15" s="274"/>
      <c r="E15" s="274"/>
      <c r="F15" s="274"/>
      <c r="G15" s="274"/>
    </row>
    <row r="16" spans="1:7" s="282" customFormat="1" ht="12.75" customHeight="1" x14ac:dyDescent="0.25">
      <c r="A16" s="273"/>
      <c r="B16" s="309"/>
      <c r="C16" s="311"/>
      <c r="D16" s="315"/>
      <c r="E16" s="315"/>
      <c r="F16" s="314"/>
      <c r="G16" s="312"/>
    </row>
    <row r="17" spans="1:7" s="282" customFormat="1" ht="12.75" customHeight="1" x14ac:dyDescent="0.25">
      <c r="A17" s="273"/>
      <c r="B17" s="309"/>
      <c r="C17" s="311"/>
      <c r="D17" s="315"/>
      <c r="E17" s="315"/>
      <c r="F17" s="314"/>
      <c r="G17" s="312"/>
    </row>
  </sheetData>
  <pageMargins left="0.25" right="0.25" top="0.95" bottom="0.75" header="0.09" footer="0.3"/>
  <pageSetup scale="93" orientation="portrait" r:id="rId1"/>
  <headerFooter alignWithMargins="0">
    <oddHeader>&amp;CDepartment of Administrative Services
Major Maintenance 
MM26
&amp;A
&amp;D</oddHeader>
    <oddFooter>&amp;L
Acct Codes 0017-335-MM26
Reversion 6/30/2028
&amp;C&amp;Z&amp;F&amp;R&amp;P/&amp;N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0150-524A-45FC-A8E0-1E689F64FFAA}">
  <sheetPr>
    <tabColor rgb="FF0070C0"/>
    <pageSetUpPr fitToPage="1"/>
  </sheetPr>
  <dimension ref="A1:J49"/>
  <sheetViews>
    <sheetView topLeftCell="A29" zoomScaleNormal="100" workbookViewId="0">
      <selection activeCell="A54" sqref="A54"/>
    </sheetView>
  </sheetViews>
  <sheetFormatPr defaultColWidth="11.42578125" defaultRowHeight="15" customHeight="1" x14ac:dyDescent="0.25"/>
  <cols>
    <col min="1" max="1" width="24.5703125" style="274" customWidth="1"/>
    <col min="2" max="3" width="9.42578125" style="274" customWidth="1"/>
    <col min="4" max="4" width="41.28515625" style="274" customWidth="1"/>
    <col min="5" max="5" width="12.5703125" style="274" customWidth="1"/>
    <col min="6" max="6" width="13.5703125" style="274" customWidth="1"/>
    <col min="7" max="7" width="12.42578125" style="274" customWidth="1"/>
    <col min="8" max="8" width="10.5703125" style="274" customWidth="1"/>
    <col min="9" max="9" width="11.42578125" style="274" bestFit="1" customWidth="1"/>
    <col min="10" max="256" width="11.42578125" style="274"/>
    <col min="257" max="265" width="11.42578125" style="274" customWidth="1"/>
    <col min="266" max="512" width="11.42578125" style="274"/>
    <col min="513" max="521" width="11.42578125" style="274" customWidth="1"/>
    <col min="522" max="768" width="11.42578125" style="274"/>
    <col min="769" max="777" width="11.42578125" style="274" customWidth="1"/>
    <col min="778" max="1024" width="11.42578125" style="274"/>
    <col min="1025" max="1033" width="11.42578125" style="274" customWidth="1"/>
    <col min="1034" max="1280" width="11.42578125" style="274"/>
    <col min="1281" max="1289" width="11.42578125" style="274" customWidth="1"/>
    <col min="1290" max="1536" width="11.42578125" style="274"/>
    <col min="1537" max="1545" width="11.42578125" style="274" customWidth="1"/>
    <col min="1546" max="1792" width="11.42578125" style="274"/>
    <col min="1793" max="1801" width="11.42578125" style="274" customWidth="1"/>
    <col min="1802" max="2048" width="11.42578125" style="274"/>
    <col min="2049" max="2057" width="11.42578125" style="274" customWidth="1"/>
    <col min="2058" max="2304" width="11.42578125" style="274"/>
    <col min="2305" max="2313" width="11.42578125" style="274" customWidth="1"/>
    <col min="2314" max="2560" width="11.42578125" style="274"/>
    <col min="2561" max="2569" width="11.42578125" style="274" customWidth="1"/>
    <col min="2570" max="2816" width="11.42578125" style="274"/>
    <col min="2817" max="2825" width="11.42578125" style="274" customWidth="1"/>
    <col min="2826" max="3072" width="11.42578125" style="274"/>
    <col min="3073" max="3081" width="11.42578125" style="274" customWidth="1"/>
    <col min="3082" max="3328" width="11.42578125" style="274"/>
    <col min="3329" max="3337" width="11.42578125" style="274" customWidth="1"/>
    <col min="3338" max="3584" width="11.42578125" style="274"/>
    <col min="3585" max="3593" width="11.42578125" style="274" customWidth="1"/>
    <col min="3594" max="3840" width="11.42578125" style="274"/>
    <col min="3841" max="3849" width="11.42578125" style="274" customWidth="1"/>
    <col min="3850" max="4096" width="11.42578125" style="274"/>
    <col min="4097" max="4105" width="11.42578125" style="274" customWidth="1"/>
    <col min="4106" max="4352" width="11.42578125" style="274"/>
    <col min="4353" max="4361" width="11.42578125" style="274" customWidth="1"/>
    <col min="4362" max="4608" width="11.42578125" style="274"/>
    <col min="4609" max="4617" width="11.42578125" style="274" customWidth="1"/>
    <col min="4618" max="4864" width="11.42578125" style="274"/>
    <col min="4865" max="4873" width="11.42578125" style="274" customWidth="1"/>
    <col min="4874" max="5120" width="11.42578125" style="274"/>
    <col min="5121" max="5129" width="11.42578125" style="274" customWidth="1"/>
    <col min="5130" max="5376" width="11.42578125" style="274"/>
    <col min="5377" max="5385" width="11.42578125" style="274" customWidth="1"/>
    <col min="5386" max="5632" width="11.42578125" style="274"/>
    <col min="5633" max="5641" width="11.42578125" style="274" customWidth="1"/>
    <col min="5642" max="5888" width="11.42578125" style="274"/>
    <col min="5889" max="5897" width="11.42578125" style="274" customWidth="1"/>
    <col min="5898" max="6144" width="11.42578125" style="274"/>
    <col min="6145" max="6153" width="11.42578125" style="274" customWidth="1"/>
    <col min="6154" max="6400" width="11.42578125" style="274"/>
    <col min="6401" max="6409" width="11.42578125" style="274" customWidth="1"/>
    <col min="6410" max="6656" width="11.42578125" style="274"/>
    <col min="6657" max="6665" width="11.42578125" style="274" customWidth="1"/>
    <col min="6666" max="6912" width="11.42578125" style="274"/>
    <col min="6913" max="6921" width="11.42578125" style="274" customWidth="1"/>
    <col min="6922" max="7168" width="11.42578125" style="274"/>
    <col min="7169" max="7177" width="11.42578125" style="274" customWidth="1"/>
    <col min="7178" max="7424" width="11.42578125" style="274"/>
    <col min="7425" max="7433" width="11.42578125" style="274" customWidth="1"/>
    <col min="7434" max="7680" width="11.42578125" style="274"/>
    <col min="7681" max="7689" width="11.42578125" style="274" customWidth="1"/>
    <col min="7690" max="7936" width="11.42578125" style="274"/>
    <col min="7937" max="7945" width="11.42578125" style="274" customWidth="1"/>
    <col min="7946" max="8192" width="11.42578125" style="274"/>
    <col min="8193" max="8201" width="11.42578125" style="274" customWidth="1"/>
    <col min="8202" max="8448" width="11.42578125" style="274"/>
    <col min="8449" max="8457" width="11.42578125" style="274" customWidth="1"/>
    <col min="8458" max="8704" width="11.42578125" style="274"/>
    <col min="8705" max="8713" width="11.42578125" style="274" customWidth="1"/>
    <col min="8714" max="8960" width="11.42578125" style="274"/>
    <col min="8961" max="8969" width="11.42578125" style="274" customWidth="1"/>
    <col min="8970" max="9216" width="11.42578125" style="274"/>
    <col min="9217" max="9225" width="11.42578125" style="274" customWidth="1"/>
    <col min="9226" max="9472" width="11.42578125" style="274"/>
    <col min="9473" max="9481" width="11.42578125" style="274" customWidth="1"/>
    <col min="9482" max="9728" width="11.42578125" style="274"/>
    <col min="9729" max="9737" width="11.42578125" style="274" customWidth="1"/>
    <col min="9738" max="9984" width="11.42578125" style="274"/>
    <col min="9985" max="9993" width="11.42578125" style="274" customWidth="1"/>
    <col min="9994" max="10240" width="11.42578125" style="274"/>
    <col min="10241" max="10249" width="11.42578125" style="274" customWidth="1"/>
    <col min="10250" max="10496" width="11.42578125" style="274"/>
    <col min="10497" max="10505" width="11.42578125" style="274" customWidth="1"/>
    <col min="10506" max="10752" width="11.42578125" style="274"/>
    <col min="10753" max="10761" width="11.42578125" style="274" customWidth="1"/>
    <col min="10762" max="11008" width="11.42578125" style="274"/>
    <col min="11009" max="11017" width="11.42578125" style="274" customWidth="1"/>
    <col min="11018" max="11264" width="11.42578125" style="274"/>
    <col min="11265" max="11273" width="11.42578125" style="274" customWidth="1"/>
    <col min="11274" max="11520" width="11.42578125" style="274"/>
    <col min="11521" max="11529" width="11.42578125" style="274" customWidth="1"/>
    <col min="11530" max="11776" width="11.42578125" style="274"/>
    <col min="11777" max="11785" width="11.42578125" style="274" customWidth="1"/>
    <col min="11786" max="12032" width="11.42578125" style="274"/>
    <col min="12033" max="12041" width="11.42578125" style="274" customWidth="1"/>
    <col min="12042" max="12288" width="11.42578125" style="274"/>
    <col min="12289" max="12297" width="11.42578125" style="274" customWidth="1"/>
    <col min="12298" max="12544" width="11.42578125" style="274"/>
    <col min="12545" max="12553" width="11.42578125" style="274" customWidth="1"/>
    <col min="12554" max="12800" width="11.42578125" style="274"/>
    <col min="12801" max="12809" width="11.42578125" style="274" customWidth="1"/>
    <col min="12810" max="13056" width="11.42578125" style="274"/>
    <col min="13057" max="13065" width="11.42578125" style="274" customWidth="1"/>
    <col min="13066" max="13312" width="11.42578125" style="274"/>
    <col min="13313" max="13321" width="11.42578125" style="274" customWidth="1"/>
    <col min="13322" max="13568" width="11.42578125" style="274"/>
    <col min="13569" max="13577" width="11.42578125" style="274" customWidth="1"/>
    <col min="13578" max="13824" width="11.42578125" style="274"/>
    <col min="13825" max="13833" width="11.42578125" style="274" customWidth="1"/>
    <col min="13834" max="14080" width="11.42578125" style="274"/>
    <col min="14081" max="14089" width="11.42578125" style="274" customWidth="1"/>
    <col min="14090" max="14336" width="11.42578125" style="274"/>
    <col min="14337" max="14345" width="11.42578125" style="274" customWidth="1"/>
    <col min="14346" max="14592" width="11.42578125" style="274"/>
    <col min="14593" max="14601" width="11.42578125" style="274" customWidth="1"/>
    <col min="14602" max="14848" width="11.42578125" style="274"/>
    <col min="14849" max="14857" width="11.42578125" style="274" customWidth="1"/>
    <col min="14858" max="15104" width="11.42578125" style="274"/>
    <col min="15105" max="15113" width="11.42578125" style="274" customWidth="1"/>
    <col min="15114" max="15360" width="11.42578125" style="274"/>
    <col min="15361" max="15369" width="11.42578125" style="274" customWidth="1"/>
    <col min="15370" max="15616" width="11.42578125" style="274"/>
    <col min="15617" max="15625" width="11.42578125" style="274" customWidth="1"/>
    <col min="15626" max="15872" width="11.42578125" style="274"/>
    <col min="15873" max="15881" width="11.42578125" style="274" customWidth="1"/>
    <col min="15882" max="16128" width="11.42578125" style="274"/>
    <col min="16129" max="16137" width="11.42578125" style="274" customWidth="1"/>
    <col min="16138" max="16384" width="11.42578125" style="274"/>
  </cols>
  <sheetData>
    <row r="1" spans="1:10" ht="24.75" customHeight="1" x14ac:dyDescent="0.25">
      <c r="A1" s="30" t="str">
        <f>'RECAP #9997.26'!B1</f>
        <v>Project Management Time</v>
      </c>
      <c r="B1" s="30"/>
      <c r="C1" s="30"/>
      <c r="D1" s="153"/>
      <c r="E1" s="153"/>
      <c r="F1" s="153"/>
      <c r="G1" s="156"/>
      <c r="H1" s="156"/>
      <c r="I1" s="179"/>
      <c r="J1" s="179"/>
    </row>
    <row r="2" spans="1:10" ht="15.75" x14ac:dyDescent="0.25">
      <c r="A2" s="31" t="str">
        <f>'RECAP #9997.26'!B2</f>
        <v>Project # 9997.26</v>
      </c>
      <c r="B2" s="150"/>
      <c r="C2" s="150"/>
      <c r="D2" s="153"/>
      <c r="E2" s="153"/>
      <c r="F2" s="153"/>
      <c r="G2" s="156"/>
      <c r="H2" s="156"/>
      <c r="I2" s="179"/>
      <c r="J2" s="179"/>
    </row>
    <row r="3" spans="1:10" ht="15.75" x14ac:dyDescent="0.25">
      <c r="A3" s="154" t="str">
        <f>'RECAP #9997.26'!B3</f>
        <v>Program code 999726</v>
      </c>
      <c r="B3" s="150"/>
      <c r="C3" s="150"/>
      <c r="D3" s="153"/>
      <c r="E3" s="155" t="str">
        <f>'RECAP #9997.26'!E3</f>
        <v>Major Program xxxx</v>
      </c>
      <c r="F3" s="153"/>
      <c r="G3" s="156"/>
      <c r="H3" s="156"/>
      <c r="I3" s="179"/>
      <c r="J3" s="179"/>
    </row>
    <row r="4" spans="1:10" ht="15.75" x14ac:dyDescent="0.25">
      <c r="A4" s="30" t="s">
        <v>10</v>
      </c>
      <c r="B4" s="31"/>
      <c r="C4" s="31"/>
      <c r="D4" s="179"/>
      <c r="E4" s="180" t="s">
        <v>25</v>
      </c>
      <c r="F4" s="156"/>
      <c r="G4" s="156"/>
      <c r="H4" s="156"/>
      <c r="I4" s="179"/>
      <c r="J4" s="179"/>
    </row>
    <row r="5" spans="1:10" ht="15.75" x14ac:dyDescent="0.25">
      <c r="A5" s="31"/>
      <c r="B5" s="179"/>
      <c r="C5" s="179"/>
      <c r="D5" s="182"/>
      <c r="E5" s="37"/>
      <c r="F5" s="42"/>
      <c r="G5" s="156"/>
      <c r="H5" s="156"/>
      <c r="I5" s="179"/>
      <c r="J5" s="179"/>
    </row>
    <row r="6" spans="1:10" ht="15.75" x14ac:dyDescent="0.25">
      <c r="A6" s="181" t="s">
        <v>66</v>
      </c>
      <c r="B6" s="31"/>
      <c r="C6" s="31"/>
      <c r="D6" s="183"/>
      <c r="E6" s="37" t="s">
        <v>70</v>
      </c>
      <c r="F6" s="42"/>
      <c r="G6" s="43"/>
      <c r="H6" s="156"/>
      <c r="I6" s="179"/>
      <c r="J6" s="179"/>
    </row>
    <row r="7" spans="1:10" ht="15.75" x14ac:dyDescent="0.25">
      <c r="A7" s="31" t="str">
        <f>'RECAP #9997.26'!B6</f>
        <v>Project Manager - Geoff W.</v>
      </c>
      <c r="B7" s="185"/>
      <c r="C7" s="185"/>
      <c r="D7" s="185"/>
      <c r="E7" s="43" t="s">
        <v>2</v>
      </c>
      <c r="F7" s="43"/>
      <c r="G7" s="43"/>
      <c r="H7" s="156"/>
      <c r="I7" s="179"/>
      <c r="J7" s="179" t="s">
        <v>2</v>
      </c>
    </row>
    <row r="8" spans="1:10" ht="32.25" thickBot="1" x14ac:dyDescent="0.3">
      <c r="A8" s="186" t="s">
        <v>16</v>
      </c>
      <c r="B8" s="187" t="s">
        <v>17</v>
      </c>
      <c r="C8" s="207" t="s">
        <v>27</v>
      </c>
      <c r="D8" s="188" t="s">
        <v>28</v>
      </c>
      <c r="E8" s="189" t="s">
        <v>19</v>
      </c>
      <c r="F8" s="189" t="s">
        <v>20</v>
      </c>
      <c r="G8" s="189" t="s">
        <v>21</v>
      </c>
      <c r="H8" s="189" t="s">
        <v>22</v>
      </c>
      <c r="I8" s="189" t="s">
        <v>23</v>
      </c>
      <c r="J8" s="179" t="s">
        <v>2</v>
      </c>
    </row>
    <row r="9" spans="1:10" s="282" customFormat="1" ht="12.75" customHeight="1" x14ac:dyDescent="0.25">
      <c r="A9" s="304"/>
      <c r="B9" s="276"/>
      <c r="C9" s="276"/>
      <c r="D9" s="287" t="s">
        <v>29</v>
      </c>
      <c r="E9" s="278">
        <f>75000-27187.7</f>
        <v>47812.3</v>
      </c>
      <c r="F9" s="279">
        <f>E9</f>
        <v>47812.3</v>
      </c>
      <c r="G9" s="280"/>
      <c r="H9" s="280"/>
      <c r="I9" s="280">
        <f>F9</f>
        <v>47812.3</v>
      </c>
      <c r="J9" s="281"/>
    </row>
    <row r="10" spans="1:10" s="282" customFormat="1" ht="12.75" customHeight="1" x14ac:dyDescent="0.25">
      <c r="A10" s="306"/>
      <c r="B10" s="283"/>
      <c r="C10" s="283"/>
      <c r="D10" s="287"/>
      <c r="E10" s="279"/>
      <c r="F10" s="279">
        <f t="shared" ref="F10:F45" si="0">F9+E10</f>
        <v>47812.3</v>
      </c>
      <c r="G10" s="284"/>
      <c r="H10" s="280">
        <f t="shared" ref="H10:H45" si="1">H9+G10</f>
        <v>0</v>
      </c>
      <c r="I10" s="280">
        <f t="shared" ref="I10:I45" si="2">I9-G10+E10</f>
        <v>47812.3</v>
      </c>
      <c r="J10" s="281"/>
    </row>
    <row r="11" spans="1:10" s="282" customFormat="1" ht="12.75" customHeight="1" x14ac:dyDescent="0.25">
      <c r="A11" s="305" t="s">
        <v>87</v>
      </c>
      <c r="B11" s="276">
        <v>45876</v>
      </c>
      <c r="C11" s="351">
        <v>2507</v>
      </c>
      <c r="D11" s="306" t="s">
        <v>88</v>
      </c>
      <c r="E11" s="279"/>
      <c r="F11" s="279">
        <f t="shared" si="0"/>
        <v>47812.3</v>
      </c>
      <c r="G11" s="284">
        <f>424.26+1038.89</f>
        <v>1463.15</v>
      </c>
      <c r="H11" s="280">
        <f t="shared" si="1"/>
        <v>1463.15</v>
      </c>
      <c r="I11" s="280">
        <f t="shared" si="2"/>
        <v>46349.15</v>
      </c>
      <c r="J11" s="281"/>
    </row>
    <row r="12" spans="1:10" s="282" customFormat="1" ht="12.75" customHeight="1" x14ac:dyDescent="0.25">
      <c r="A12" s="305" t="s">
        <v>87</v>
      </c>
      <c r="B12" s="276">
        <v>45876</v>
      </c>
      <c r="C12" s="351">
        <v>9500</v>
      </c>
      <c r="D12" s="306" t="s">
        <v>89</v>
      </c>
      <c r="E12" s="279"/>
      <c r="F12" s="279">
        <f t="shared" si="0"/>
        <v>47812.3</v>
      </c>
      <c r="G12" s="284">
        <f>1449.7+4661.5</f>
        <v>6111.2</v>
      </c>
      <c r="H12" s="280">
        <f t="shared" si="1"/>
        <v>7574.35</v>
      </c>
      <c r="I12" s="280">
        <f t="shared" si="2"/>
        <v>40237.950000000004</v>
      </c>
      <c r="J12" s="281"/>
    </row>
    <row r="13" spans="1:10" s="282" customFormat="1" ht="12.75" customHeight="1" x14ac:dyDescent="0.25">
      <c r="A13" s="305" t="s">
        <v>99</v>
      </c>
      <c r="B13" s="276">
        <v>45911</v>
      </c>
      <c r="C13" s="351">
        <v>2507</v>
      </c>
      <c r="D13" s="306" t="s">
        <v>100</v>
      </c>
      <c r="E13" s="279"/>
      <c r="F13" s="279">
        <f t="shared" si="0"/>
        <v>47812.3</v>
      </c>
      <c r="G13" s="307">
        <v>-110.44</v>
      </c>
      <c r="H13" s="280">
        <f t="shared" si="1"/>
        <v>7463.9100000000008</v>
      </c>
      <c r="I13" s="280">
        <f t="shared" si="2"/>
        <v>40348.390000000007</v>
      </c>
      <c r="J13" s="281"/>
    </row>
    <row r="14" spans="1:10" s="282" customFormat="1" ht="12.75" customHeight="1" x14ac:dyDescent="0.25">
      <c r="A14" s="305" t="s">
        <v>99</v>
      </c>
      <c r="B14" s="276">
        <v>45911</v>
      </c>
      <c r="C14" s="351">
        <v>2507</v>
      </c>
      <c r="D14" s="306" t="s">
        <v>101</v>
      </c>
      <c r="E14" s="279"/>
      <c r="F14" s="279">
        <f t="shared" si="0"/>
        <v>47812.3</v>
      </c>
      <c r="G14" s="307">
        <v>-144.13999999999999</v>
      </c>
      <c r="H14" s="280">
        <f t="shared" si="1"/>
        <v>7319.77</v>
      </c>
      <c r="I14" s="280">
        <f t="shared" si="2"/>
        <v>40492.530000000006</v>
      </c>
      <c r="J14" s="281"/>
    </row>
    <row r="15" spans="1:10" s="282" customFormat="1" ht="12.75" customHeight="1" x14ac:dyDescent="0.25">
      <c r="A15" s="305" t="s">
        <v>99</v>
      </c>
      <c r="B15" s="276">
        <v>45911</v>
      </c>
      <c r="C15" s="351">
        <v>2507</v>
      </c>
      <c r="D15" s="306" t="s">
        <v>102</v>
      </c>
      <c r="E15" s="279"/>
      <c r="F15" s="279">
        <f t="shared" si="0"/>
        <v>47812.3</v>
      </c>
      <c r="G15" s="307">
        <v>-169.68</v>
      </c>
      <c r="H15" s="280">
        <f t="shared" si="1"/>
        <v>7150.09</v>
      </c>
      <c r="I15" s="280">
        <f t="shared" si="2"/>
        <v>40662.210000000006</v>
      </c>
      <c r="J15" s="281"/>
    </row>
    <row r="16" spans="1:10" s="282" customFormat="1" ht="12.75" customHeight="1" x14ac:dyDescent="0.25">
      <c r="A16" s="305" t="s">
        <v>99</v>
      </c>
      <c r="B16" s="276">
        <v>45911</v>
      </c>
      <c r="C16" s="351">
        <v>9500</v>
      </c>
      <c r="D16" s="306" t="s">
        <v>100</v>
      </c>
      <c r="E16" s="279"/>
      <c r="F16" s="279">
        <f t="shared" si="0"/>
        <v>47812.3</v>
      </c>
      <c r="G16" s="307">
        <v>-1211.0999999999999</v>
      </c>
      <c r="H16" s="280">
        <f t="shared" si="1"/>
        <v>5938.99</v>
      </c>
      <c r="I16" s="280">
        <f t="shared" si="2"/>
        <v>41873.310000000005</v>
      </c>
      <c r="J16" s="281"/>
    </row>
    <row r="17" spans="1:10" s="282" customFormat="1" ht="12.75" customHeight="1" x14ac:dyDescent="0.25">
      <c r="A17" s="305" t="s">
        <v>99</v>
      </c>
      <c r="B17" s="276">
        <v>45911</v>
      </c>
      <c r="C17" s="351">
        <v>9500</v>
      </c>
      <c r="D17" s="306" t="s">
        <v>101</v>
      </c>
      <c r="E17" s="279"/>
      <c r="F17" s="279">
        <f t="shared" si="0"/>
        <v>47812.3</v>
      </c>
      <c r="G17" s="307">
        <v>-1595.5</v>
      </c>
      <c r="H17" s="280">
        <f t="shared" si="1"/>
        <v>4343.49</v>
      </c>
      <c r="I17" s="280">
        <f t="shared" si="2"/>
        <v>43468.810000000005</v>
      </c>
      <c r="J17" s="281"/>
    </row>
    <row r="18" spans="1:10" s="282" customFormat="1" ht="12.75" customHeight="1" x14ac:dyDescent="0.25">
      <c r="A18" s="305" t="s">
        <v>99</v>
      </c>
      <c r="B18" s="276">
        <v>45911</v>
      </c>
      <c r="C18" s="351">
        <v>9500</v>
      </c>
      <c r="D18" s="306" t="s">
        <v>102</v>
      </c>
      <c r="E18" s="279"/>
      <c r="F18" s="279">
        <f t="shared" si="0"/>
        <v>47812.3</v>
      </c>
      <c r="G18" s="307">
        <v>-1854.9</v>
      </c>
      <c r="H18" s="280">
        <f t="shared" si="1"/>
        <v>2488.5899999999997</v>
      </c>
      <c r="I18" s="280">
        <f t="shared" si="2"/>
        <v>45323.710000000006</v>
      </c>
      <c r="J18" s="281"/>
    </row>
    <row r="19" spans="1:10" s="282" customFormat="1" ht="12.75" customHeight="1" x14ac:dyDescent="0.25">
      <c r="A19" s="305" t="s">
        <v>123</v>
      </c>
      <c r="B19" s="276">
        <v>45908</v>
      </c>
      <c r="C19" s="351">
        <v>2507</v>
      </c>
      <c r="D19" s="306" t="s">
        <v>124</v>
      </c>
      <c r="E19" s="279"/>
      <c r="F19" s="279">
        <f t="shared" si="0"/>
        <v>47812.3</v>
      </c>
      <c r="G19" s="284">
        <v>2070.0700000000002</v>
      </c>
      <c r="H19" s="280">
        <f t="shared" si="1"/>
        <v>4558.66</v>
      </c>
      <c r="I19" s="280">
        <f t="shared" si="2"/>
        <v>43253.640000000007</v>
      </c>
      <c r="J19" s="281"/>
    </row>
    <row r="20" spans="1:10" s="282" customFormat="1" ht="12.75" customHeight="1" x14ac:dyDescent="0.25">
      <c r="A20" s="305" t="s">
        <v>123</v>
      </c>
      <c r="B20" s="276">
        <v>45908</v>
      </c>
      <c r="C20" s="351">
        <v>9500</v>
      </c>
      <c r="D20" s="306" t="s">
        <v>125</v>
      </c>
      <c r="E20" s="279"/>
      <c r="F20" s="279">
        <f t="shared" si="0"/>
        <v>47812.3</v>
      </c>
      <c r="G20" s="284">
        <v>2472.3000000000002</v>
      </c>
      <c r="H20" s="280">
        <f t="shared" si="1"/>
        <v>7030.96</v>
      </c>
      <c r="I20" s="280">
        <f t="shared" si="2"/>
        <v>40781.340000000004</v>
      </c>
      <c r="J20" s="281"/>
    </row>
    <row r="21" spans="1:10" s="282" customFormat="1" ht="12.75" customHeight="1" x14ac:dyDescent="0.25">
      <c r="A21" s="305" t="s">
        <v>260</v>
      </c>
      <c r="B21" s="276">
        <v>45937</v>
      </c>
      <c r="C21" s="351" t="s">
        <v>261</v>
      </c>
      <c r="D21" s="306" t="s">
        <v>262</v>
      </c>
      <c r="E21" s="279"/>
      <c r="F21" s="279">
        <f t="shared" si="0"/>
        <v>47812.3</v>
      </c>
      <c r="G21" s="284">
        <v>3801.19</v>
      </c>
      <c r="H21" s="280">
        <f t="shared" si="1"/>
        <v>10832.15</v>
      </c>
      <c r="I21" s="280">
        <f t="shared" si="2"/>
        <v>36980.15</v>
      </c>
      <c r="J21" s="281"/>
    </row>
    <row r="22" spans="1:10" s="282" customFormat="1" ht="12.75" customHeight="1" x14ac:dyDescent="0.25">
      <c r="A22" s="305" t="s">
        <v>260</v>
      </c>
      <c r="B22" s="276">
        <v>45937</v>
      </c>
      <c r="C22" s="351">
        <v>9500</v>
      </c>
      <c r="D22" s="306" t="s">
        <v>263</v>
      </c>
      <c r="E22" s="279"/>
      <c r="F22" s="279">
        <f t="shared" si="0"/>
        <v>47812.3</v>
      </c>
      <c r="G22" s="284">
        <v>2413.6</v>
      </c>
      <c r="H22" s="280">
        <f t="shared" si="1"/>
        <v>13245.75</v>
      </c>
      <c r="I22" s="280">
        <f t="shared" si="2"/>
        <v>34566.550000000003</v>
      </c>
      <c r="J22" s="281"/>
    </row>
    <row r="23" spans="1:10" s="282" customFormat="1" ht="12.75" customHeight="1" x14ac:dyDescent="0.25">
      <c r="A23" s="305" t="s">
        <v>314</v>
      </c>
      <c r="B23" s="276">
        <v>45968</v>
      </c>
      <c r="C23" s="351" t="s">
        <v>261</v>
      </c>
      <c r="D23" s="306" t="s">
        <v>315</v>
      </c>
      <c r="E23" s="279"/>
      <c r="F23" s="279">
        <f t="shared" si="0"/>
        <v>47812.3</v>
      </c>
      <c r="G23" s="284">
        <v>2021.01</v>
      </c>
      <c r="H23" s="280">
        <f t="shared" si="1"/>
        <v>15266.76</v>
      </c>
      <c r="I23" s="280">
        <f t="shared" si="2"/>
        <v>32545.540000000005</v>
      </c>
      <c r="J23" s="281"/>
    </row>
    <row r="24" spans="1:10" s="282" customFormat="1" ht="12.75" customHeight="1" x14ac:dyDescent="0.25">
      <c r="A24" s="305" t="s">
        <v>314</v>
      </c>
      <c r="B24" s="276">
        <v>45968</v>
      </c>
      <c r="C24" s="351">
        <v>9500</v>
      </c>
      <c r="D24" s="306" t="s">
        <v>316</v>
      </c>
      <c r="E24" s="279"/>
      <c r="F24" s="279">
        <f t="shared" si="0"/>
        <v>47812.3</v>
      </c>
      <c r="G24" s="284">
        <v>27910.6</v>
      </c>
      <c r="H24" s="280">
        <f t="shared" si="1"/>
        <v>43177.36</v>
      </c>
      <c r="I24" s="280">
        <f t="shared" si="2"/>
        <v>4634.940000000006</v>
      </c>
      <c r="J24" s="281"/>
    </row>
    <row r="25" spans="1:10" s="282" customFormat="1" ht="12.75" customHeight="1" x14ac:dyDescent="0.25">
      <c r="A25" s="306" t="s">
        <v>317</v>
      </c>
      <c r="B25" s="276">
        <v>45974</v>
      </c>
      <c r="C25" s="351">
        <v>2507</v>
      </c>
      <c r="D25" s="306" t="s">
        <v>318</v>
      </c>
      <c r="E25" s="279"/>
      <c r="F25" s="279">
        <f t="shared" si="0"/>
        <v>47812.3</v>
      </c>
      <c r="G25" s="284">
        <v>300.33999999999997</v>
      </c>
      <c r="H25" s="280">
        <f t="shared" si="1"/>
        <v>43477.7</v>
      </c>
      <c r="I25" s="280">
        <f t="shared" si="2"/>
        <v>4334.6000000000058</v>
      </c>
      <c r="J25" s="281"/>
    </row>
    <row r="26" spans="1:10" s="282" customFormat="1" ht="12.75" customHeight="1" x14ac:dyDescent="0.25">
      <c r="A26" s="306" t="s">
        <v>317</v>
      </c>
      <c r="B26" s="276">
        <v>45974</v>
      </c>
      <c r="C26" s="351">
        <v>9500</v>
      </c>
      <c r="D26" s="306" t="s">
        <v>318</v>
      </c>
      <c r="E26" s="279"/>
      <c r="F26" s="279">
        <f t="shared" si="0"/>
        <v>47812.3</v>
      </c>
      <c r="G26" s="284">
        <v>571.20000000000005</v>
      </c>
      <c r="H26" s="280">
        <f t="shared" si="1"/>
        <v>44048.899999999994</v>
      </c>
      <c r="I26" s="280">
        <f t="shared" si="2"/>
        <v>3763.400000000006</v>
      </c>
      <c r="J26" s="281"/>
    </row>
    <row r="27" spans="1:10" s="282" customFormat="1" ht="12.75" customHeight="1" x14ac:dyDescent="0.2">
      <c r="A27" s="211" t="s">
        <v>364</v>
      </c>
      <c r="B27" s="191">
        <v>45996</v>
      </c>
      <c r="C27" s="194" t="s">
        <v>261</v>
      </c>
      <c r="D27" s="209" t="s">
        <v>365</v>
      </c>
      <c r="E27" s="279"/>
      <c r="F27" s="279">
        <f t="shared" si="0"/>
        <v>47812.3</v>
      </c>
      <c r="G27" s="284">
        <v>2222.6999999999998</v>
      </c>
      <c r="H27" s="280">
        <f t="shared" si="1"/>
        <v>46271.599999999991</v>
      </c>
      <c r="I27" s="280">
        <f t="shared" si="2"/>
        <v>1540.7000000000062</v>
      </c>
      <c r="J27" s="281"/>
    </row>
    <row r="28" spans="1:10" s="282" customFormat="1" ht="12.75" customHeight="1" x14ac:dyDescent="0.2">
      <c r="A28" s="211" t="s">
        <v>364</v>
      </c>
      <c r="B28" s="191">
        <v>45996</v>
      </c>
      <c r="C28" s="308">
        <v>9500</v>
      </c>
      <c r="D28" s="209" t="s">
        <v>366</v>
      </c>
      <c r="E28" s="279"/>
      <c r="F28" s="279">
        <f t="shared" si="0"/>
        <v>47812.3</v>
      </c>
      <c r="G28" s="284">
        <v>1513.8</v>
      </c>
      <c r="H28" s="280">
        <f t="shared" si="1"/>
        <v>47785.399999999994</v>
      </c>
      <c r="I28" s="280">
        <f t="shared" si="2"/>
        <v>26.90000000000623</v>
      </c>
      <c r="J28" s="281"/>
    </row>
    <row r="29" spans="1:10" s="282" customFormat="1" ht="12.75" customHeight="1" x14ac:dyDescent="0.2">
      <c r="A29" s="211" t="s">
        <v>423</v>
      </c>
      <c r="B29" s="191">
        <v>46030</v>
      </c>
      <c r="C29" s="194" t="s">
        <v>261</v>
      </c>
      <c r="D29" s="209" t="s">
        <v>424</v>
      </c>
      <c r="E29" s="279"/>
      <c r="F29" s="279">
        <f t="shared" si="0"/>
        <v>47812.3</v>
      </c>
      <c r="G29" s="284">
        <v>1572.63</v>
      </c>
      <c r="H29" s="280">
        <f t="shared" si="1"/>
        <v>49358.029999999992</v>
      </c>
      <c r="I29" s="280">
        <f t="shared" si="2"/>
        <v>-1545.7299999999939</v>
      </c>
      <c r="J29" s="281"/>
    </row>
    <row r="30" spans="1:10" s="282" customFormat="1" ht="12.75" customHeight="1" x14ac:dyDescent="0.2">
      <c r="A30" s="211" t="s">
        <v>423</v>
      </c>
      <c r="B30" s="191">
        <v>46030</v>
      </c>
      <c r="C30" s="308">
        <v>9500</v>
      </c>
      <c r="D30" s="209" t="s">
        <v>425</v>
      </c>
      <c r="E30" s="279"/>
      <c r="F30" s="279">
        <f t="shared" si="0"/>
        <v>47812.3</v>
      </c>
      <c r="G30" s="284">
        <v>2305.9</v>
      </c>
      <c r="H30" s="280">
        <f t="shared" si="1"/>
        <v>51663.929999999993</v>
      </c>
      <c r="I30" s="280">
        <f t="shared" si="2"/>
        <v>-3851.6299999999937</v>
      </c>
      <c r="J30" s="281"/>
    </row>
    <row r="31" spans="1:10" s="282" customFormat="1" ht="12.75" customHeight="1" x14ac:dyDescent="0.2">
      <c r="A31" s="211" t="s">
        <v>548</v>
      </c>
      <c r="B31" s="191">
        <v>46062</v>
      </c>
      <c r="C31" s="194" t="s">
        <v>261</v>
      </c>
      <c r="D31" s="209" t="s">
        <v>549</v>
      </c>
      <c r="E31" s="279"/>
      <c r="F31" s="279">
        <f t="shared" si="0"/>
        <v>47812.3</v>
      </c>
      <c r="G31" s="284">
        <v>1295.7</v>
      </c>
      <c r="H31" s="280">
        <f t="shared" si="1"/>
        <v>52959.62999999999</v>
      </c>
      <c r="I31" s="280">
        <f t="shared" si="2"/>
        <v>-5147.3299999999936</v>
      </c>
      <c r="J31" s="281"/>
    </row>
    <row r="32" spans="1:10" s="282" customFormat="1" ht="12.75" customHeight="1" x14ac:dyDescent="0.2">
      <c r="A32" s="211" t="s">
        <v>548</v>
      </c>
      <c r="B32" s="191">
        <v>46062</v>
      </c>
      <c r="C32" s="308">
        <v>9500</v>
      </c>
      <c r="D32" s="209" t="s">
        <v>550</v>
      </c>
      <c r="E32" s="279"/>
      <c r="F32" s="279">
        <f t="shared" si="0"/>
        <v>47812.3</v>
      </c>
      <c r="G32" s="284">
        <v>1468.4</v>
      </c>
      <c r="H32" s="280">
        <f t="shared" si="1"/>
        <v>54428.029999999992</v>
      </c>
      <c r="I32" s="280">
        <f t="shared" si="2"/>
        <v>-6615.7299999999941</v>
      </c>
      <c r="J32" s="281"/>
    </row>
    <row r="33" spans="1:10" s="282" customFormat="1" ht="12.75" customHeight="1" x14ac:dyDescent="0.2">
      <c r="A33" s="211" t="s">
        <v>644</v>
      </c>
      <c r="B33" s="191">
        <v>46090</v>
      </c>
      <c r="C33" s="194" t="s">
        <v>261</v>
      </c>
      <c r="D33" s="209" t="s">
        <v>645</v>
      </c>
      <c r="E33" s="279"/>
      <c r="F33" s="279">
        <f t="shared" si="0"/>
        <v>47812.3</v>
      </c>
      <c r="G33" s="284">
        <v>1448.3</v>
      </c>
      <c r="H33" s="280">
        <f t="shared" si="1"/>
        <v>55876.329999999994</v>
      </c>
      <c r="I33" s="280">
        <f t="shared" si="2"/>
        <v>-8064.0299999999943</v>
      </c>
      <c r="J33" s="281"/>
    </row>
    <row r="34" spans="1:10" s="282" customFormat="1" ht="12.75" customHeight="1" x14ac:dyDescent="0.2">
      <c r="A34" s="211" t="s">
        <v>644</v>
      </c>
      <c r="B34" s="191">
        <v>46090</v>
      </c>
      <c r="C34" s="308">
        <v>9500</v>
      </c>
      <c r="D34" s="209" t="s">
        <v>646</v>
      </c>
      <c r="E34" s="279"/>
      <c r="F34" s="279">
        <f t="shared" si="0"/>
        <v>47812.3</v>
      </c>
      <c r="G34" s="284">
        <v>1782.4</v>
      </c>
      <c r="H34" s="280">
        <f t="shared" si="1"/>
        <v>57658.729999999996</v>
      </c>
      <c r="I34" s="280">
        <f t="shared" si="2"/>
        <v>-9846.4299999999948</v>
      </c>
      <c r="J34" s="281"/>
    </row>
    <row r="35" spans="1:10" s="282" customFormat="1" ht="12.75" customHeight="1" x14ac:dyDescent="0.2">
      <c r="A35" s="211" t="s">
        <v>744</v>
      </c>
      <c r="B35" s="191">
        <v>46118</v>
      </c>
      <c r="C35" s="194" t="s">
        <v>261</v>
      </c>
      <c r="D35" s="209" t="s">
        <v>745</v>
      </c>
      <c r="E35" s="279"/>
      <c r="F35" s="279">
        <f t="shared" si="0"/>
        <v>47812.3</v>
      </c>
      <c r="G35" s="284">
        <v>2230.6999999999998</v>
      </c>
      <c r="H35" s="280">
        <f t="shared" si="1"/>
        <v>59889.429999999993</v>
      </c>
      <c r="I35" s="280">
        <f t="shared" si="2"/>
        <v>-12077.129999999994</v>
      </c>
      <c r="J35" s="281"/>
    </row>
    <row r="36" spans="1:10" s="282" customFormat="1" ht="12.75" customHeight="1" x14ac:dyDescent="0.2">
      <c r="A36" s="211" t="s">
        <v>744</v>
      </c>
      <c r="B36" s="191">
        <v>46118</v>
      </c>
      <c r="C36" s="308">
        <v>9500</v>
      </c>
      <c r="D36" s="209" t="s">
        <v>746</v>
      </c>
      <c r="E36" s="279"/>
      <c r="F36" s="279">
        <f t="shared" si="0"/>
        <v>47812.3</v>
      </c>
      <c r="G36" s="284">
        <v>1361.8</v>
      </c>
      <c r="H36" s="280">
        <f t="shared" si="1"/>
        <v>61251.229999999996</v>
      </c>
      <c r="I36" s="280">
        <f t="shared" si="2"/>
        <v>-13438.929999999993</v>
      </c>
      <c r="J36" s="281"/>
    </row>
    <row r="37" spans="1:10" s="282" customFormat="1" ht="12.75" customHeight="1" x14ac:dyDescent="0.2">
      <c r="A37" s="211" t="s">
        <v>869</v>
      </c>
      <c r="B37" s="191">
        <v>46149</v>
      </c>
      <c r="C37" s="194" t="s">
        <v>261</v>
      </c>
      <c r="D37" s="209" t="s">
        <v>870</v>
      </c>
      <c r="E37" s="279"/>
      <c r="F37" s="279">
        <f t="shared" si="0"/>
        <v>47812.3</v>
      </c>
      <c r="G37" s="284">
        <v>1894.52</v>
      </c>
      <c r="H37" s="280">
        <f t="shared" si="1"/>
        <v>63145.749999999993</v>
      </c>
      <c r="I37" s="280">
        <f t="shared" si="2"/>
        <v>-15333.449999999993</v>
      </c>
      <c r="J37" s="281"/>
    </row>
    <row r="38" spans="1:10" s="282" customFormat="1" ht="12.75" customHeight="1" x14ac:dyDescent="0.2">
      <c r="A38" s="211" t="s">
        <v>869</v>
      </c>
      <c r="B38" s="191">
        <v>46149</v>
      </c>
      <c r="C38" s="308">
        <v>9500</v>
      </c>
      <c r="D38" s="209" t="s">
        <v>871</v>
      </c>
      <c r="E38" s="279"/>
      <c r="F38" s="279">
        <f t="shared" si="0"/>
        <v>47812.3</v>
      </c>
      <c r="G38" s="284">
        <v>2057</v>
      </c>
      <c r="H38" s="280">
        <f t="shared" si="1"/>
        <v>65202.749999999993</v>
      </c>
      <c r="I38" s="280">
        <f t="shared" si="2"/>
        <v>-17390.449999999993</v>
      </c>
      <c r="J38" s="281"/>
    </row>
    <row r="39" spans="1:10" s="282" customFormat="1" ht="12.75" customHeight="1" x14ac:dyDescent="0.2">
      <c r="A39" s="211" t="s">
        <v>984</v>
      </c>
      <c r="B39" s="191">
        <v>46181</v>
      </c>
      <c r="C39" s="194" t="s">
        <v>261</v>
      </c>
      <c r="D39" s="209" t="s">
        <v>985</v>
      </c>
      <c r="E39" s="279"/>
      <c r="F39" s="279">
        <f t="shared" si="0"/>
        <v>47812.3</v>
      </c>
      <c r="G39" s="284">
        <v>1497.61</v>
      </c>
      <c r="H39" s="280">
        <f t="shared" si="1"/>
        <v>66700.359999999986</v>
      </c>
      <c r="I39" s="280">
        <f t="shared" si="2"/>
        <v>-18888.059999999994</v>
      </c>
      <c r="J39" s="281"/>
    </row>
    <row r="40" spans="1:10" s="282" customFormat="1" ht="12.75" customHeight="1" x14ac:dyDescent="0.2">
      <c r="A40" s="211" t="s">
        <v>984</v>
      </c>
      <c r="B40" s="191">
        <v>46181</v>
      </c>
      <c r="C40" s="308">
        <v>9500</v>
      </c>
      <c r="D40" s="209" t="s">
        <v>986</v>
      </c>
      <c r="E40" s="279"/>
      <c r="F40" s="279">
        <f t="shared" si="0"/>
        <v>47812.3</v>
      </c>
      <c r="G40" s="284">
        <v>1588.9</v>
      </c>
      <c r="H40" s="280">
        <f t="shared" si="1"/>
        <v>68289.25999999998</v>
      </c>
      <c r="I40" s="280">
        <f t="shared" si="2"/>
        <v>-20476.959999999995</v>
      </c>
      <c r="J40" s="281"/>
    </row>
    <row r="41" spans="1:10" s="282" customFormat="1" ht="12.75" customHeight="1" x14ac:dyDescent="0.2">
      <c r="A41" s="211" t="s">
        <v>1186</v>
      </c>
      <c r="B41" s="191">
        <v>46211</v>
      </c>
      <c r="C41" s="194" t="s">
        <v>261</v>
      </c>
      <c r="D41" s="209" t="s">
        <v>1187</v>
      </c>
      <c r="E41" s="279"/>
      <c r="F41" s="279">
        <f t="shared" si="0"/>
        <v>47812.3</v>
      </c>
      <c r="G41" s="284">
        <v>1518.39</v>
      </c>
      <c r="H41" s="280">
        <f t="shared" si="1"/>
        <v>69807.64999999998</v>
      </c>
      <c r="I41" s="280">
        <f t="shared" si="2"/>
        <v>-21995.349999999995</v>
      </c>
      <c r="J41" s="281"/>
    </row>
    <row r="42" spans="1:10" s="282" customFormat="1" ht="12.75" customHeight="1" x14ac:dyDescent="0.2">
      <c r="A42" s="211" t="s">
        <v>1186</v>
      </c>
      <c r="B42" s="191">
        <v>46211</v>
      </c>
      <c r="C42" s="308">
        <v>9500</v>
      </c>
      <c r="D42" s="209" t="s">
        <v>1188</v>
      </c>
      <c r="E42" s="279"/>
      <c r="F42" s="279">
        <f t="shared" si="0"/>
        <v>47812.3</v>
      </c>
      <c r="G42" s="307">
        <v>-22605</v>
      </c>
      <c r="H42" s="280">
        <f t="shared" si="1"/>
        <v>47202.64999999998</v>
      </c>
      <c r="I42" s="280">
        <f t="shared" si="2"/>
        <v>609.65000000000509</v>
      </c>
      <c r="J42" s="281"/>
    </row>
    <row r="43" spans="1:10" s="282" customFormat="1" ht="12.75" customHeight="1" x14ac:dyDescent="0.2">
      <c r="A43" s="211" t="s">
        <v>1265</v>
      </c>
      <c r="B43" s="191">
        <v>46218</v>
      </c>
      <c r="C43" s="194" t="s">
        <v>261</v>
      </c>
      <c r="D43" s="209" t="s">
        <v>1266</v>
      </c>
      <c r="E43" s="279"/>
      <c r="F43" s="279">
        <f t="shared" si="0"/>
        <v>47812.3</v>
      </c>
      <c r="G43" s="284">
        <v>609.65</v>
      </c>
      <c r="H43" s="280">
        <f t="shared" si="1"/>
        <v>47812.299999999981</v>
      </c>
      <c r="I43" s="280">
        <f t="shared" si="2"/>
        <v>5.1159076974727213E-12</v>
      </c>
      <c r="J43" s="281"/>
    </row>
    <row r="44" spans="1:10" s="282" customFormat="1" ht="12.75" customHeight="1" x14ac:dyDescent="0.2">
      <c r="A44" s="211"/>
      <c r="B44" s="191"/>
      <c r="C44" s="308"/>
      <c r="D44" s="209"/>
      <c r="E44" s="279"/>
      <c r="F44" s="279">
        <f t="shared" si="0"/>
        <v>47812.3</v>
      </c>
      <c r="G44" s="284"/>
      <c r="H44" s="280">
        <f t="shared" si="1"/>
        <v>47812.299999999981</v>
      </c>
      <c r="I44" s="280">
        <f t="shared" si="2"/>
        <v>5.1159076974727213E-12</v>
      </c>
      <c r="J44" s="281"/>
    </row>
    <row r="45" spans="1:10" s="282" customFormat="1" ht="12.75" customHeight="1" x14ac:dyDescent="0.25">
      <c r="A45" s="305"/>
      <c r="B45" s="276"/>
      <c r="C45" s="351"/>
      <c r="D45" s="306"/>
      <c r="E45" s="279"/>
      <c r="F45" s="279">
        <f t="shared" si="0"/>
        <v>47812.3</v>
      </c>
      <c r="G45" s="307"/>
      <c r="H45" s="280">
        <f t="shared" si="1"/>
        <v>47812.299999999981</v>
      </c>
      <c r="I45" s="280">
        <f t="shared" si="2"/>
        <v>5.1159076974727213E-12</v>
      </c>
      <c r="J45" s="281"/>
    </row>
    <row r="46" spans="1:10" s="282" customFormat="1" ht="12.75" customHeight="1" x14ac:dyDescent="0.25">
      <c r="A46" s="275"/>
      <c r="B46" s="277"/>
      <c r="C46" s="351"/>
      <c r="D46" s="287"/>
      <c r="E46" s="280"/>
      <c r="F46" s="280"/>
      <c r="G46" s="280"/>
      <c r="H46" s="280"/>
      <c r="I46" s="280"/>
      <c r="J46" s="281"/>
    </row>
    <row r="47" spans="1:10" s="282" customFormat="1" ht="12.75" customHeight="1" thickBot="1" x14ac:dyDescent="0.3">
      <c r="A47" s="275"/>
      <c r="B47" s="288"/>
      <c r="C47" s="351"/>
      <c r="D47" s="289" t="s">
        <v>24</v>
      </c>
      <c r="E47" s="290">
        <f>SUM(E9:E46)</f>
        <v>47812.3</v>
      </c>
      <c r="F47" s="290"/>
      <c r="G47" s="290">
        <f>SUM(G9:G46)</f>
        <v>47812.299999999981</v>
      </c>
      <c r="H47" s="290"/>
      <c r="I47" s="290">
        <f>E47-G47</f>
        <v>0</v>
      </c>
      <c r="J47" s="281"/>
    </row>
    <row r="48" spans="1:10" s="282" customFormat="1" ht="12.75" customHeight="1" thickTop="1" x14ac:dyDescent="0.25"/>
    <row r="49" s="282" customFormat="1" ht="12.75" customHeight="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876F6-527F-4CA2-A2E5-0AEFC5673D1E}">
  <sheetPr>
    <pageSetUpPr fitToPage="1"/>
  </sheetPr>
  <dimension ref="A1:G20"/>
  <sheetViews>
    <sheetView zoomScaleNormal="100" workbookViewId="0">
      <selection activeCell="J14" sqref="J14"/>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488</v>
      </c>
      <c r="C1" s="3"/>
      <c r="D1" s="4"/>
      <c r="E1" s="4"/>
      <c r="F1" s="4"/>
      <c r="G1" s="4"/>
    </row>
    <row r="2" spans="1:7" ht="15.75" x14ac:dyDescent="0.25">
      <c r="A2" s="1"/>
      <c r="B2" s="6" t="s">
        <v>489</v>
      </c>
      <c r="C2" s="5"/>
      <c r="D2" s="4"/>
      <c r="E2" s="4"/>
      <c r="F2" s="4"/>
      <c r="G2" s="4"/>
    </row>
    <row r="3" spans="1:7" ht="15.75" x14ac:dyDescent="0.25">
      <c r="A3" s="1"/>
      <c r="B3" s="7" t="s">
        <v>490</v>
      </c>
      <c r="C3" s="5"/>
      <c r="D3" s="4"/>
      <c r="E3" s="8" t="s">
        <v>596</v>
      </c>
      <c r="F3" s="4"/>
      <c r="G3" s="4"/>
    </row>
    <row r="4" spans="1:7" ht="15.75" x14ac:dyDescent="0.25">
      <c r="A4" s="1"/>
      <c r="B4" s="9" t="s">
        <v>1</v>
      </c>
      <c r="C4" s="10" t="s">
        <v>2</v>
      </c>
      <c r="D4" s="4"/>
      <c r="E4" s="4"/>
      <c r="F4" s="4"/>
      <c r="G4" s="4"/>
    </row>
    <row r="5" spans="1:7" ht="15.75" x14ac:dyDescent="0.25">
      <c r="A5" s="1"/>
      <c r="B5" s="11" t="s">
        <v>64</v>
      </c>
      <c r="C5" s="5"/>
      <c r="D5" s="4"/>
      <c r="E5" s="13" t="s">
        <v>1280</v>
      </c>
      <c r="F5" s="353"/>
      <c r="G5" s="4"/>
    </row>
    <row r="6" spans="1:7" ht="15.75" x14ac:dyDescent="0.25">
      <c r="A6" s="1"/>
      <c r="B6" s="11" t="s">
        <v>491</v>
      </c>
      <c r="C6" s="12"/>
      <c r="D6" s="13" t="s">
        <v>2</v>
      </c>
      <c r="E6" s="4"/>
      <c r="F6" s="4"/>
      <c r="G6" s="4"/>
    </row>
    <row r="7" spans="1:7" ht="35.25" customHeight="1" thickBot="1" x14ac:dyDescent="0.3">
      <c r="A7" s="1"/>
      <c r="B7" s="14" t="s">
        <v>2</v>
      </c>
      <c r="C7" s="15" t="s">
        <v>3</v>
      </c>
      <c r="D7" s="16" t="s">
        <v>4</v>
      </c>
      <c r="E7" s="17" t="s">
        <v>5</v>
      </c>
      <c r="F7" s="18" t="s">
        <v>6</v>
      </c>
      <c r="G7" s="18" t="s">
        <v>7</v>
      </c>
    </row>
    <row r="8" spans="1:7" ht="28.35" customHeight="1" x14ac:dyDescent="0.25">
      <c r="A8" s="1"/>
      <c r="B8" s="1" t="s">
        <v>8</v>
      </c>
      <c r="C8" s="19">
        <f>FINANCIAL!E12</f>
        <v>1750000</v>
      </c>
      <c r="D8" s="20"/>
      <c r="E8" s="20"/>
      <c r="F8" s="20"/>
      <c r="G8" s="21"/>
    </row>
    <row r="9" spans="1:7" s="223" customFormat="1" ht="12.75" customHeight="1" x14ac:dyDescent="0.25">
      <c r="A9" s="246"/>
      <c r="B9" s="247"/>
      <c r="C9" s="267"/>
      <c r="D9" s="249"/>
      <c r="E9" s="249"/>
      <c r="F9" s="249"/>
      <c r="G9" s="250"/>
    </row>
    <row r="10" spans="1:7" s="223" customFormat="1" ht="12.75" customHeight="1" x14ac:dyDescent="0.25">
      <c r="A10" s="273" t="s">
        <v>250</v>
      </c>
      <c r="B10" s="247" t="s">
        <v>103</v>
      </c>
      <c r="C10" s="248"/>
      <c r="D10" s="251">
        <f>'#9440.01 DCI Group'!D23</f>
        <v>14236.45</v>
      </c>
      <c r="E10" s="251">
        <f>'#9440.01 DCI Group'!F23</f>
        <v>14236.449999999999</v>
      </c>
      <c r="F10" s="251">
        <f>'#9440.01 DCI Group'!H23</f>
        <v>0</v>
      </c>
      <c r="G10" s="250"/>
    </row>
    <row r="11" spans="1:7" s="223" customFormat="1" ht="12.75" customHeight="1" x14ac:dyDescent="0.25">
      <c r="A11" s="246"/>
      <c r="B11" s="247" t="s">
        <v>10</v>
      </c>
      <c r="C11" s="248"/>
      <c r="D11" s="251">
        <f>'#9440.01 PM TIME '!E29</f>
        <v>30000</v>
      </c>
      <c r="E11" s="251">
        <f>'#9440.01 PM TIME '!G29</f>
        <v>7440.2699999999995</v>
      </c>
      <c r="F11" s="251">
        <f>'#9440.01 PM TIME '!I29</f>
        <v>22559.73</v>
      </c>
      <c r="G11" s="250"/>
    </row>
    <row r="12" spans="1:7" s="223" customFormat="1" ht="12.75" customHeight="1" x14ac:dyDescent="0.25">
      <c r="A12" s="246"/>
      <c r="B12" s="247" t="s">
        <v>11</v>
      </c>
      <c r="C12" s="249"/>
      <c r="D12" s="252">
        <f>'#9440.01 Misc '!G22</f>
        <v>1617.74</v>
      </c>
      <c r="E12" s="252">
        <f>'#9440.01 Misc '!G22</f>
        <v>1617.74</v>
      </c>
      <c r="F12" s="251">
        <f>D12-E12</f>
        <v>0</v>
      </c>
      <c r="G12" s="250"/>
    </row>
    <row r="13" spans="1:7" s="223" customFormat="1" ht="12.75" customHeight="1" x14ac:dyDescent="0.25">
      <c r="A13" s="246"/>
      <c r="B13" s="247" t="s">
        <v>114</v>
      </c>
      <c r="C13" s="249"/>
      <c r="D13" s="252">
        <f>'#9440.01 OPN Architects'!D23</f>
        <v>143190</v>
      </c>
      <c r="E13" s="252">
        <f>'#9440.01 OPN Architects'!F23</f>
        <v>100702.09999999999</v>
      </c>
      <c r="F13" s="251">
        <f>'#9440.01 OPN Architects'!H23</f>
        <v>42487.900000000009</v>
      </c>
      <c r="G13" s="250"/>
    </row>
    <row r="14" spans="1:7" s="223" customFormat="1" ht="12.75" customHeight="1" x14ac:dyDescent="0.25">
      <c r="A14" s="246"/>
      <c r="B14" s="247" t="s">
        <v>526</v>
      </c>
      <c r="C14" s="249"/>
      <c r="D14" s="252">
        <f>'#9440.01 DCI Group (2)'!D23</f>
        <v>219929.96</v>
      </c>
      <c r="E14" s="252">
        <f>'#9440.01 DCI Group (2)'!F23</f>
        <v>0</v>
      </c>
      <c r="F14" s="251">
        <f>'#9440.01 DCI Group (2)'!H23</f>
        <v>219929.96</v>
      </c>
      <c r="G14" s="250"/>
    </row>
    <row r="15" spans="1:7" s="223" customFormat="1" ht="12.75" customHeight="1" x14ac:dyDescent="0.25">
      <c r="A15" s="246"/>
      <c r="B15" s="247" t="s">
        <v>1351</v>
      </c>
      <c r="C15" s="249"/>
      <c r="D15" s="252">
        <f>'#9440.01 Bergstrom Construction'!D23</f>
        <v>146245</v>
      </c>
      <c r="E15" s="252">
        <f>'#9440.01 Bergstrom Construction'!F23</f>
        <v>0</v>
      </c>
      <c r="F15" s="251">
        <f>'#9440.01 Bergstrom Construction'!H23</f>
        <v>146245</v>
      </c>
      <c r="G15" s="250"/>
    </row>
    <row r="16" spans="1:7" s="223" customFormat="1" ht="12.75" customHeight="1" x14ac:dyDescent="0.25">
      <c r="A16" s="246"/>
      <c r="B16" s="247" t="s">
        <v>1358</v>
      </c>
      <c r="C16" s="249"/>
      <c r="D16" s="252">
        <f>'#9440.01 VanMaanen Electric'!D23</f>
        <v>111858</v>
      </c>
      <c r="E16" s="252">
        <f>'#9440.01 VanMaanen Electric'!F23</f>
        <v>0</v>
      </c>
      <c r="F16" s="251">
        <f>'#9440.01 VanMaanen Electric'!H23</f>
        <v>111858</v>
      </c>
      <c r="G16" s="250"/>
    </row>
    <row r="17" spans="1:7" s="223" customFormat="1" ht="12.75" customHeight="1" x14ac:dyDescent="0.25">
      <c r="A17" s="246"/>
      <c r="B17" s="247" t="s">
        <v>1394</v>
      </c>
      <c r="C17" s="249"/>
      <c r="D17" s="252">
        <f>'#9440.01 Schumacher Elevator'!D23</f>
        <v>960336</v>
      </c>
      <c r="E17" s="252">
        <f>'#9440.01 Schumacher Elevator'!F23</f>
        <v>0</v>
      </c>
      <c r="F17" s="251">
        <f>'#9440.01 Schumacher Elevator'!H23</f>
        <v>960336</v>
      </c>
      <c r="G17" s="250"/>
    </row>
    <row r="18" spans="1:7" s="223" customFormat="1" ht="12.75" customHeight="1" x14ac:dyDescent="0.25">
      <c r="A18" s="246"/>
      <c r="B18" s="247"/>
      <c r="C18" s="249"/>
      <c r="D18" s="252"/>
      <c r="E18" s="252"/>
      <c r="F18" s="251"/>
      <c r="G18" s="250"/>
    </row>
    <row r="19" spans="1:7" ht="24" customHeight="1" thickBot="1" x14ac:dyDescent="0.3">
      <c r="A19" s="25"/>
      <c r="B19" s="26" t="s">
        <v>12</v>
      </c>
      <c r="C19" s="27">
        <f>SUM(C8:C18)</f>
        <v>1750000</v>
      </c>
      <c r="D19" s="27">
        <f>SUM(D8:D18)</f>
        <v>1627413.15</v>
      </c>
      <c r="E19" s="27">
        <f>SUM(E8:E18)</f>
        <v>123996.56</v>
      </c>
      <c r="F19" s="27">
        <f>SUM(D19-E19)</f>
        <v>1503416.5899999999</v>
      </c>
      <c r="G19" s="27">
        <f>C8-D19</f>
        <v>122586.85000000009</v>
      </c>
    </row>
    <row r="20"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62947-0B84-4A17-87FA-014E766CF9EF}">
  <sheetPr>
    <tabColor rgb="FF0070C0"/>
    <pageSetUpPr fitToPage="1"/>
  </sheetPr>
  <dimension ref="A1:I29"/>
  <sheetViews>
    <sheetView topLeftCell="A6" zoomScaleNormal="100" workbookViewId="0">
      <selection activeCell="A20" sqref="A20"/>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5.7109375" style="274" customWidth="1"/>
    <col min="9" max="9" width="6.85546875" style="274"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#9440.01'!B1</f>
        <v>DAS CC Historical Building Elevators Replacement PH1</v>
      </c>
      <c r="B1" s="30"/>
      <c r="C1" s="153"/>
      <c r="D1" s="153"/>
      <c r="E1" s="153"/>
      <c r="F1" s="156"/>
      <c r="G1" s="156"/>
      <c r="H1" s="179"/>
      <c r="I1" s="179"/>
    </row>
    <row r="2" spans="1:9" ht="15.75" x14ac:dyDescent="0.25">
      <c r="A2" s="31" t="str">
        <f>'RECAP #9440.01'!B2</f>
        <v>Project # 9440.01</v>
      </c>
      <c r="B2" s="150"/>
      <c r="C2" s="153"/>
      <c r="D2" s="153"/>
      <c r="E2" s="153"/>
      <c r="F2" s="156"/>
      <c r="G2" s="156"/>
      <c r="H2" s="179"/>
      <c r="I2" s="179"/>
    </row>
    <row r="3" spans="1:9" ht="15.75" x14ac:dyDescent="0.25">
      <c r="A3" s="154" t="str">
        <f>'RECAP #9440.01'!B3</f>
        <v>Program code 944001</v>
      </c>
      <c r="B3" s="150"/>
      <c r="C3" s="153"/>
      <c r="D3" s="155" t="str">
        <f>'RECAP #9440.01'!E3</f>
        <v xml:space="preserve">Major Program:  4D03 </v>
      </c>
      <c r="E3" s="153"/>
      <c r="F3" s="156"/>
      <c r="G3" s="156"/>
      <c r="H3" s="179"/>
      <c r="I3" s="179"/>
    </row>
    <row r="4" spans="1:9" ht="15.75" x14ac:dyDescent="0.25">
      <c r="A4" s="30" t="s">
        <v>103</v>
      </c>
      <c r="B4" s="31"/>
      <c r="C4" s="179"/>
      <c r="D4" s="180" t="s">
        <v>105</v>
      </c>
      <c r="E4" s="156"/>
      <c r="F4" s="156"/>
      <c r="G4" s="156"/>
      <c r="H4" s="179"/>
      <c r="I4" s="179"/>
    </row>
    <row r="5" spans="1:9" ht="15.75" x14ac:dyDescent="0.25">
      <c r="A5" s="181" t="s">
        <v>104</v>
      </c>
      <c r="B5" s="179"/>
      <c r="C5" s="182"/>
      <c r="D5" s="37" t="s">
        <v>106</v>
      </c>
      <c r="E5" s="42"/>
      <c r="F5" s="156"/>
      <c r="G5" s="156"/>
      <c r="H5" s="179"/>
      <c r="I5" s="179"/>
    </row>
    <row r="6" spans="1:9" ht="15.75" x14ac:dyDescent="0.25">
      <c r="A6" s="31" t="str">
        <f>'RECAP #9440.01'!B6</f>
        <v>Project Manager - Brad T</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597</v>
      </c>
      <c r="B9" s="276">
        <v>46077</v>
      </c>
      <c r="C9" s="277" t="s">
        <v>109</v>
      </c>
      <c r="D9" s="278">
        <v>18399.16</v>
      </c>
      <c r="E9" s="279">
        <f>D9</f>
        <v>18399.16</v>
      </c>
      <c r="F9" s="280"/>
      <c r="G9" s="280"/>
      <c r="H9" s="280">
        <f>E9</f>
        <v>18399.16</v>
      </c>
      <c r="I9" s="281"/>
    </row>
    <row r="10" spans="1:9" s="282" customFormat="1" ht="12.75" customHeight="1" x14ac:dyDescent="0.25">
      <c r="A10" s="275" t="s">
        <v>786</v>
      </c>
      <c r="B10" s="283">
        <v>46127</v>
      </c>
      <c r="C10" s="277" t="s">
        <v>787</v>
      </c>
      <c r="D10" s="279"/>
      <c r="E10" s="279">
        <f t="shared" ref="E10:E21" si="0">E9+D10</f>
        <v>18399.16</v>
      </c>
      <c r="F10" s="284">
        <v>1104.72</v>
      </c>
      <c r="G10" s="280">
        <f t="shared" ref="G10:G21" si="1">G9+F10</f>
        <v>1104.72</v>
      </c>
      <c r="H10" s="280">
        <f t="shared" ref="H10:H21" si="2">H9-F10+D10</f>
        <v>17294.439999999999</v>
      </c>
      <c r="I10" s="281"/>
    </row>
    <row r="11" spans="1:9" s="282" customFormat="1" ht="12.75" customHeight="1" x14ac:dyDescent="0.25">
      <c r="A11" s="275" t="s">
        <v>867</v>
      </c>
      <c r="B11" s="276">
        <v>46154</v>
      </c>
      <c r="C11" s="277" t="s">
        <v>868</v>
      </c>
      <c r="D11" s="279"/>
      <c r="E11" s="279">
        <f t="shared" si="0"/>
        <v>18399.16</v>
      </c>
      <c r="F11" s="284">
        <v>1700.85</v>
      </c>
      <c r="G11" s="280">
        <f t="shared" si="1"/>
        <v>2805.5699999999997</v>
      </c>
      <c r="H11" s="280">
        <f t="shared" si="2"/>
        <v>15593.589999999998</v>
      </c>
      <c r="I11" s="281"/>
    </row>
    <row r="12" spans="1:9" s="282" customFormat="1" ht="12.75" customHeight="1" x14ac:dyDescent="0.25">
      <c r="A12" s="275" t="s">
        <v>978</v>
      </c>
      <c r="B12" s="276">
        <v>46177</v>
      </c>
      <c r="C12" s="277" t="s">
        <v>979</v>
      </c>
      <c r="D12" s="279"/>
      <c r="E12" s="279">
        <f t="shared" si="0"/>
        <v>18399.16</v>
      </c>
      <c r="F12" s="284">
        <v>2741.83</v>
      </c>
      <c r="G12" s="280">
        <f t="shared" si="1"/>
        <v>5547.4</v>
      </c>
      <c r="H12" s="280">
        <f t="shared" si="2"/>
        <v>12851.759999999998</v>
      </c>
      <c r="I12" s="281"/>
    </row>
    <row r="13" spans="1:9" s="282" customFormat="1" ht="12.75" customHeight="1" x14ac:dyDescent="0.25">
      <c r="A13" s="358" t="s">
        <v>1240</v>
      </c>
      <c r="B13" s="359">
        <v>46216</v>
      </c>
      <c r="C13" s="360" t="s">
        <v>1241</v>
      </c>
      <c r="D13" s="361"/>
      <c r="E13" s="361">
        <f t="shared" si="0"/>
        <v>18399.16</v>
      </c>
      <c r="F13" s="362">
        <v>3117.49</v>
      </c>
      <c r="G13" s="363">
        <f t="shared" si="1"/>
        <v>8664.89</v>
      </c>
      <c r="H13" s="363">
        <f t="shared" si="2"/>
        <v>9734.2699999999986</v>
      </c>
      <c r="I13" s="364" t="s">
        <v>1285</v>
      </c>
    </row>
    <row r="14" spans="1:9" s="282" customFormat="1" ht="12.75" customHeight="1" x14ac:dyDescent="0.25">
      <c r="A14" s="275" t="s">
        <v>1287</v>
      </c>
      <c r="B14" s="276">
        <v>46225</v>
      </c>
      <c r="C14" s="277" t="s">
        <v>1286</v>
      </c>
      <c r="D14" s="278">
        <v>0</v>
      </c>
      <c r="E14" s="279">
        <f t="shared" si="0"/>
        <v>18399.16</v>
      </c>
      <c r="F14" s="280"/>
      <c r="G14" s="280">
        <f t="shared" si="1"/>
        <v>8664.89</v>
      </c>
      <c r="H14" s="280">
        <f t="shared" si="2"/>
        <v>9734.2699999999986</v>
      </c>
      <c r="I14" s="281"/>
    </row>
    <row r="15" spans="1:9" s="282" customFormat="1" ht="12.75" customHeight="1" x14ac:dyDescent="0.25">
      <c r="A15" s="275" t="s">
        <v>1424</v>
      </c>
      <c r="B15" s="276">
        <v>46246</v>
      </c>
      <c r="C15" s="277" t="s">
        <v>1425</v>
      </c>
      <c r="D15" s="279"/>
      <c r="E15" s="279">
        <f t="shared" si="0"/>
        <v>18399.16</v>
      </c>
      <c r="F15" s="284">
        <v>2976.9</v>
      </c>
      <c r="G15" s="280">
        <f t="shared" si="1"/>
        <v>11641.789999999999</v>
      </c>
      <c r="H15" s="280">
        <f t="shared" si="2"/>
        <v>6757.369999999999</v>
      </c>
      <c r="I15" s="281"/>
    </row>
    <row r="16" spans="1:9" s="282" customFormat="1" ht="12.75" customHeight="1" x14ac:dyDescent="0.25">
      <c r="A16" s="275" t="s">
        <v>1514</v>
      </c>
      <c r="B16" s="276">
        <v>46273</v>
      </c>
      <c r="C16" s="277" t="s">
        <v>1515</v>
      </c>
      <c r="D16" s="285">
        <v>-4162.71</v>
      </c>
      <c r="E16" s="279">
        <f t="shared" si="0"/>
        <v>14236.45</v>
      </c>
      <c r="F16" s="284">
        <v>2594.66</v>
      </c>
      <c r="G16" s="280">
        <f t="shared" si="1"/>
        <v>14236.449999999999</v>
      </c>
      <c r="H16" s="280">
        <f t="shared" si="2"/>
        <v>0</v>
      </c>
      <c r="I16" s="281"/>
    </row>
    <row r="17" spans="1:9" s="282" customFormat="1" ht="12.75" customHeight="1" x14ac:dyDescent="0.25">
      <c r="A17" s="275"/>
      <c r="B17" s="276"/>
      <c r="C17" s="277"/>
      <c r="D17" s="279"/>
      <c r="E17" s="279">
        <f t="shared" si="0"/>
        <v>14236.45</v>
      </c>
      <c r="F17" s="284"/>
      <c r="G17" s="280">
        <f t="shared" si="1"/>
        <v>14236.449999999999</v>
      </c>
      <c r="H17" s="280">
        <f t="shared" si="2"/>
        <v>0</v>
      </c>
      <c r="I17" s="281"/>
    </row>
    <row r="18" spans="1:9" s="282" customFormat="1" ht="12.75" customHeight="1" x14ac:dyDescent="0.25">
      <c r="A18" s="275"/>
      <c r="B18" s="276"/>
      <c r="C18" s="277"/>
      <c r="D18" s="279"/>
      <c r="E18" s="279">
        <f t="shared" si="0"/>
        <v>14236.45</v>
      </c>
      <c r="F18" s="284"/>
      <c r="G18" s="280">
        <f t="shared" si="1"/>
        <v>14236.449999999999</v>
      </c>
      <c r="H18" s="280">
        <f t="shared" si="2"/>
        <v>0</v>
      </c>
      <c r="I18" s="281"/>
    </row>
    <row r="19" spans="1:9" s="282" customFormat="1" ht="12.75" customHeight="1" x14ac:dyDescent="0.25">
      <c r="A19" s="275"/>
      <c r="B19" s="276"/>
      <c r="C19" s="277"/>
      <c r="D19" s="279"/>
      <c r="E19" s="279">
        <f t="shared" si="0"/>
        <v>14236.45</v>
      </c>
      <c r="F19" s="280"/>
      <c r="G19" s="280">
        <f t="shared" si="1"/>
        <v>14236.449999999999</v>
      </c>
      <c r="H19" s="280">
        <f t="shared" si="2"/>
        <v>0</v>
      </c>
      <c r="I19" s="281"/>
    </row>
    <row r="20" spans="1:9" s="282" customFormat="1" ht="12.75" customHeight="1" x14ac:dyDescent="0.25">
      <c r="A20" s="275"/>
      <c r="B20" s="276"/>
      <c r="C20" s="277"/>
      <c r="D20" s="279"/>
      <c r="E20" s="279">
        <f t="shared" si="0"/>
        <v>14236.45</v>
      </c>
      <c r="F20" s="280"/>
      <c r="G20" s="280">
        <f t="shared" si="1"/>
        <v>14236.449999999999</v>
      </c>
      <c r="H20" s="280">
        <f t="shared" si="2"/>
        <v>0</v>
      </c>
      <c r="I20" s="281"/>
    </row>
    <row r="21" spans="1:9" s="282" customFormat="1" ht="12.75" customHeight="1" x14ac:dyDescent="0.25">
      <c r="A21" s="275"/>
      <c r="B21" s="276"/>
      <c r="C21" s="286"/>
      <c r="D21" s="279"/>
      <c r="E21" s="279">
        <f t="shared" si="0"/>
        <v>14236.45</v>
      </c>
      <c r="F21" s="280"/>
      <c r="G21" s="280">
        <f t="shared" si="1"/>
        <v>14236.449999999999</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14236.45</v>
      </c>
      <c r="E23" s="290"/>
      <c r="F23" s="290">
        <f>SUM(F9:F22)</f>
        <v>14236.449999999999</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f>17399.16-3162.71</f>
        <v>14236.45</v>
      </c>
      <c r="E26" s="292"/>
      <c r="F26" s="292">
        <f>1104.72+1700.85+2741.83+3117.49+2976.9+2594.66</f>
        <v>14236.449999999999</v>
      </c>
      <c r="G26" s="292"/>
      <c r="H26" s="292">
        <f>D26-F26</f>
        <v>0</v>
      </c>
      <c r="I26" s="281"/>
    </row>
    <row r="27" spans="1:9" s="282" customFormat="1" ht="12.75" customHeight="1" x14ac:dyDescent="0.25">
      <c r="A27" s="275"/>
      <c r="B27" s="277"/>
      <c r="C27" s="287" t="s">
        <v>111</v>
      </c>
      <c r="D27" s="292">
        <f>1000-1000</f>
        <v>0</v>
      </c>
      <c r="E27" s="292"/>
      <c r="F27" s="292"/>
      <c r="G27" s="292"/>
      <c r="H27" s="292">
        <f>D27-F27</f>
        <v>0</v>
      </c>
      <c r="I27" s="281"/>
    </row>
    <row r="28" spans="1:9" s="282" customFormat="1" ht="12.75" customHeight="1" thickBot="1" x14ac:dyDescent="0.3">
      <c r="A28" s="275"/>
      <c r="B28" s="277"/>
      <c r="C28" s="293" t="s">
        <v>67</v>
      </c>
      <c r="D28" s="290">
        <f>SUM(D26:D27)</f>
        <v>14236.45</v>
      </c>
      <c r="E28" s="294"/>
      <c r="F28" s="290">
        <f>SUM(F26:F27)</f>
        <v>14236.449999999999</v>
      </c>
      <c r="G28" s="294"/>
      <c r="H28" s="290">
        <f>SUM(H26:H27)</f>
        <v>0</v>
      </c>
      <c r="I28" s="281"/>
    </row>
    <row r="29" spans="1:9" s="282" customFormat="1" ht="12.75" customHeight="1" thickTop="1" x14ac:dyDescent="0.25"/>
  </sheetData>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D6CA4-0E12-4800-AF6C-00CF46D89B51}">
  <sheetPr>
    <pageSetUpPr fitToPage="1"/>
  </sheetPr>
  <dimension ref="A1:J31"/>
  <sheetViews>
    <sheetView zoomScaleNormal="100" workbookViewId="0">
      <selection activeCell="N26" sqref="N26"/>
    </sheetView>
  </sheetViews>
  <sheetFormatPr defaultColWidth="11.42578125" defaultRowHeight="15" customHeight="1" x14ac:dyDescent="0.25"/>
  <cols>
    <col min="1" max="1" width="24.5703125" customWidth="1"/>
    <col min="2" max="3" width="9.42578125" customWidth="1"/>
    <col min="4" max="4" width="43.42578125" customWidth="1"/>
    <col min="5" max="5" width="12.5703125" customWidth="1"/>
    <col min="6" max="6" width="13.5703125" customWidth="1"/>
    <col min="7" max="7" width="12.42578125" customWidth="1"/>
    <col min="8" max="8" width="10.5703125" customWidth="1"/>
    <col min="9" max="9" width="13.1406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#9440.01'!B1</f>
        <v>DAS CC Historical Building Elevators Replacement PH1</v>
      </c>
      <c r="B1" s="3"/>
      <c r="C1" s="3"/>
      <c r="D1" s="4"/>
      <c r="E1" s="4"/>
      <c r="F1" s="4"/>
      <c r="G1" s="28"/>
      <c r="H1" s="28"/>
      <c r="I1" s="29"/>
      <c r="J1" s="29"/>
    </row>
    <row r="2" spans="1:10" ht="15.75" x14ac:dyDescent="0.25">
      <c r="A2" s="6" t="str">
        <f>'RECAP #9440.01'!B2</f>
        <v>Project # 9440.01</v>
      </c>
      <c r="B2" s="5"/>
      <c r="C2" s="5"/>
      <c r="D2" s="4"/>
      <c r="E2" s="4"/>
      <c r="F2" s="4"/>
      <c r="G2" s="28"/>
      <c r="H2" s="28"/>
      <c r="I2" s="29"/>
      <c r="J2" s="29"/>
    </row>
    <row r="3" spans="1:10" ht="15.75" x14ac:dyDescent="0.25">
      <c r="A3" s="7" t="str">
        <f>'RECAP #9440.01'!B3</f>
        <v>Program code 944001</v>
      </c>
      <c r="B3" s="5"/>
      <c r="C3" s="5"/>
      <c r="D3" s="4"/>
      <c r="E3" s="8" t="str">
        <f>'RECAP #9440.01'!E3</f>
        <v xml:space="preserve">Major Program:  4D03 </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519</v>
      </c>
      <c r="F6" s="42"/>
      <c r="G6" s="43"/>
      <c r="H6" s="39"/>
      <c r="I6" s="35"/>
      <c r="J6" s="29"/>
    </row>
    <row r="7" spans="1:10" ht="15.75" x14ac:dyDescent="0.25">
      <c r="A7" s="11" t="str">
        <f>'RECAP #9440.01'!B6</f>
        <v>Project Manager - Brad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v>30000</v>
      </c>
      <c r="F9" s="233">
        <f>E9</f>
        <v>30000</v>
      </c>
      <c r="G9" s="234"/>
      <c r="H9" s="234"/>
      <c r="I9" s="234">
        <f>F9</f>
        <v>30000</v>
      </c>
      <c r="J9" s="235"/>
    </row>
    <row r="10" spans="1:10" s="223" customFormat="1" ht="12.75" customHeight="1" x14ac:dyDescent="0.2">
      <c r="A10" s="70" t="s">
        <v>644</v>
      </c>
      <c r="B10" s="50">
        <v>46090</v>
      </c>
      <c r="C10" s="53" t="s">
        <v>261</v>
      </c>
      <c r="D10" s="144" t="s">
        <v>645</v>
      </c>
      <c r="E10" s="233"/>
      <c r="F10" s="233">
        <f t="shared" ref="F10:F27" si="0">F9+E10</f>
        <v>30000</v>
      </c>
      <c r="G10" s="237">
        <v>48.78</v>
      </c>
      <c r="H10" s="234">
        <f t="shared" ref="H10:H27" si="1">H9+G10</f>
        <v>48.78</v>
      </c>
      <c r="I10" s="234">
        <f t="shared" ref="I10:I27" si="2">I9-G10+E10</f>
        <v>29951.22</v>
      </c>
      <c r="J10" s="235"/>
    </row>
    <row r="11" spans="1:10" s="223" customFormat="1" ht="12.75" customHeight="1" x14ac:dyDescent="0.2">
      <c r="A11" s="70" t="s">
        <v>644</v>
      </c>
      <c r="B11" s="50">
        <v>46090</v>
      </c>
      <c r="C11" s="268">
        <v>9500</v>
      </c>
      <c r="D11" s="66" t="s">
        <v>646</v>
      </c>
      <c r="E11" s="233"/>
      <c r="F11" s="233">
        <f t="shared" si="0"/>
        <v>30000</v>
      </c>
      <c r="G11" s="237">
        <v>561.5</v>
      </c>
      <c r="H11" s="234">
        <f t="shared" si="1"/>
        <v>610.28</v>
      </c>
      <c r="I11" s="234">
        <f t="shared" si="2"/>
        <v>29389.72</v>
      </c>
      <c r="J11" s="235"/>
    </row>
    <row r="12" spans="1:10" s="223" customFormat="1" ht="12.75" customHeight="1" x14ac:dyDescent="0.2">
      <c r="A12" s="70" t="s">
        <v>744</v>
      </c>
      <c r="B12" s="50">
        <v>46118</v>
      </c>
      <c r="C12" s="53" t="s">
        <v>261</v>
      </c>
      <c r="D12" s="144" t="s">
        <v>745</v>
      </c>
      <c r="E12" s="233"/>
      <c r="F12" s="233">
        <f t="shared" si="0"/>
        <v>30000</v>
      </c>
      <c r="G12" s="237">
        <v>51.76</v>
      </c>
      <c r="H12" s="234">
        <f t="shared" si="1"/>
        <v>662.04</v>
      </c>
      <c r="I12" s="234">
        <f t="shared" si="2"/>
        <v>29337.960000000003</v>
      </c>
      <c r="J12" s="235"/>
    </row>
    <row r="13" spans="1:10" s="223" customFormat="1" ht="12.75" customHeight="1" x14ac:dyDescent="0.2">
      <c r="A13" s="70" t="s">
        <v>744</v>
      </c>
      <c r="B13" s="50">
        <v>46118</v>
      </c>
      <c r="C13" s="268">
        <v>9500</v>
      </c>
      <c r="D13" s="66" t="s">
        <v>746</v>
      </c>
      <c r="E13" s="233"/>
      <c r="F13" s="233">
        <f t="shared" si="0"/>
        <v>30000</v>
      </c>
      <c r="G13" s="237">
        <v>419.3</v>
      </c>
      <c r="H13" s="234">
        <f t="shared" si="1"/>
        <v>1081.3399999999999</v>
      </c>
      <c r="I13" s="234">
        <f t="shared" si="2"/>
        <v>28918.660000000003</v>
      </c>
      <c r="J13" s="235"/>
    </row>
    <row r="14" spans="1:10" s="223" customFormat="1" ht="12.75" customHeight="1" x14ac:dyDescent="0.2">
      <c r="A14" s="70" t="s">
        <v>869</v>
      </c>
      <c r="B14" s="50">
        <v>46149</v>
      </c>
      <c r="C14" s="53" t="s">
        <v>261</v>
      </c>
      <c r="D14" s="144" t="s">
        <v>870</v>
      </c>
      <c r="E14" s="233"/>
      <c r="F14" s="233">
        <f t="shared" si="0"/>
        <v>30000</v>
      </c>
      <c r="G14" s="237">
        <v>104.88</v>
      </c>
      <c r="H14" s="234">
        <f t="shared" si="1"/>
        <v>1186.2199999999998</v>
      </c>
      <c r="I14" s="234">
        <f t="shared" si="2"/>
        <v>28813.780000000002</v>
      </c>
      <c r="J14" s="235"/>
    </row>
    <row r="15" spans="1:10" s="223" customFormat="1" ht="12.75" customHeight="1" x14ac:dyDescent="0.2">
      <c r="A15" s="70" t="s">
        <v>869</v>
      </c>
      <c r="B15" s="50">
        <v>46149</v>
      </c>
      <c r="C15" s="268">
        <v>9500</v>
      </c>
      <c r="D15" s="66" t="s">
        <v>871</v>
      </c>
      <c r="E15" s="233"/>
      <c r="F15" s="233">
        <f t="shared" si="0"/>
        <v>30000</v>
      </c>
      <c r="G15" s="237">
        <v>1094.9000000000001</v>
      </c>
      <c r="H15" s="234">
        <f t="shared" si="1"/>
        <v>2281.12</v>
      </c>
      <c r="I15" s="234">
        <f t="shared" si="2"/>
        <v>27718.880000000001</v>
      </c>
      <c r="J15" s="235"/>
    </row>
    <row r="16" spans="1:10" s="223" customFormat="1" ht="12.75" customHeight="1" x14ac:dyDescent="0.2">
      <c r="A16" s="70" t="s">
        <v>984</v>
      </c>
      <c r="B16" s="50">
        <v>46181</v>
      </c>
      <c r="C16" s="53" t="s">
        <v>261</v>
      </c>
      <c r="D16" s="144" t="s">
        <v>985</v>
      </c>
      <c r="E16" s="233"/>
      <c r="F16" s="233">
        <f t="shared" si="0"/>
        <v>30000</v>
      </c>
      <c r="G16" s="237">
        <v>97.92</v>
      </c>
      <c r="H16" s="234">
        <f t="shared" si="1"/>
        <v>2379.04</v>
      </c>
      <c r="I16" s="234">
        <f t="shared" si="2"/>
        <v>27620.960000000003</v>
      </c>
      <c r="J16" s="235"/>
    </row>
    <row r="17" spans="1:10" s="223" customFormat="1" ht="12.75" customHeight="1" x14ac:dyDescent="0.2">
      <c r="A17" s="70" t="s">
        <v>984</v>
      </c>
      <c r="B17" s="50">
        <v>46181</v>
      </c>
      <c r="C17" s="268">
        <v>9500</v>
      </c>
      <c r="D17" s="66" t="s">
        <v>986</v>
      </c>
      <c r="E17" s="233"/>
      <c r="F17" s="233">
        <f t="shared" si="0"/>
        <v>30000</v>
      </c>
      <c r="G17" s="237">
        <v>1201.5</v>
      </c>
      <c r="H17" s="234">
        <f t="shared" si="1"/>
        <v>3580.54</v>
      </c>
      <c r="I17" s="234">
        <f t="shared" si="2"/>
        <v>26419.460000000003</v>
      </c>
      <c r="J17" s="235"/>
    </row>
    <row r="18" spans="1:10" s="223" customFormat="1" ht="12.75" customHeight="1" x14ac:dyDescent="0.2">
      <c r="A18" s="70" t="s">
        <v>1186</v>
      </c>
      <c r="B18" s="50">
        <v>46211</v>
      </c>
      <c r="C18" s="53" t="s">
        <v>261</v>
      </c>
      <c r="D18" s="144" t="s">
        <v>1187</v>
      </c>
      <c r="E18" s="233"/>
      <c r="F18" s="233">
        <f t="shared" si="0"/>
        <v>30000</v>
      </c>
      <c r="G18" s="237">
        <v>103.54</v>
      </c>
      <c r="H18" s="234">
        <f t="shared" si="1"/>
        <v>3684.08</v>
      </c>
      <c r="I18" s="234">
        <f t="shared" si="2"/>
        <v>26315.920000000002</v>
      </c>
      <c r="J18" s="235"/>
    </row>
    <row r="19" spans="1:10" s="223" customFormat="1" ht="12.75" customHeight="1" x14ac:dyDescent="0.2">
      <c r="A19" s="70" t="s">
        <v>1186</v>
      </c>
      <c r="B19" s="50">
        <v>46211</v>
      </c>
      <c r="C19" s="268">
        <v>9500</v>
      </c>
      <c r="D19" s="66" t="s">
        <v>1188</v>
      </c>
      <c r="E19" s="233"/>
      <c r="F19" s="233">
        <f t="shared" si="0"/>
        <v>30000</v>
      </c>
      <c r="G19" s="237">
        <v>1191.4000000000001</v>
      </c>
      <c r="H19" s="234">
        <f t="shared" si="1"/>
        <v>4875.4799999999996</v>
      </c>
      <c r="I19" s="234">
        <f t="shared" si="2"/>
        <v>25124.52</v>
      </c>
      <c r="J19" s="235"/>
    </row>
    <row r="20" spans="1:10" s="223" customFormat="1" ht="12.75" customHeight="1" x14ac:dyDescent="0.2">
      <c r="A20" s="70" t="s">
        <v>1265</v>
      </c>
      <c r="B20" s="50">
        <v>46218</v>
      </c>
      <c r="C20" s="53" t="s">
        <v>261</v>
      </c>
      <c r="D20" s="144" t="s">
        <v>1266</v>
      </c>
      <c r="E20" s="233"/>
      <c r="F20" s="233">
        <f t="shared" si="0"/>
        <v>30000</v>
      </c>
      <c r="G20" s="237">
        <v>41.76</v>
      </c>
      <c r="H20" s="234">
        <f t="shared" si="1"/>
        <v>4917.24</v>
      </c>
      <c r="I20" s="234">
        <f t="shared" si="2"/>
        <v>25082.760000000002</v>
      </c>
      <c r="J20" s="235"/>
    </row>
    <row r="21" spans="1:10" s="223" customFormat="1" ht="12.75" customHeight="1" x14ac:dyDescent="0.2">
      <c r="A21" s="70" t="s">
        <v>1436</v>
      </c>
      <c r="B21" s="365">
        <v>46241</v>
      </c>
      <c r="C21" s="53" t="s">
        <v>261</v>
      </c>
      <c r="D21" s="144" t="s">
        <v>1437</v>
      </c>
      <c r="E21" s="233"/>
      <c r="F21" s="233">
        <f t="shared" si="0"/>
        <v>30000</v>
      </c>
      <c r="G21" s="237">
        <v>123.37</v>
      </c>
      <c r="H21" s="234">
        <f t="shared" si="1"/>
        <v>5040.6099999999997</v>
      </c>
      <c r="I21" s="234">
        <f t="shared" si="2"/>
        <v>24959.390000000003</v>
      </c>
      <c r="J21" s="235"/>
    </row>
    <row r="22" spans="1:10" s="223" customFormat="1" ht="12.75" customHeight="1" x14ac:dyDescent="0.2">
      <c r="A22" s="70" t="s">
        <v>1436</v>
      </c>
      <c r="B22" s="365">
        <v>46241</v>
      </c>
      <c r="C22" s="268">
        <v>9500</v>
      </c>
      <c r="D22" s="66" t="s">
        <v>1438</v>
      </c>
      <c r="E22" s="233"/>
      <c r="F22" s="233">
        <f t="shared" si="0"/>
        <v>30000</v>
      </c>
      <c r="G22" s="237">
        <v>1322.5</v>
      </c>
      <c r="H22" s="234">
        <f t="shared" si="1"/>
        <v>6363.11</v>
      </c>
      <c r="I22" s="234">
        <f t="shared" si="2"/>
        <v>23636.890000000003</v>
      </c>
      <c r="J22" s="235"/>
    </row>
    <row r="23" spans="1:10" s="223" customFormat="1" ht="12.75" customHeight="1" x14ac:dyDescent="0.2">
      <c r="A23" s="70" t="s">
        <v>1531</v>
      </c>
      <c r="B23" s="365">
        <v>46272</v>
      </c>
      <c r="C23" s="53" t="s">
        <v>261</v>
      </c>
      <c r="D23" s="144" t="s">
        <v>1532</v>
      </c>
      <c r="E23" s="233"/>
      <c r="F23" s="233">
        <f t="shared" si="0"/>
        <v>30000</v>
      </c>
      <c r="G23" s="237">
        <v>100.76</v>
      </c>
      <c r="H23" s="234">
        <f t="shared" si="1"/>
        <v>6463.87</v>
      </c>
      <c r="I23" s="234">
        <f t="shared" si="2"/>
        <v>23536.130000000005</v>
      </c>
      <c r="J23" s="235"/>
    </row>
    <row r="24" spans="1:10" s="223" customFormat="1" ht="12.75" customHeight="1" x14ac:dyDescent="0.2">
      <c r="A24" s="70" t="s">
        <v>1531</v>
      </c>
      <c r="B24" s="365">
        <v>46272</v>
      </c>
      <c r="C24" s="268">
        <v>9500</v>
      </c>
      <c r="D24" s="66" t="s">
        <v>1533</v>
      </c>
      <c r="E24" s="233"/>
      <c r="F24" s="233">
        <f t="shared" si="0"/>
        <v>30000</v>
      </c>
      <c r="G24" s="237">
        <v>976.4</v>
      </c>
      <c r="H24" s="234">
        <f t="shared" si="1"/>
        <v>7440.2699999999995</v>
      </c>
      <c r="I24" s="234">
        <f t="shared" si="2"/>
        <v>22559.730000000003</v>
      </c>
      <c r="J24" s="235"/>
    </row>
    <row r="25" spans="1:10" s="223" customFormat="1" ht="12.75" customHeight="1" x14ac:dyDescent="0.2">
      <c r="A25" s="70"/>
      <c r="B25" s="365"/>
      <c r="C25" s="268"/>
      <c r="D25" s="66"/>
      <c r="E25" s="233"/>
      <c r="F25" s="233">
        <f t="shared" si="0"/>
        <v>30000</v>
      </c>
      <c r="G25" s="238"/>
      <c r="H25" s="234">
        <f t="shared" si="1"/>
        <v>7440.2699999999995</v>
      </c>
      <c r="I25" s="234">
        <f t="shared" si="2"/>
        <v>22559.730000000003</v>
      </c>
      <c r="J25" s="235"/>
    </row>
    <row r="26" spans="1:10" s="223" customFormat="1" ht="12.75" customHeight="1" x14ac:dyDescent="0.2">
      <c r="A26" s="70"/>
      <c r="B26" s="365"/>
      <c r="C26" s="268"/>
      <c r="D26" s="66"/>
      <c r="E26" s="233"/>
      <c r="F26" s="233">
        <f t="shared" si="0"/>
        <v>30000</v>
      </c>
      <c r="G26" s="238"/>
      <c r="H26" s="234">
        <f t="shared" si="1"/>
        <v>7440.2699999999995</v>
      </c>
      <c r="I26" s="234">
        <f t="shared" si="2"/>
        <v>22559.730000000003</v>
      </c>
      <c r="J26" s="235"/>
    </row>
    <row r="27" spans="1:10" s="223" customFormat="1" ht="12.75" customHeight="1" x14ac:dyDescent="0.25">
      <c r="A27" s="241"/>
      <c r="B27" s="177"/>
      <c r="C27" s="177"/>
      <c r="D27" s="258"/>
      <c r="E27" s="233"/>
      <c r="F27" s="233">
        <f t="shared" si="0"/>
        <v>30000</v>
      </c>
      <c r="G27" s="234"/>
      <c r="H27" s="234">
        <f t="shared" si="1"/>
        <v>7440.2699999999995</v>
      </c>
      <c r="I27" s="234">
        <f t="shared" si="2"/>
        <v>22559.730000000003</v>
      </c>
      <c r="J27" s="235"/>
    </row>
    <row r="28" spans="1:10" s="223" customFormat="1" ht="12.75" customHeight="1" x14ac:dyDescent="0.25">
      <c r="A28" s="230"/>
      <c r="B28" s="231"/>
      <c r="C28" s="231"/>
      <c r="D28" s="240"/>
      <c r="E28" s="234"/>
      <c r="F28" s="234"/>
      <c r="G28" s="234"/>
      <c r="H28" s="234"/>
      <c r="I28" s="234"/>
      <c r="J28" s="235"/>
    </row>
    <row r="29" spans="1:10" s="223" customFormat="1" ht="12.75" customHeight="1" thickBot="1" x14ac:dyDescent="0.3">
      <c r="A29" s="230"/>
      <c r="B29" s="243"/>
      <c r="C29" s="243"/>
      <c r="D29" s="244" t="s">
        <v>24</v>
      </c>
      <c r="E29" s="245">
        <f>SUM(E9:E28)</f>
        <v>30000</v>
      </c>
      <c r="F29" s="245"/>
      <c r="G29" s="245">
        <f>SUM(G9:G28)</f>
        <v>7440.2699999999995</v>
      </c>
      <c r="H29" s="245"/>
      <c r="I29" s="245">
        <f>E29-G29</f>
        <v>22559.73</v>
      </c>
      <c r="J29" s="235"/>
    </row>
    <row r="30" spans="1:10" s="223" customFormat="1" ht="12.75" customHeight="1" thickTop="1" x14ac:dyDescent="0.25"/>
    <row r="31" spans="1:10" s="223" customFormat="1" ht="12.75" customHeight="1" x14ac:dyDescent="0.25"/>
  </sheetData>
  <pageMargins left="0.25" right="0.25" top="0.95" bottom="0.75" header="0.09" footer="0.3"/>
  <pageSetup scale="6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79E1F-C76D-4C17-87CC-00DD2E3BC95C}">
  <sheetPr>
    <pageSetUpPr fitToPage="1"/>
  </sheetPr>
  <dimension ref="A1:H23"/>
  <sheetViews>
    <sheetView zoomScaleNormal="100" workbookViewId="0">
      <selection activeCell="C17" sqref="C17"/>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85546875" customWidth="1"/>
    <col min="6" max="6" width="14.285156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#9440.01'!B1</f>
        <v>DAS CC Historical Building Elevators Replacement PH1</v>
      </c>
      <c r="B1" s="3"/>
      <c r="C1" s="3"/>
      <c r="D1" s="3"/>
      <c r="E1" s="4"/>
      <c r="F1" s="4"/>
      <c r="G1" s="4"/>
      <c r="H1" s="28"/>
    </row>
    <row r="2" spans="1:8" ht="15.75" x14ac:dyDescent="0.25">
      <c r="A2" s="6" t="str">
        <f>'RECAP #9440.01'!B2</f>
        <v>Project # 9440.01</v>
      </c>
      <c r="B2" s="5"/>
      <c r="C2" s="5"/>
      <c r="D2" s="5"/>
      <c r="E2" s="4"/>
      <c r="F2" s="4"/>
      <c r="G2" s="4"/>
      <c r="H2" s="28"/>
    </row>
    <row r="3" spans="1:8" ht="15.75" x14ac:dyDescent="0.25">
      <c r="A3" s="7" t="str">
        <f>'RECAP #9440.01'!B3</f>
        <v>Program code 944001</v>
      </c>
      <c r="B3" s="5"/>
      <c r="C3" s="5"/>
      <c r="D3" s="5"/>
      <c r="E3" s="8" t="str">
        <f>'RECAP #9440.01'!E3</f>
        <v xml:space="preserve">Major Program:  4D03 </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617</v>
      </c>
      <c r="F6" s="35"/>
      <c r="G6" s="38"/>
      <c r="H6" s="39"/>
    </row>
    <row r="7" spans="1:8" ht="15.75" x14ac:dyDescent="0.25">
      <c r="A7" s="11" t="str">
        <f>'RECAP #9440.01'!B6</f>
        <v>Project Manager - Brad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1153</v>
      </c>
      <c r="B9" s="177">
        <v>46209</v>
      </c>
      <c r="C9" s="241" t="s">
        <v>361</v>
      </c>
      <c r="D9" s="241" t="s">
        <v>362</v>
      </c>
      <c r="E9" s="70" t="s">
        <v>652</v>
      </c>
      <c r="F9" s="259" t="s">
        <v>1152</v>
      </c>
      <c r="G9" s="237">
        <v>1350.5</v>
      </c>
      <c r="H9" s="260">
        <f>G9</f>
        <v>1350.5</v>
      </c>
    </row>
    <row r="10" spans="1:8" s="223" customFormat="1" ht="12.75" customHeight="1" x14ac:dyDescent="0.2">
      <c r="A10" s="176" t="s">
        <v>1279</v>
      </c>
      <c r="B10" s="177">
        <v>46224</v>
      </c>
      <c r="C10" s="241" t="s">
        <v>361</v>
      </c>
      <c r="D10" s="241" t="s">
        <v>362</v>
      </c>
      <c r="E10" s="38" t="s">
        <v>368</v>
      </c>
      <c r="F10" s="272" t="s">
        <v>1278</v>
      </c>
      <c r="G10" s="237">
        <v>267.24</v>
      </c>
      <c r="H10" s="260">
        <f>H9+G10</f>
        <v>1617.74</v>
      </c>
    </row>
    <row r="11" spans="1:8" s="223" customFormat="1" ht="12.75" customHeight="1" x14ac:dyDescent="0.25">
      <c r="A11" s="241"/>
      <c r="B11" s="177"/>
      <c r="C11" s="177"/>
      <c r="D11" s="177"/>
      <c r="E11" s="258"/>
      <c r="F11" s="252"/>
      <c r="G11" s="260"/>
      <c r="H11" s="260">
        <f t="shared" ref="H11:H20" si="0">H10+G11</f>
        <v>1617.74</v>
      </c>
    </row>
    <row r="12" spans="1:8" s="223" customFormat="1" ht="12.75" customHeight="1" x14ac:dyDescent="0.25">
      <c r="A12" s="241" t="s">
        <v>2</v>
      </c>
      <c r="B12" s="177" t="s">
        <v>2</v>
      </c>
      <c r="C12" s="177"/>
      <c r="D12" s="177"/>
      <c r="E12" s="258" t="s">
        <v>2</v>
      </c>
      <c r="F12" s="252"/>
      <c r="G12" s="260"/>
      <c r="H12" s="260">
        <f t="shared" si="0"/>
        <v>1617.74</v>
      </c>
    </row>
    <row r="13" spans="1:8" s="223" customFormat="1" ht="12.75" customHeight="1" x14ac:dyDescent="0.25">
      <c r="A13" s="241" t="s">
        <v>2</v>
      </c>
      <c r="B13" s="177" t="s">
        <v>2</v>
      </c>
      <c r="C13" s="177"/>
      <c r="D13" s="177"/>
      <c r="E13" s="258" t="s">
        <v>2</v>
      </c>
      <c r="F13" s="252"/>
      <c r="G13" s="260"/>
      <c r="H13" s="260">
        <f t="shared" si="0"/>
        <v>1617.74</v>
      </c>
    </row>
    <row r="14" spans="1:8" s="223" customFormat="1" ht="12.75" customHeight="1" x14ac:dyDescent="0.25">
      <c r="A14" s="241"/>
      <c r="B14" s="177"/>
      <c r="C14" s="177"/>
      <c r="D14" s="177"/>
      <c r="E14" s="258"/>
      <c r="F14" s="252"/>
      <c r="G14" s="260"/>
      <c r="H14" s="260">
        <f t="shared" si="0"/>
        <v>1617.74</v>
      </c>
    </row>
    <row r="15" spans="1:8" s="223" customFormat="1" ht="12.75" customHeight="1" x14ac:dyDescent="0.25">
      <c r="A15" s="241"/>
      <c r="B15" s="177"/>
      <c r="C15" s="177"/>
      <c r="D15" s="177"/>
      <c r="E15" s="261"/>
      <c r="F15" s="252"/>
      <c r="G15" s="260"/>
      <c r="H15" s="260">
        <f t="shared" si="0"/>
        <v>1617.74</v>
      </c>
    </row>
    <row r="16" spans="1:8" s="223" customFormat="1" ht="12.75" customHeight="1" x14ac:dyDescent="0.25">
      <c r="A16" s="241"/>
      <c r="B16" s="177"/>
      <c r="C16" s="177"/>
      <c r="D16" s="177"/>
      <c r="E16" s="258"/>
      <c r="F16" s="252"/>
      <c r="G16" s="260"/>
      <c r="H16" s="260">
        <f t="shared" si="0"/>
        <v>1617.74</v>
      </c>
    </row>
    <row r="17" spans="1:8" s="223" customFormat="1" ht="12.75" customHeight="1" x14ac:dyDescent="0.25">
      <c r="A17" s="230"/>
      <c r="B17" s="177"/>
      <c r="C17" s="177"/>
      <c r="D17" s="177"/>
      <c r="E17" s="258"/>
      <c r="F17" s="252"/>
      <c r="G17" s="260"/>
      <c r="H17" s="260">
        <f t="shared" si="0"/>
        <v>1617.74</v>
      </c>
    </row>
    <row r="18" spans="1:8" s="223" customFormat="1" ht="12.75" customHeight="1" x14ac:dyDescent="0.25">
      <c r="A18" s="230"/>
      <c r="B18" s="177"/>
      <c r="C18" s="177"/>
      <c r="D18" s="177"/>
      <c r="E18" s="258"/>
      <c r="F18" s="252"/>
      <c r="G18" s="260"/>
      <c r="H18" s="260">
        <f t="shared" si="0"/>
        <v>1617.74</v>
      </c>
    </row>
    <row r="19" spans="1:8" s="223" customFormat="1" ht="12.75" customHeight="1" x14ac:dyDescent="0.25">
      <c r="A19" s="230"/>
      <c r="B19" s="177"/>
      <c r="C19" s="177"/>
      <c r="D19" s="177"/>
      <c r="E19" s="258"/>
      <c r="F19" s="252"/>
      <c r="G19" s="260"/>
      <c r="H19" s="260">
        <f t="shared" si="0"/>
        <v>1617.74</v>
      </c>
    </row>
    <row r="20" spans="1:8" s="223" customFormat="1" ht="12.75" customHeight="1" x14ac:dyDescent="0.25">
      <c r="A20" s="230"/>
      <c r="B20" s="177"/>
      <c r="C20" s="177"/>
      <c r="D20" s="177"/>
      <c r="E20" s="258"/>
      <c r="F20" s="252"/>
      <c r="G20" s="260"/>
      <c r="H20" s="260">
        <f t="shared" si="0"/>
        <v>1617.74</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1617.74</v>
      </c>
      <c r="H22" s="265"/>
    </row>
    <row r="23" spans="1:8" ht="15" customHeight="1" thickTop="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6F273-78CF-42E7-83BF-D93E17D9D8A3}">
  <sheetPr>
    <pageSetUpPr fitToPage="1"/>
  </sheetPr>
  <dimension ref="A1:I52"/>
  <sheetViews>
    <sheetView topLeftCell="A3" zoomScaleNormal="100" workbookViewId="0">
      <selection activeCell="F15" sqref="F1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5.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#9440.01'!B1</f>
        <v>DAS CC Historical Building Elevators Replacement PH1</v>
      </c>
      <c r="B1" s="3"/>
      <c r="C1" s="4"/>
      <c r="D1" s="4"/>
      <c r="E1" s="4"/>
      <c r="F1" s="28"/>
      <c r="G1" s="28"/>
      <c r="H1" s="29"/>
      <c r="I1" s="29"/>
    </row>
    <row r="2" spans="1:9" ht="15.75" x14ac:dyDescent="0.25">
      <c r="A2" s="6" t="str">
        <f>'RECAP #9440.01'!B2</f>
        <v>Project # 9440.01</v>
      </c>
      <c r="B2" s="5"/>
      <c r="C2" s="4"/>
      <c r="D2" s="4"/>
      <c r="E2" s="4"/>
      <c r="F2" s="28"/>
      <c r="G2" s="28"/>
      <c r="H2" s="29"/>
      <c r="I2" s="29"/>
    </row>
    <row r="3" spans="1:9" ht="15.75" x14ac:dyDescent="0.25">
      <c r="A3" s="7" t="str">
        <f>'RECAP #9440.01'!B3</f>
        <v>Program code 944001</v>
      </c>
      <c r="B3" s="5"/>
      <c r="C3" s="4"/>
      <c r="D3" s="8" t="str">
        <f>'RECAP #9440.01'!E3</f>
        <v xml:space="preserve">Major Program:  4D03 </v>
      </c>
      <c r="E3" s="4"/>
      <c r="F3" s="28"/>
      <c r="G3" s="28"/>
      <c r="H3" s="29"/>
      <c r="I3" s="29"/>
    </row>
    <row r="4" spans="1:9" ht="15.75" x14ac:dyDescent="0.25">
      <c r="A4" s="30" t="s">
        <v>114</v>
      </c>
      <c r="B4" s="31"/>
      <c r="C4" s="32"/>
      <c r="D4" s="33" t="s">
        <v>116</v>
      </c>
      <c r="E4" s="28"/>
      <c r="F4" s="28"/>
      <c r="G4" s="28"/>
      <c r="H4" s="29"/>
      <c r="I4" s="29"/>
    </row>
    <row r="5" spans="1:9" ht="15.75" x14ac:dyDescent="0.25">
      <c r="A5" s="34" t="s">
        <v>115</v>
      </c>
      <c r="B5" s="35"/>
      <c r="C5" s="36"/>
      <c r="D5" s="37" t="s">
        <v>606</v>
      </c>
      <c r="E5" s="38"/>
      <c r="F5" s="39"/>
      <c r="G5" s="39"/>
      <c r="H5" s="35"/>
      <c r="I5" s="29"/>
    </row>
    <row r="6" spans="1:9" ht="15.75" x14ac:dyDescent="0.25">
      <c r="A6" s="11" t="str">
        <f>'RECAP #9440.01'!B6</f>
        <v>Project Manager - Brad T</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607</v>
      </c>
      <c r="B9" s="177">
        <v>46084</v>
      </c>
      <c r="C9" s="231" t="s">
        <v>109</v>
      </c>
      <c r="D9" s="232">
        <v>143190</v>
      </c>
      <c r="E9" s="233">
        <f>D9</f>
        <v>143190</v>
      </c>
      <c r="F9" s="234"/>
      <c r="G9" s="234"/>
      <c r="H9" s="234">
        <f>E9</f>
        <v>143190</v>
      </c>
      <c r="I9" s="235"/>
    </row>
    <row r="10" spans="1:9" s="223" customFormat="1" ht="12.75" customHeight="1" x14ac:dyDescent="0.25">
      <c r="A10" s="230" t="s">
        <v>872</v>
      </c>
      <c r="B10" s="236">
        <v>46155</v>
      </c>
      <c r="C10" s="231" t="s">
        <v>873</v>
      </c>
      <c r="D10" s="233"/>
      <c r="E10" s="233">
        <f t="shared" ref="E10:E21" si="0">E9+D10</f>
        <v>143190</v>
      </c>
      <c r="F10" s="237">
        <v>2790.96</v>
      </c>
      <c r="G10" s="234">
        <f t="shared" ref="G10:G21" si="1">G9+F10</f>
        <v>2790.96</v>
      </c>
      <c r="H10" s="234">
        <f t="shared" ref="H10:H21" si="2">H9-F10+D10</f>
        <v>140399.04000000001</v>
      </c>
      <c r="I10" s="235"/>
    </row>
    <row r="11" spans="1:9" s="223" customFormat="1" ht="12.75" customHeight="1" x14ac:dyDescent="0.25">
      <c r="A11" s="230" t="s">
        <v>972</v>
      </c>
      <c r="B11" s="177">
        <v>46176</v>
      </c>
      <c r="C11" s="231" t="s">
        <v>973</v>
      </c>
      <c r="D11" s="233"/>
      <c r="E11" s="233">
        <f t="shared" si="0"/>
        <v>143190</v>
      </c>
      <c r="F11" s="237">
        <v>10234.56</v>
      </c>
      <c r="G11" s="234">
        <f t="shared" si="1"/>
        <v>13025.52</v>
      </c>
      <c r="H11" s="234">
        <f t="shared" si="2"/>
        <v>130164.48000000001</v>
      </c>
      <c r="I11" s="235"/>
    </row>
    <row r="12" spans="1:9" s="223" customFormat="1" ht="12.75" customHeight="1" x14ac:dyDescent="0.25">
      <c r="A12" s="328" t="s">
        <v>1238</v>
      </c>
      <c r="B12" s="329">
        <v>46216</v>
      </c>
      <c r="C12" s="330" t="s">
        <v>1239</v>
      </c>
      <c r="D12" s="331"/>
      <c r="E12" s="331">
        <f t="shared" si="0"/>
        <v>143190</v>
      </c>
      <c r="F12" s="338">
        <v>83463.48</v>
      </c>
      <c r="G12" s="332">
        <f t="shared" si="1"/>
        <v>96489</v>
      </c>
      <c r="H12" s="332">
        <f t="shared" si="2"/>
        <v>46701.000000000015</v>
      </c>
      <c r="I12" s="333" t="s">
        <v>1285</v>
      </c>
    </row>
    <row r="13" spans="1:9" s="223" customFormat="1" ht="12.75" customHeight="1" x14ac:dyDescent="0.25">
      <c r="A13" s="230" t="s">
        <v>1288</v>
      </c>
      <c r="B13" s="177">
        <v>46225</v>
      </c>
      <c r="C13" s="231" t="s">
        <v>1286</v>
      </c>
      <c r="D13" s="232">
        <v>0</v>
      </c>
      <c r="E13" s="233">
        <f t="shared" si="0"/>
        <v>143190</v>
      </c>
      <c r="F13" s="238"/>
      <c r="G13" s="234">
        <f t="shared" si="1"/>
        <v>96489</v>
      </c>
      <c r="H13" s="234">
        <f t="shared" si="2"/>
        <v>46701.000000000015</v>
      </c>
      <c r="I13" s="235"/>
    </row>
    <row r="14" spans="1:9" s="223" customFormat="1" ht="12.75" customHeight="1" x14ac:dyDescent="0.25">
      <c r="A14" s="230" t="s">
        <v>1398</v>
      </c>
      <c r="B14" s="177">
        <v>46239</v>
      </c>
      <c r="C14" s="231" t="s">
        <v>1399</v>
      </c>
      <c r="D14" s="233"/>
      <c r="E14" s="233">
        <f t="shared" si="0"/>
        <v>143190</v>
      </c>
      <c r="F14" s="237">
        <v>1411.7</v>
      </c>
      <c r="G14" s="234">
        <f t="shared" si="1"/>
        <v>97900.7</v>
      </c>
      <c r="H14" s="234">
        <f t="shared" si="2"/>
        <v>45289.300000000017</v>
      </c>
      <c r="I14" s="235"/>
    </row>
    <row r="15" spans="1:9" s="223" customFormat="1" ht="12.75" customHeight="1" x14ac:dyDescent="0.25">
      <c r="A15" s="230" t="s">
        <v>1496</v>
      </c>
      <c r="B15" s="177">
        <v>46268</v>
      </c>
      <c r="C15" s="231" t="s">
        <v>1497</v>
      </c>
      <c r="D15" s="233"/>
      <c r="E15" s="233">
        <f t="shared" si="0"/>
        <v>143190</v>
      </c>
      <c r="F15" s="237">
        <v>2801.4</v>
      </c>
      <c r="G15" s="234">
        <f t="shared" si="1"/>
        <v>100702.09999999999</v>
      </c>
      <c r="H15" s="234">
        <f t="shared" si="2"/>
        <v>42487.900000000016</v>
      </c>
      <c r="I15" s="235"/>
    </row>
    <row r="16" spans="1:9" s="223" customFormat="1" ht="12.75" customHeight="1" x14ac:dyDescent="0.25">
      <c r="A16" s="230"/>
      <c r="B16" s="177"/>
      <c r="C16" s="231"/>
      <c r="D16" s="233"/>
      <c r="E16" s="233">
        <f t="shared" si="0"/>
        <v>143190</v>
      </c>
      <c r="F16" s="238"/>
      <c r="G16" s="234">
        <f t="shared" si="1"/>
        <v>100702.09999999999</v>
      </c>
      <c r="H16" s="234">
        <f t="shared" si="2"/>
        <v>42487.900000000016</v>
      </c>
      <c r="I16" s="235"/>
    </row>
    <row r="17" spans="1:9" s="223" customFormat="1" ht="12.75" customHeight="1" x14ac:dyDescent="0.25">
      <c r="A17" s="230"/>
      <c r="B17" s="177"/>
      <c r="C17" s="231"/>
      <c r="D17" s="233"/>
      <c r="E17" s="233">
        <f t="shared" si="0"/>
        <v>143190</v>
      </c>
      <c r="F17" s="238"/>
      <c r="G17" s="234">
        <f t="shared" si="1"/>
        <v>100702.09999999999</v>
      </c>
      <c r="H17" s="234">
        <f t="shared" si="2"/>
        <v>42487.900000000016</v>
      </c>
      <c r="I17" s="235"/>
    </row>
    <row r="18" spans="1:9" s="223" customFormat="1" ht="12.75" customHeight="1" x14ac:dyDescent="0.25">
      <c r="A18" s="230"/>
      <c r="B18" s="177"/>
      <c r="C18" s="231"/>
      <c r="D18" s="233"/>
      <c r="E18" s="233">
        <f t="shared" si="0"/>
        <v>143190</v>
      </c>
      <c r="F18" s="238"/>
      <c r="G18" s="234">
        <f t="shared" si="1"/>
        <v>100702.09999999999</v>
      </c>
      <c r="H18" s="234">
        <f t="shared" si="2"/>
        <v>42487.900000000016</v>
      </c>
      <c r="I18" s="235"/>
    </row>
    <row r="19" spans="1:9" s="223" customFormat="1" ht="12.75" customHeight="1" x14ac:dyDescent="0.25">
      <c r="A19" s="230"/>
      <c r="B19" s="177"/>
      <c r="C19" s="231"/>
      <c r="D19" s="233"/>
      <c r="E19" s="233">
        <f t="shared" si="0"/>
        <v>143190</v>
      </c>
      <c r="F19" s="234"/>
      <c r="G19" s="234">
        <f t="shared" si="1"/>
        <v>100702.09999999999</v>
      </c>
      <c r="H19" s="234">
        <f t="shared" si="2"/>
        <v>42487.900000000016</v>
      </c>
      <c r="I19" s="235"/>
    </row>
    <row r="20" spans="1:9" s="223" customFormat="1" ht="12.75" customHeight="1" x14ac:dyDescent="0.25">
      <c r="A20" s="230"/>
      <c r="B20" s="177"/>
      <c r="C20" s="231"/>
      <c r="D20" s="233"/>
      <c r="E20" s="233">
        <f t="shared" si="0"/>
        <v>143190</v>
      </c>
      <c r="F20" s="234"/>
      <c r="G20" s="234">
        <f t="shared" si="1"/>
        <v>100702.09999999999</v>
      </c>
      <c r="H20" s="234">
        <f t="shared" si="2"/>
        <v>42487.900000000016</v>
      </c>
      <c r="I20" s="235"/>
    </row>
    <row r="21" spans="1:9" s="223" customFormat="1" ht="12.75" customHeight="1" x14ac:dyDescent="0.25">
      <c r="A21" s="230"/>
      <c r="B21" s="177"/>
      <c r="C21" s="239"/>
      <c r="D21" s="233"/>
      <c r="E21" s="233">
        <f t="shared" si="0"/>
        <v>143190</v>
      </c>
      <c r="F21" s="234"/>
      <c r="G21" s="234">
        <f t="shared" si="1"/>
        <v>100702.09999999999</v>
      </c>
      <c r="H21" s="234">
        <f t="shared" si="2"/>
        <v>42487.900000000016</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143190</v>
      </c>
      <c r="E23" s="245"/>
      <c r="F23" s="245">
        <f>SUM(F9:F22)</f>
        <v>100702.09999999999</v>
      </c>
      <c r="G23" s="245"/>
      <c r="H23" s="245">
        <f>D23-F23</f>
        <v>42487.900000000009</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63" t="s">
        <v>608</v>
      </c>
      <c r="D26" s="234"/>
      <c r="E26" s="234"/>
      <c r="F26" s="234"/>
      <c r="G26" s="234"/>
      <c r="H26" s="234"/>
      <c r="I26" s="235"/>
    </row>
    <row r="27" spans="1:9" s="223" customFormat="1" ht="12.75" customHeight="1" x14ac:dyDescent="0.25">
      <c r="A27" s="230"/>
      <c r="B27" s="231"/>
      <c r="C27" s="240" t="s">
        <v>609</v>
      </c>
      <c r="D27" s="234">
        <v>15910</v>
      </c>
      <c r="E27" s="234"/>
      <c r="F27" s="234">
        <f>930.32+10234.56+4745.12</f>
        <v>15910</v>
      </c>
      <c r="G27" s="234"/>
      <c r="H27" s="234">
        <f>D27-F27</f>
        <v>0</v>
      </c>
      <c r="I27" s="235"/>
    </row>
    <row r="28" spans="1:9" s="223" customFormat="1" ht="12.75" customHeight="1" x14ac:dyDescent="0.25">
      <c r="A28" s="230"/>
      <c r="B28" s="231"/>
      <c r="C28" s="240" t="s">
        <v>610</v>
      </c>
      <c r="D28" s="234">
        <v>15910</v>
      </c>
      <c r="E28" s="234"/>
      <c r="F28" s="234">
        <f>15910</f>
        <v>15910</v>
      </c>
      <c r="G28" s="234"/>
      <c r="H28" s="234">
        <f>D28-F28</f>
        <v>0</v>
      </c>
      <c r="I28" s="235"/>
    </row>
    <row r="29" spans="1:9" s="223" customFormat="1" ht="12.75" customHeight="1" x14ac:dyDescent="0.25">
      <c r="A29" s="230"/>
      <c r="B29" s="231"/>
      <c r="C29" s="240" t="s">
        <v>611</v>
      </c>
      <c r="D29" s="234">
        <v>343</v>
      </c>
      <c r="E29" s="234"/>
      <c r="F29" s="234">
        <f>343</f>
        <v>343</v>
      </c>
      <c r="G29" s="234"/>
      <c r="H29" s="234">
        <f>D29-F29</f>
        <v>0</v>
      </c>
      <c r="I29" s="235"/>
    </row>
    <row r="30" spans="1:9" s="223" customFormat="1" ht="12.75" customHeight="1" x14ac:dyDescent="0.25">
      <c r="A30" s="230"/>
      <c r="B30" s="231"/>
      <c r="C30" s="240" t="s">
        <v>612</v>
      </c>
      <c r="D30" s="234">
        <v>15567</v>
      </c>
      <c r="E30" s="234"/>
      <c r="F30" s="234">
        <f>470.57+933.8</f>
        <v>1404.37</v>
      </c>
      <c r="G30" s="234"/>
      <c r="H30" s="234">
        <f>D30-F30</f>
        <v>14162.630000000001</v>
      </c>
      <c r="I30" s="235"/>
    </row>
    <row r="31" spans="1:9" s="223" customFormat="1" ht="12.75" customHeight="1" thickBot="1" x14ac:dyDescent="0.3">
      <c r="A31" s="230"/>
      <c r="B31" s="231"/>
      <c r="C31" s="263" t="s">
        <v>613</v>
      </c>
      <c r="D31" s="245">
        <f>SUM(D27:D30)</f>
        <v>47730</v>
      </c>
      <c r="E31" s="234"/>
      <c r="F31" s="245">
        <f>SUM(F27:F30)</f>
        <v>33567.370000000003</v>
      </c>
      <c r="G31" s="234"/>
      <c r="H31" s="245">
        <f>SUM(H27:H30)</f>
        <v>14162.630000000001</v>
      </c>
      <c r="I31" s="235"/>
    </row>
    <row r="32" spans="1:9" s="223" customFormat="1" ht="12.75" customHeight="1" thickTop="1" x14ac:dyDescent="0.25">
      <c r="A32" s="230"/>
      <c r="B32" s="231"/>
      <c r="C32" s="240"/>
      <c r="D32" s="234"/>
      <c r="E32" s="234"/>
      <c r="F32" s="234"/>
      <c r="G32" s="234"/>
      <c r="H32" s="234"/>
      <c r="I32" s="235"/>
    </row>
    <row r="33" spans="1:9" s="223" customFormat="1" ht="12.75" customHeight="1" x14ac:dyDescent="0.25">
      <c r="A33" s="230"/>
      <c r="B33" s="231"/>
      <c r="C33" s="240"/>
      <c r="D33" s="234"/>
      <c r="E33" s="234"/>
      <c r="F33" s="234"/>
      <c r="G33" s="234"/>
      <c r="H33" s="234"/>
      <c r="I33" s="235"/>
    </row>
    <row r="34" spans="1:9" s="223" customFormat="1" ht="12.75" customHeight="1" x14ac:dyDescent="0.25">
      <c r="A34" s="230"/>
      <c r="B34" s="231"/>
      <c r="C34" s="263"/>
      <c r="D34" s="234"/>
      <c r="E34" s="234"/>
      <c r="F34" s="234"/>
      <c r="G34" s="234"/>
      <c r="H34" s="234"/>
      <c r="I34" s="235"/>
    </row>
    <row r="35" spans="1:9" s="223" customFormat="1" ht="12.75" customHeight="1" x14ac:dyDescent="0.25">
      <c r="A35" s="230"/>
      <c r="B35" s="231"/>
      <c r="C35" s="263" t="s">
        <v>614</v>
      </c>
      <c r="D35" s="234"/>
      <c r="E35" s="234"/>
      <c r="F35" s="234"/>
      <c r="G35" s="234"/>
      <c r="H35" s="234"/>
      <c r="I35" s="235"/>
    </row>
    <row r="36" spans="1:9" s="223" customFormat="1" ht="12.75" customHeight="1" x14ac:dyDescent="0.25">
      <c r="A36" s="230"/>
      <c r="B36" s="231"/>
      <c r="C36" s="240" t="s">
        <v>609</v>
      </c>
      <c r="D36" s="234">
        <v>15910</v>
      </c>
      <c r="E36" s="234"/>
      <c r="F36" s="234">
        <f>930.32+14979.68</f>
        <v>15910</v>
      </c>
      <c r="G36" s="234"/>
      <c r="H36" s="234">
        <f>D36-F36</f>
        <v>0</v>
      </c>
      <c r="I36" s="235"/>
    </row>
    <row r="37" spans="1:9" s="223" customFormat="1" ht="12.75" customHeight="1" x14ac:dyDescent="0.25">
      <c r="A37" s="230"/>
      <c r="B37" s="231"/>
      <c r="C37" s="240" t="s">
        <v>610</v>
      </c>
      <c r="D37" s="234">
        <v>15910</v>
      </c>
      <c r="E37" s="234"/>
      <c r="F37" s="234">
        <f>15910</f>
        <v>15910</v>
      </c>
      <c r="G37" s="234"/>
      <c r="H37" s="234">
        <f>D37-F37</f>
        <v>0</v>
      </c>
      <c r="I37" s="235"/>
    </row>
    <row r="38" spans="1:9" s="223" customFormat="1" ht="12.75" customHeight="1" x14ac:dyDescent="0.25">
      <c r="C38" s="240" t="s">
        <v>611</v>
      </c>
      <c r="D38" s="234">
        <v>343</v>
      </c>
      <c r="E38" s="234"/>
      <c r="F38" s="234">
        <f>343</f>
        <v>343</v>
      </c>
      <c r="G38" s="234"/>
      <c r="H38" s="234">
        <f>D38-F38</f>
        <v>0</v>
      </c>
    </row>
    <row r="39" spans="1:9" ht="15" customHeight="1" x14ac:dyDescent="0.25">
      <c r="C39" s="240" t="s">
        <v>612</v>
      </c>
      <c r="D39" s="234">
        <v>15567</v>
      </c>
      <c r="E39" s="234"/>
      <c r="F39" s="234">
        <f>470.56+933.8</f>
        <v>1404.36</v>
      </c>
      <c r="G39" s="234"/>
      <c r="H39" s="234">
        <f>D39-F39</f>
        <v>14162.64</v>
      </c>
    </row>
    <row r="40" spans="1:9" ht="15" customHeight="1" thickBot="1" x14ac:dyDescent="0.3">
      <c r="C40" s="263" t="s">
        <v>613</v>
      </c>
      <c r="D40" s="245">
        <f>SUM(D36:D39)</f>
        <v>47730</v>
      </c>
      <c r="E40" s="234"/>
      <c r="F40" s="245">
        <f>SUM(F36:F39)</f>
        <v>33567.360000000001</v>
      </c>
      <c r="G40" s="234"/>
      <c r="H40" s="245">
        <f>SUM(H36:H39)</f>
        <v>14162.64</v>
      </c>
    </row>
    <row r="41" spans="1:9" ht="15" customHeight="1" thickTop="1" x14ac:dyDescent="0.25"/>
    <row r="43" spans="1:9" ht="15" customHeight="1" x14ac:dyDescent="0.25">
      <c r="C43" s="263" t="s">
        <v>615</v>
      </c>
      <c r="D43" s="234"/>
      <c r="E43" s="234"/>
      <c r="F43" s="234"/>
      <c r="G43" s="234"/>
      <c r="H43" s="234"/>
    </row>
    <row r="44" spans="1:9" ht="15" customHeight="1" x14ac:dyDescent="0.25">
      <c r="C44" s="240" t="s">
        <v>609</v>
      </c>
      <c r="D44" s="234">
        <v>15910</v>
      </c>
      <c r="E44" s="234"/>
      <c r="F44" s="234">
        <f>930.32+14979.68</f>
        <v>15910</v>
      </c>
      <c r="G44" s="234"/>
      <c r="H44" s="234">
        <f>D44-F44</f>
        <v>0</v>
      </c>
    </row>
    <row r="45" spans="1:9" ht="15" customHeight="1" x14ac:dyDescent="0.25">
      <c r="C45" s="240" t="s">
        <v>610</v>
      </c>
      <c r="D45" s="234">
        <v>15910</v>
      </c>
      <c r="E45" s="234"/>
      <c r="F45" s="234">
        <f>15910</f>
        <v>15910</v>
      </c>
      <c r="G45" s="234"/>
      <c r="H45" s="234">
        <f>D45-F45</f>
        <v>0</v>
      </c>
    </row>
    <row r="46" spans="1:9" ht="15" customHeight="1" x14ac:dyDescent="0.25">
      <c r="C46" s="240" t="s">
        <v>611</v>
      </c>
      <c r="D46" s="234">
        <v>343</v>
      </c>
      <c r="E46" s="234"/>
      <c r="F46" s="234">
        <f>343</f>
        <v>343</v>
      </c>
      <c r="G46" s="234"/>
      <c r="H46" s="234">
        <f>D46-F46</f>
        <v>0</v>
      </c>
    </row>
    <row r="47" spans="1:9" ht="15" customHeight="1" x14ac:dyDescent="0.25">
      <c r="C47" s="240" t="s">
        <v>612</v>
      </c>
      <c r="D47" s="234">
        <v>15567</v>
      </c>
      <c r="E47" s="234"/>
      <c r="F47" s="234">
        <f>470.57+933.8</f>
        <v>1404.37</v>
      </c>
      <c r="G47" s="234"/>
      <c r="H47" s="234">
        <f>D47-F47</f>
        <v>14162.630000000001</v>
      </c>
    </row>
    <row r="48" spans="1:9" ht="15" customHeight="1" thickBot="1" x14ac:dyDescent="0.3">
      <c r="C48" s="263" t="s">
        <v>613</v>
      </c>
      <c r="D48" s="245">
        <f>SUM(D44:D47)</f>
        <v>47730</v>
      </c>
      <c r="E48" s="234"/>
      <c r="F48" s="245">
        <f>SUM(F44:F47)</f>
        <v>33567.370000000003</v>
      </c>
      <c r="G48" s="234"/>
      <c r="H48" s="245">
        <f>SUM(H44:H47)</f>
        <v>14162.630000000001</v>
      </c>
    </row>
    <row r="49" spans="3:8" ht="15" customHeight="1" thickTop="1" x14ac:dyDescent="0.25"/>
    <row r="51" spans="3:8" ht="15" customHeight="1" thickBot="1" x14ac:dyDescent="0.3">
      <c r="C51" s="299" t="s">
        <v>616</v>
      </c>
      <c r="D51" s="245">
        <f>D31+D40+D48</f>
        <v>143190</v>
      </c>
      <c r="E51" s="234"/>
      <c r="F51" s="245">
        <f>F31+F40+F48</f>
        <v>100702.1</v>
      </c>
      <c r="G51" s="234"/>
      <c r="H51" s="245">
        <f>H31+H40+H48</f>
        <v>42487.9</v>
      </c>
    </row>
    <row r="52" spans="3:8" ht="15" customHeight="1" thickTop="1" x14ac:dyDescent="0.25"/>
  </sheetData>
  <conditionalFormatting sqref="I8:I11 I13:I23">
    <cfRule type="cellIs" dxfId="61" priority="1" operator="greaterThan">
      <formula>$H$23</formula>
    </cfRule>
  </conditionalFormatting>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E661B-974D-4222-84CB-E47B35B33518}">
  <sheetPr>
    <pageSetUpPr fitToPage="1"/>
  </sheetPr>
  <dimension ref="A1:I30"/>
  <sheetViews>
    <sheetView zoomScaleNormal="100" workbookViewId="0">
      <selection activeCell="M26" sqref="M2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5.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#9440.01'!B1</f>
        <v>DAS CC Historical Building Elevators Replacement PH1</v>
      </c>
      <c r="B1" s="3"/>
      <c r="C1" s="4"/>
      <c r="D1" s="4"/>
      <c r="E1" s="4"/>
      <c r="F1" s="28"/>
      <c r="G1" s="28"/>
      <c r="H1" s="29"/>
      <c r="I1" s="29"/>
    </row>
    <row r="2" spans="1:9" ht="15.75" x14ac:dyDescent="0.25">
      <c r="A2" s="6" t="str">
        <f>'RECAP #9440.01'!B2</f>
        <v>Project # 9440.01</v>
      </c>
      <c r="B2" s="5"/>
      <c r="C2" s="4"/>
      <c r="D2" s="4"/>
      <c r="E2" s="4"/>
      <c r="F2" s="28"/>
      <c r="G2" s="28"/>
      <c r="H2" s="29"/>
      <c r="I2" s="29"/>
    </row>
    <row r="3" spans="1:9" ht="15.75" x14ac:dyDescent="0.25">
      <c r="A3" s="7" t="str">
        <f>'RECAP #9440.01'!B3</f>
        <v>Program code 944001</v>
      </c>
      <c r="B3" s="5"/>
      <c r="C3" s="4"/>
      <c r="D3" s="8" t="str">
        <f>'RECAP #9440.01'!E3</f>
        <v xml:space="preserve">Major Program:  4D03 </v>
      </c>
      <c r="E3" s="4"/>
      <c r="F3" s="28"/>
      <c r="G3" s="28"/>
      <c r="H3" s="29"/>
      <c r="I3" s="29"/>
    </row>
    <row r="4" spans="1:9" ht="15.75" x14ac:dyDescent="0.25">
      <c r="A4" s="30" t="s">
        <v>526</v>
      </c>
      <c r="B4" s="31"/>
      <c r="C4" s="32"/>
      <c r="D4" s="33" t="s">
        <v>105</v>
      </c>
      <c r="E4" s="28"/>
      <c r="F4" s="28"/>
      <c r="G4" s="28"/>
      <c r="H4" s="29"/>
      <c r="I4" s="29"/>
    </row>
    <row r="5" spans="1:9" ht="15.75" x14ac:dyDescent="0.25">
      <c r="A5" s="34" t="s">
        <v>104</v>
      </c>
      <c r="B5" s="35"/>
      <c r="C5" s="36"/>
      <c r="D5" s="37" t="s">
        <v>106</v>
      </c>
      <c r="E5" s="38"/>
      <c r="F5" s="39"/>
      <c r="G5" s="39"/>
      <c r="H5" s="35"/>
      <c r="I5" s="29"/>
    </row>
    <row r="6" spans="1:9" ht="15.75" x14ac:dyDescent="0.25">
      <c r="A6" s="11" t="str">
        <f>'RECAP #9440.01'!B6</f>
        <v>Project Manager - Brad T</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1346</v>
      </c>
      <c r="B9" s="177">
        <v>46226</v>
      </c>
      <c r="C9" s="231" t="s">
        <v>109</v>
      </c>
      <c r="D9" s="232">
        <v>219929.96</v>
      </c>
      <c r="E9" s="233">
        <f>D9</f>
        <v>219929.96</v>
      </c>
      <c r="F9" s="234"/>
      <c r="G9" s="234"/>
      <c r="H9" s="234">
        <f>E9</f>
        <v>219929.96</v>
      </c>
      <c r="I9" s="235"/>
    </row>
    <row r="10" spans="1:9" s="223" customFormat="1" ht="12.75" customHeight="1" x14ac:dyDescent="0.25">
      <c r="A10" s="230"/>
      <c r="B10" s="236"/>
      <c r="C10" s="231"/>
      <c r="D10" s="233"/>
      <c r="E10" s="233">
        <f t="shared" ref="E10:E21" si="0">E9+D10</f>
        <v>219929.96</v>
      </c>
      <c r="F10" s="237"/>
      <c r="G10" s="234">
        <f t="shared" ref="G10:G21" si="1">G9+F10</f>
        <v>0</v>
      </c>
      <c r="H10" s="234">
        <f t="shared" ref="H10:H21" si="2">H9-F10+D10</f>
        <v>219929.96</v>
      </c>
      <c r="I10" s="235"/>
    </row>
    <row r="11" spans="1:9" s="223" customFormat="1" ht="12.75" customHeight="1" x14ac:dyDescent="0.25">
      <c r="A11" s="230"/>
      <c r="B11" s="177"/>
      <c r="C11" s="231"/>
      <c r="D11" s="233"/>
      <c r="E11" s="233">
        <f t="shared" si="0"/>
        <v>219929.96</v>
      </c>
      <c r="F11" s="237"/>
      <c r="G11" s="234">
        <f t="shared" si="1"/>
        <v>0</v>
      </c>
      <c r="H11" s="234">
        <f t="shared" si="2"/>
        <v>219929.96</v>
      </c>
      <c r="I11" s="235"/>
    </row>
    <row r="12" spans="1:9" s="223" customFormat="1" ht="12.75" customHeight="1" x14ac:dyDescent="0.25">
      <c r="A12" s="230"/>
      <c r="B12" s="177"/>
      <c r="C12" s="231"/>
      <c r="D12" s="233"/>
      <c r="E12" s="233">
        <f t="shared" si="0"/>
        <v>219929.96</v>
      </c>
      <c r="F12" s="237"/>
      <c r="G12" s="234">
        <f t="shared" si="1"/>
        <v>0</v>
      </c>
      <c r="H12" s="234">
        <f t="shared" si="2"/>
        <v>219929.96</v>
      </c>
      <c r="I12" s="235"/>
    </row>
    <row r="13" spans="1:9" s="223" customFormat="1" ht="12.75" customHeight="1" x14ac:dyDescent="0.25">
      <c r="A13" s="230"/>
      <c r="B13" s="177"/>
      <c r="C13" s="231"/>
      <c r="D13" s="233"/>
      <c r="E13" s="233">
        <f t="shared" si="0"/>
        <v>219929.96</v>
      </c>
      <c r="F13" s="238"/>
      <c r="G13" s="234">
        <f t="shared" si="1"/>
        <v>0</v>
      </c>
      <c r="H13" s="234">
        <f t="shared" si="2"/>
        <v>219929.96</v>
      </c>
      <c r="I13" s="298"/>
    </row>
    <row r="14" spans="1:9" s="223" customFormat="1" ht="12.75" customHeight="1" x14ac:dyDescent="0.25">
      <c r="A14" s="230"/>
      <c r="B14" s="177"/>
      <c r="C14" s="231"/>
      <c r="D14" s="232"/>
      <c r="E14" s="233">
        <f t="shared" si="0"/>
        <v>219929.96</v>
      </c>
      <c r="F14" s="234"/>
      <c r="G14" s="234">
        <f t="shared" si="1"/>
        <v>0</v>
      </c>
      <c r="H14" s="234">
        <f t="shared" si="2"/>
        <v>219929.96</v>
      </c>
      <c r="I14" s="235"/>
    </row>
    <row r="15" spans="1:9" s="223" customFormat="1" ht="12.75" customHeight="1" x14ac:dyDescent="0.25">
      <c r="A15" s="230"/>
      <c r="B15" s="177"/>
      <c r="C15" s="231"/>
      <c r="D15" s="233"/>
      <c r="E15" s="233">
        <f t="shared" si="0"/>
        <v>219929.96</v>
      </c>
      <c r="F15" s="238"/>
      <c r="G15" s="234">
        <f t="shared" si="1"/>
        <v>0</v>
      </c>
      <c r="H15" s="234">
        <f t="shared" si="2"/>
        <v>219929.96</v>
      </c>
      <c r="I15" s="235"/>
    </row>
    <row r="16" spans="1:9" s="223" customFormat="1" ht="12.75" customHeight="1" x14ac:dyDescent="0.25">
      <c r="A16" s="230"/>
      <c r="B16" s="177"/>
      <c r="C16" s="231"/>
      <c r="D16" s="233"/>
      <c r="E16" s="233">
        <f t="shared" si="0"/>
        <v>219929.96</v>
      </c>
      <c r="F16" s="238"/>
      <c r="G16" s="234">
        <f t="shared" si="1"/>
        <v>0</v>
      </c>
      <c r="H16" s="234">
        <f t="shared" si="2"/>
        <v>219929.96</v>
      </c>
      <c r="I16" s="235"/>
    </row>
    <row r="17" spans="1:9" s="223" customFormat="1" ht="12.75" customHeight="1" x14ac:dyDescent="0.25">
      <c r="A17" s="230"/>
      <c r="B17" s="177"/>
      <c r="C17" s="231"/>
      <c r="D17" s="233"/>
      <c r="E17" s="233">
        <f t="shared" si="0"/>
        <v>219929.96</v>
      </c>
      <c r="F17" s="238"/>
      <c r="G17" s="234">
        <f t="shared" si="1"/>
        <v>0</v>
      </c>
      <c r="H17" s="234">
        <f t="shared" si="2"/>
        <v>219929.96</v>
      </c>
      <c r="I17" s="235"/>
    </row>
    <row r="18" spans="1:9" s="223" customFormat="1" ht="12.75" customHeight="1" x14ac:dyDescent="0.25">
      <c r="A18" s="230"/>
      <c r="B18" s="177"/>
      <c r="C18" s="231"/>
      <c r="D18" s="233"/>
      <c r="E18" s="233">
        <f t="shared" si="0"/>
        <v>219929.96</v>
      </c>
      <c r="F18" s="238"/>
      <c r="G18" s="234">
        <f t="shared" si="1"/>
        <v>0</v>
      </c>
      <c r="H18" s="234">
        <f t="shared" si="2"/>
        <v>219929.96</v>
      </c>
      <c r="I18" s="235"/>
    </row>
    <row r="19" spans="1:9" s="223" customFormat="1" ht="12.75" customHeight="1" x14ac:dyDescent="0.25">
      <c r="A19" s="230"/>
      <c r="B19" s="177"/>
      <c r="C19" s="231"/>
      <c r="D19" s="233"/>
      <c r="E19" s="233">
        <f t="shared" si="0"/>
        <v>219929.96</v>
      </c>
      <c r="F19" s="234"/>
      <c r="G19" s="234">
        <f t="shared" si="1"/>
        <v>0</v>
      </c>
      <c r="H19" s="234">
        <f t="shared" si="2"/>
        <v>219929.96</v>
      </c>
      <c r="I19" s="235"/>
    </row>
    <row r="20" spans="1:9" s="223" customFormat="1" ht="12.75" customHeight="1" x14ac:dyDescent="0.25">
      <c r="A20" s="230"/>
      <c r="B20" s="177"/>
      <c r="C20" s="231"/>
      <c r="D20" s="233"/>
      <c r="E20" s="233">
        <f t="shared" si="0"/>
        <v>219929.96</v>
      </c>
      <c r="F20" s="234"/>
      <c r="G20" s="234">
        <f t="shared" si="1"/>
        <v>0</v>
      </c>
      <c r="H20" s="234">
        <f t="shared" si="2"/>
        <v>219929.96</v>
      </c>
      <c r="I20" s="235"/>
    </row>
    <row r="21" spans="1:9" s="223" customFormat="1" ht="12.75" customHeight="1" x14ac:dyDescent="0.25">
      <c r="A21" s="230"/>
      <c r="B21" s="177"/>
      <c r="C21" s="239"/>
      <c r="D21" s="233"/>
      <c r="E21" s="233">
        <f t="shared" si="0"/>
        <v>219929.96</v>
      </c>
      <c r="F21" s="234"/>
      <c r="G21" s="234">
        <f t="shared" si="1"/>
        <v>0</v>
      </c>
      <c r="H21" s="234">
        <f t="shared" si="2"/>
        <v>219929.96</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219929.96</v>
      </c>
      <c r="E23" s="245"/>
      <c r="F23" s="245">
        <f>SUM(F9:F22)</f>
        <v>0</v>
      </c>
      <c r="G23" s="245"/>
      <c r="H23" s="245">
        <f>D23-F23</f>
        <v>219929.96</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154008.01</v>
      </c>
      <c r="E26" s="254"/>
      <c r="F26" s="254"/>
      <c r="G26" s="254"/>
      <c r="H26" s="254">
        <f>D26-F26</f>
        <v>154008.01</v>
      </c>
      <c r="I26" s="235"/>
    </row>
    <row r="27" spans="1:9" s="223" customFormat="1" ht="12.75" customHeight="1" x14ac:dyDescent="0.25">
      <c r="A27" s="230"/>
      <c r="B27" s="231"/>
      <c r="C27" s="253" t="s">
        <v>111</v>
      </c>
      <c r="D27" s="254">
        <v>5000</v>
      </c>
      <c r="E27" s="254"/>
      <c r="F27" s="254"/>
      <c r="G27" s="254"/>
      <c r="H27" s="254">
        <f t="shared" ref="H27:H28" si="3">D27-F27</f>
        <v>5000</v>
      </c>
      <c r="I27" s="235"/>
    </row>
    <row r="28" spans="1:9" s="223" customFormat="1" ht="12.75" customHeight="1" x14ac:dyDescent="0.25">
      <c r="A28" s="230"/>
      <c r="B28" s="231"/>
      <c r="C28" s="253" t="s">
        <v>637</v>
      </c>
      <c r="D28" s="254">
        <v>60921.95</v>
      </c>
      <c r="E28" s="254"/>
      <c r="F28" s="254"/>
      <c r="G28" s="254"/>
      <c r="H28" s="254">
        <f t="shared" si="3"/>
        <v>60921.95</v>
      </c>
      <c r="I28" s="235"/>
    </row>
    <row r="29" spans="1:9" s="223" customFormat="1" ht="12.75" customHeight="1" thickBot="1" x14ac:dyDescent="0.3">
      <c r="A29" s="230"/>
      <c r="B29" s="231"/>
      <c r="C29" s="255" t="s">
        <v>67</v>
      </c>
      <c r="D29" s="256">
        <f>SUM(D26:D28)</f>
        <v>219929.96000000002</v>
      </c>
      <c r="E29" s="257"/>
      <c r="F29" s="256">
        <f>SUM(F26:F28)</f>
        <v>0</v>
      </c>
      <c r="G29" s="257"/>
      <c r="H29" s="256">
        <f>SUM(H26:H28)</f>
        <v>219929.96000000002</v>
      </c>
      <c r="I29" s="235"/>
    </row>
    <row r="30" spans="1:9" s="223" customFormat="1" ht="12.75" customHeight="1" thickTop="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D0023-0683-4A98-8F68-96EFEA503674}">
  <sheetPr>
    <pageSetUpPr fitToPage="1"/>
  </sheetPr>
  <dimension ref="A1:I25"/>
  <sheetViews>
    <sheetView zoomScaleNormal="100" workbookViewId="0">
      <selection activeCell="A24" sqref="A2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5.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#9440.01'!B1</f>
        <v>DAS CC Historical Building Elevators Replacement PH1</v>
      </c>
      <c r="B1" s="3"/>
      <c r="C1" s="4"/>
      <c r="D1" s="4"/>
      <c r="E1" s="4"/>
      <c r="F1" s="28"/>
      <c r="G1" s="28"/>
      <c r="H1" s="29"/>
      <c r="I1" s="29"/>
    </row>
    <row r="2" spans="1:9" ht="15.75" x14ac:dyDescent="0.25">
      <c r="A2" s="6" t="str">
        <f>'RECAP #9440.01'!B2</f>
        <v>Project # 9440.01</v>
      </c>
      <c r="B2" s="5"/>
      <c r="C2" s="4"/>
      <c r="D2" s="4"/>
      <c r="E2" s="4"/>
      <c r="F2" s="28"/>
      <c r="G2" s="28"/>
      <c r="H2" s="29"/>
      <c r="I2" s="29"/>
    </row>
    <row r="3" spans="1:9" ht="15.75" x14ac:dyDescent="0.25">
      <c r="A3" s="7" t="str">
        <f>'RECAP #9440.01'!B3</f>
        <v>Program code 944001</v>
      </c>
      <c r="B3" s="5"/>
      <c r="C3" s="4"/>
      <c r="D3" s="8" t="str">
        <f>'RECAP #9440.01'!E3</f>
        <v xml:space="preserve">Major Program:  4D03 </v>
      </c>
      <c r="E3" s="4"/>
      <c r="F3" s="28"/>
      <c r="G3" s="28"/>
      <c r="H3" s="29"/>
      <c r="I3" s="29"/>
    </row>
    <row r="4" spans="1:9" ht="15.75" x14ac:dyDescent="0.25">
      <c r="A4" s="30" t="s">
        <v>1347</v>
      </c>
      <c r="B4" s="31"/>
      <c r="C4" s="32"/>
      <c r="D4" s="33" t="s">
        <v>1348</v>
      </c>
      <c r="E4" s="28"/>
      <c r="F4" s="28"/>
      <c r="G4" s="28"/>
      <c r="H4" s="29"/>
      <c r="I4" s="29"/>
    </row>
    <row r="5" spans="1:9" ht="15.75" x14ac:dyDescent="0.25">
      <c r="A5" s="34" t="s">
        <v>104</v>
      </c>
      <c r="B5" s="35"/>
      <c r="C5" s="36"/>
      <c r="D5" s="37" t="s">
        <v>1349</v>
      </c>
      <c r="E5" s="38"/>
      <c r="F5" s="39"/>
      <c r="G5" s="39"/>
      <c r="H5" s="35"/>
      <c r="I5" s="29"/>
    </row>
    <row r="6" spans="1:9" ht="15.75" x14ac:dyDescent="0.25">
      <c r="A6" s="11" t="str">
        <f>'RECAP #9440.01'!B6</f>
        <v>Project Manager - Brad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1350</v>
      </c>
      <c r="B9" s="177">
        <v>46226</v>
      </c>
      <c r="C9" s="231" t="s">
        <v>109</v>
      </c>
      <c r="D9" s="232">
        <v>146245</v>
      </c>
      <c r="E9" s="233">
        <f>D9</f>
        <v>146245</v>
      </c>
      <c r="F9" s="234"/>
      <c r="G9" s="234"/>
      <c r="H9" s="234">
        <f>E9</f>
        <v>146245</v>
      </c>
      <c r="I9" s="235"/>
    </row>
    <row r="10" spans="1:9" s="223" customFormat="1" ht="12.75" customHeight="1" x14ac:dyDescent="0.25">
      <c r="A10" s="230"/>
      <c r="B10" s="236"/>
      <c r="C10" s="231"/>
      <c r="D10" s="233"/>
      <c r="E10" s="233">
        <f t="shared" ref="E10:E21" si="0">E9+D10</f>
        <v>146245</v>
      </c>
      <c r="F10" s="237"/>
      <c r="G10" s="234">
        <f t="shared" ref="G10:G21" si="1">G9+F10</f>
        <v>0</v>
      </c>
      <c r="H10" s="234">
        <f t="shared" ref="H10:H21" si="2">H9-F10+D10</f>
        <v>146245</v>
      </c>
      <c r="I10" s="235"/>
    </row>
    <row r="11" spans="1:9" s="223" customFormat="1" ht="12.75" customHeight="1" x14ac:dyDescent="0.25">
      <c r="A11" s="230"/>
      <c r="B11" s="177"/>
      <c r="C11" s="231"/>
      <c r="D11" s="233"/>
      <c r="E11" s="233">
        <f t="shared" si="0"/>
        <v>146245</v>
      </c>
      <c r="F11" s="237"/>
      <c r="G11" s="234">
        <f t="shared" si="1"/>
        <v>0</v>
      </c>
      <c r="H11" s="234">
        <f t="shared" si="2"/>
        <v>146245</v>
      </c>
      <c r="I11" s="235"/>
    </row>
    <row r="12" spans="1:9" s="223" customFormat="1" ht="12.75" customHeight="1" x14ac:dyDescent="0.25">
      <c r="A12" s="230"/>
      <c r="B12" s="177"/>
      <c r="C12" s="231"/>
      <c r="D12" s="233"/>
      <c r="E12" s="233">
        <f t="shared" si="0"/>
        <v>146245</v>
      </c>
      <c r="F12" s="237"/>
      <c r="G12" s="234">
        <f t="shared" si="1"/>
        <v>0</v>
      </c>
      <c r="H12" s="234">
        <f t="shared" si="2"/>
        <v>146245</v>
      </c>
      <c r="I12" s="235"/>
    </row>
    <row r="13" spans="1:9" s="223" customFormat="1" ht="12.75" customHeight="1" x14ac:dyDescent="0.25">
      <c r="A13" s="230"/>
      <c r="B13" s="177"/>
      <c r="C13" s="231"/>
      <c r="D13" s="233"/>
      <c r="E13" s="233">
        <f t="shared" si="0"/>
        <v>146245</v>
      </c>
      <c r="F13" s="238"/>
      <c r="G13" s="234">
        <f t="shared" si="1"/>
        <v>0</v>
      </c>
      <c r="H13" s="234">
        <f t="shared" si="2"/>
        <v>146245</v>
      </c>
      <c r="I13" s="298"/>
    </row>
    <row r="14" spans="1:9" s="223" customFormat="1" ht="12.75" customHeight="1" x14ac:dyDescent="0.25">
      <c r="A14" s="230"/>
      <c r="B14" s="177"/>
      <c r="C14" s="231"/>
      <c r="D14" s="232"/>
      <c r="E14" s="233">
        <f t="shared" si="0"/>
        <v>146245</v>
      </c>
      <c r="F14" s="234"/>
      <c r="G14" s="234">
        <f t="shared" si="1"/>
        <v>0</v>
      </c>
      <c r="H14" s="234">
        <f t="shared" si="2"/>
        <v>146245</v>
      </c>
      <c r="I14" s="235"/>
    </row>
    <row r="15" spans="1:9" s="223" customFormat="1" ht="12.75" customHeight="1" x14ac:dyDescent="0.25">
      <c r="A15" s="230"/>
      <c r="B15" s="177"/>
      <c r="C15" s="231"/>
      <c r="D15" s="233"/>
      <c r="E15" s="233">
        <f t="shared" si="0"/>
        <v>146245</v>
      </c>
      <c r="F15" s="238"/>
      <c r="G15" s="234">
        <f t="shared" si="1"/>
        <v>0</v>
      </c>
      <c r="H15" s="234">
        <f t="shared" si="2"/>
        <v>146245</v>
      </c>
      <c r="I15" s="235"/>
    </row>
    <row r="16" spans="1:9" s="223" customFormat="1" ht="12.75" customHeight="1" x14ac:dyDescent="0.25">
      <c r="A16" s="230"/>
      <c r="B16" s="177"/>
      <c r="C16" s="231"/>
      <c r="D16" s="233"/>
      <c r="E16" s="233">
        <f t="shared" si="0"/>
        <v>146245</v>
      </c>
      <c r="F16" s="238"/>
      <c r="G16" s="234">
        <f t="shared" si="1"/>
        <v>0</v>
      </c>
      <c r="H16" s="234">
        <f t="shared" si="2"/>
        <v>146245</v>
      </c>
      <c r="I16" s="235"/>
    </row>
    <row r="17" spans="1:9" s="223" customFormat="1" ht="12.75" customHeight="1" x14ac:dyDescent="0.25">
      <c r="A17" s="230"/>
      <c r="B17" s="177"/>
      <c r="C17" s="231"/>
      <c r="D17" s="233"/>
      <c r="E17" s="233">
        <f t="shared" si="0"/>
        <v>146245</v>
      </c>
      <c r="F17" s="238"/>
      <c r="G17" s="234">
        <f t="shared" si="1"/>
        <v>0</v>
      </c>
      <c r="H17" s="234">
        <f t="shared" si="2"/>
        <v>146245</v>
      </c>
      <c r="I17" s="235"/>
    </row>
    <row r="18" spans="1:9" s="223" customFormat="1" ht="12.75" customHeight="1" x14ac:dyDescent="0.25">
      <c r="A18" s="230"/>
      <c r="B18" s="177"/>
      <c r="C18" s="231"/>
      <c r="D18" s="233"/>
      <c r="E18" s="233">
        <f t="shared" si="0"/>
        <v>146245</v>
      </c>
      <c r="F18" s="238"/>
      <c r="G18" s="234">
        <f t="shared" si="1"/>
        <v>0</v>
      </c>
      <c r="H18" s="234">
        <f t="shared" si="2"/>
        <v>146245</v>
      </c>
      <c r="I18" s="235"/>
    </row>
    <row r="19" spans="1:9" s="223" customFormat="1" ht="12.75" customHeight="1" x14ac:dyDescent="0.25">
      <c r="A19" s="230"/>
      <c r="B19" s="177"/>
      <c r="C19" s="231"/>
      <c r="D19" s="233"/>
      <c r="E19" s="233">
        <f t="shared" si="0"/>
        <v>146245</v>
      </c>
      <c r="F19" s="234"/>
      <c r="G19" s="234">
        <f t="shared" si="1"/>
        <v>0</v>
      </c>
      <c r="H19" s="234">
        <f t="shared" si="2"/>
        <v>146245</v>
      </c>
      <c r="I19" s="235"/>
    </row>
    <row r="20" spans="1:9" s="223" customFormat="1" ht="12.75" customHeight="1" x14ac:dyDescent="0.25">
      <c r="A20" s="230"/>
      <c r="B20" s="177"/>
      <c r="C20" s="231"/>
      <c r="D20" s="233"/>
      <c r="E20" s="233">
        <f t="shared" si="0"/>
        <v>146245</v>
      </c>
      <c r="F20" s="234"/>
      <c r="G20" s="234">
        <f t="shared" si="1"/>
        <v>0</v>
      </c>
      <c r="H20" s="234">
        <f t="shared" si="2"/>
        <v>146245</v>
      </c>
      <c r="I20" s="235"/>
    </row>
    <row r="21" spans="1:9" s="223" customFormat="1" ht="12.75" customHeight="1" x14ac:dyDescent="0.25">
      <c r="A21" s="230"/>
      <c r="B21" s="177"/>
      <c r="C21" s="239"/>
      <c r="D21" s="233"/>
      <c r="E21" s="233">
        <f t="shared" si="0"/>
        <v>146245</v>
      </c>
      <c r="F21" s="234"/>
      <c r="G21" s="234">
        <f t="shared" si="1"/>
        <v>0</v>
      </c>
      <c r="H21" s="234">
        <f t="shared" si="2"/>
        <v>146245</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146245</v>
      </c>
      <c r="E23" s="245"/>
      <c r="F23" s="245">
        <f>SUM(F9:F22)</f>
        <v>0</v>
      </c>
      <c r="G23" s="245"/>
      <c r="H23" s="245">
        <f>D23-F23</f>
        <v>146245</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C95D0-3B66-46F2-9EAC-B8632B6EA257}">
  <sheetPr>
    <pageSetUpPr fitToPage="1"/>
  </sheetPr>
  <dimension ref="A1:I25"/>
  <sheetViews>
    <sheetView zoomScaleNormal="100" workbookViewId="0">
      <selection activeCell="C27" sqref="C2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5.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#9440.01'!B1</f>
        <v>DAS CC Historical Building Elevators Replacement PH1</v>
      </c>
      <c r="B1" s="3"/>
      <c r="C1" s="4"/>
      <c r="D1" s="4"/>
      <c r="E1" s="4"/>
      <c r="F1" s="28"/>
      <c r="G1" s="28"/>
      <c r="H1" s="29"/>
      <c r="I1" s="29"/>
    </row>
    <row r="2" spans="1:9" ht="15.75" x14ac:dyDescent="0.25">
      <c r="A2" s="6" t="str">
        <f>'RECAP #9440.01'!B2</f>
        <v>Project # 9440.01</v>
      </c>
      <c r="B2" s="5"/>
      <c r="C2" s="4"/>
      <c r="D2" s="4"/>
      <c r="E2" s="4"/>
      <c r="F2" s="28"/>
      <c r="G2" s="28"/>
      <c r="H2" s="29"/>
      <c r="I2" s="29"/>
    </row>
    <row r="3" spans="1:9" ht="15.75" x14ac:dyDescent="0.25">
      <c r="A3" s="7" t="str">
        <f>'RECAP #9440.01'!B3</f>
        <v>Program code 944001</v>
      </c>
      <c r="B3" s="5"/>
      <c r="C3" s="4"/>
      <c r="D3" s="8" t="str">
        <f>'RECAP #9440.01'!E3</f>
        <v xml:space="preserve">Major Program:  4D03 </v>
      </c>
      <c r="E3" s="4"/>
      <c r="F3" s="28"/>
      <c r="G3" s="28"/>
      <c r="H3" s="29"/>
      <c r="I3" s="29"/>
    </row>
    <row r="4" spans="1:9" ht="15.75" x14ac:dyDescent="0.25">
      <c r="A4" s="30" t="s">
        <v>1358</v>
      </c>
      <c r="B4" s="31"/>
      <c r="C4" s="32"/>
      <c r="D4" s="33" t="s">
        <v>1359</v>
      </c>
      <c r="E4" s="28"/>
      <c r="F4" s="28"/>
      <c r="G4" s="28"/>
      <c r="H4" s="29"/>
      <c r="I4" s="29"/>
    </row>
    <row r="5" spans="1:9" ht="15.75" x14ac:dyDescent="0.25">
      <c r="A5" s="34" t="s">
        <v>104</v>
      </c>
      <c r="B5" s="35"/>
      <c r="C5" s="36"/>
      <c r="D5" s="37" t="s">
        <v>1360</v>
      </c>
      <c r="E5" s="38"/>
      <c r="F5" s="39"/>
      <c r="G5" s="39"/>
      <c r="H5" s="35"/>
      <c r="I5" s="29"/>
    </row>
    <row r="6" spans="1:9" ht="15.75" x14ac:dyDescent="0.25">
      <c r="A6" s="11" t="str">
        <f>'RECAP #9440.01'!B6</f>
        <v>Project Manager - Brad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1361</v>
      </c>
      <c r="B9" s="177">
        <v>46230</v>
      </c>
      <c r="C9" s="231" t="s">
        <v>109</v>
      </c>
      <c r="D9" s="232">
        <v>111858</v>
      </c>
      <c r="E9" s="233">
        <f>D9</f>
        <v>111858</v>
      </c>
      <c r="F9" s="234"/>
      <c r="G9" s="234"/>
      <c r="H9" s="234">
        <f>E9</f>
        <v>111858</v>
      </c>
      <c r="I9" s="235"/>
    </row>
    <row r="10" spans="1:9" s="223" customFormat="1" ht="12.75" customHeight="1" x14ac:dyDescent="0.25">
      <c r="A10" s="230"/>
      <c r="B10" s="236"/>
      <c r="C10" s="231"/>
      <c r="D10" s="233"/>
      <c r="E10" s="233">
        <f t="shared" ref="E10:E21" si="0">E9+D10</f>
        <v>111858</v>
      </c>
      <c r="F10" s="237"/>
      <c r="G10" s="234">
        <f t="shared" ref="G10:G21" si="1">G9+F10</f>
        <v>0</v>
      </c>
      <c r="H10" s="234">
        <f t="shared" ref="H10:H21" si="2">H9-F10+D10</f>
        <v>111858</v>
      </c>
      <c r="I10" s="235"/>
    </row>
    <row r="11" spans="1:9" s="223" customFormat="1" ht="12.75" customHeight="1" x14ac:dyDescent="0.25">
      <c r="A11" s="230"/>
      <c r="B11" s="177"/>
      <c r="C11" s="231"/>
      <c r="D11" s="233"/>
      <c r="E11" s="233">
        <f t="shared" si="0"/>
        <v>111858</v>
      </c>
      <c r="F11" s="237"/>
      <c r="G11" s="234">
        <f t="shared" si="1"/>
        <v>0</v>
      </c>
      <c r="H11" s="234">
        <f t="shared" si="2"/>
        <v>111858</v>
      </c>
      <c r="I11" s="235"/>
    </row>
    <row r="12" spans="1:9" s="223" customFormat="1" ht="12.75" customHeight="1" x14ac:dyDescent="0.25">
      <c r="A12" s="230"/>
      <c r="B12" s="177"/>
      <c r="C12" s="231"/>
      <c r="D12" s="233"/>
      <c r="E12" s="233">
        <f t="shared" si="0"/>
        <v>111858</v>
      </c>
      <c r="F12" s="237"/>
      <c r="G12" s="234">
        <f t="shared" si="1"/>
        <v>0</v>
      </c>
      <c r="H12" s="234">
        <f t="shared" si="2"/>
        <v>111858</v>
      </c>
      <c r="I12" s="235"/>
    </row>
    <row r="13" spans="1:9" s="223" customFormat="1" ht="12.75" customHeight="1" x14ac:dyDescent="0.25">
      <c r="A13" s="230"/>
      <c r="B13" s="177"/>
      <c r="C13" s="231"/>
      <c r="D13" s="233"/>
      <c r="E13" s="233">
        <f t="shared" si="0"/>
        <v>111858</v>
      </c>
      <c r="F13" s="238"/>
      <c r="G13" s="234">
        <f t="shared" si="1"/>
        <v>0</v>
      </c>
      <c r="H13" s="234">
        <f t="shared" si="2"/>
        <v>111858</v>
      </c>
      <c r="I13" s="298"/>
    </row>
    <row r="14" spans="1:9" s="223" customFormat="1" ht="12.75" customHeight="1" x14ac:dyDescent="0.25">
      <c r="A14" s="230"/>
      <c r="B14" s="177"/>
      <c r="C14" s="231"/>
      <c r="D14" s="232"/>
      <c r="E14" s="233">
        <f t="shared" si="0"/>
        <v>111858</v>
      </c>
      <c r="F14" s="234"/>
      <c r="G14" s="234">
        <f t="shared" si="1"/>
        <v>0</v>
      </c>
      <c r="H14" s="234">
        <f t="shared" si="2"/>
        <v>111858</v>
      </c>
      <c r="I14" s="235"/>
    </row>
    <row r="15" spans="1:9" s="223" customFormat="1" ht="12.75" customHeight="1" x14ac:dyDescent="0.25">
      <c r="A15" s="230"/>
      <c r="B15" s="177"/>
      <c r="C15" s="231"/>
      <c r="D15" s="233"/>
      <c r="E15" s="233">
        <f t="shared" si="0"/>
        <v>111858</v>
      </c>
      <c r="F15" s="238"/>
      <c r="G15" s="234">
        <f t="shared" si="1"/>
        <v>0</v>
      </c>
      <c r="H15" s="234">
        <f t="shared" si="2"/>
        <v>111858</v>
      </c>
      <c r="I15" s="235"/>
    </row>
    <row r="16" spans="1:9" s="223" customFormat="1" ht="12.75" customHeight="1" x14ac:dyDescent="0.25">
      <c r="A16" s="230"/>
      <c r="B16" s="177"/>
      <c r="C16" s="231"/>
      <c r="D16" s="233"/>
      <c r="E16" s="233">
        <f t="shared" si="0"/>
        <v>111858</v>
      </c>
      <c r="F16" s="238"/>
      <c r="G16" s="234">
        <f t="shared" si="1"/>
        <v>0</v>
      </c>
      <c r="H16" s="234">
        <f t="shared" si="2"/>
        <v>111858</v>
      </c>
      <c r="I16" s="235"/>
    </row>
    <row r="17" spans="1:9" s="223" customFormat="1" ht="12.75" customHeight="1" x14ac:dyDescent="0.25">
      <c r="A17" s="230"/>
      <c r="B17" s="177"/>
      <c r="C17" s="231"/>
      <c r="D17" s="233"/>
      <c r="E17" s="233">
        <f t="shared" si="0"/>
        <v>111858</v>
      </c>
      <c r="F17" s="238"/>
      <c r="G17" s="234">
        <f t="shared" si="1"/>
        <v>0</v>
      </c>
      <c r="H17" s="234">
        <f t="shared" si="2"/>
        <v>111858</v>
      </c>
      <c r="I17" s="235"/>
    </row>
    <row r="18" spans="1:9" s="223" customFormat="1" ht="12.75" customHeight="1" x14ac:dyDescent="0.25">
      <c r="A18" s="230"/>
      <c r="B18" s="177"/>
      <c r="C18" s="231"/>
      <c r="D18" s="233"/>
      <c r="E18" s="233">
        <f t="shared" si="0"/>
        <v>111858</v>
      </c>
      <c r="F18" s="238"/>
      <c r="G18" s="234">
        <f t="shared" si="1"/>
        <v>0</v>
      </c>
      <c r="H18" s="234">
        <f t="shared" si="2"/>
        <v>111858</v>
      </c>
      <c r="I18" s="235"/>
    </row>
    <row r="19" spans="1:9" s="223" customFormat="1" ht="12.75" customHeight="1" x14ac:dyDescent="0.25">
      <c r="A19" s="230"/>
      <c r="B19" s="177"/>
      <c r="C19" s="231"/>
      <c r="D19" s="233"/>
      <c r="E19" s="233">
        <f t="shared" si="0"/>
        <v>111858</v>
      </c>
      <c r="F19" s="234"/>
      <c r="G19" s="234">
        <f t="shared" si="1"/>
        <v>0</v>
      </c>
      <c r="H19" s="234">
        <f t="shared" si="2"/>
        <v>111858</v>
      </c>
      <c r="I19" s="235"/>
    </row>
    <row r="20" spans="1:9" s="223" customFormat="1" ht="12.75" customHeight="1" x14ac:dyDescent="0.25">
      <c r="A20" s="230"/>
      <c r="B20" s="177"/>
      <c r="C20" s="231"/>
      <c r="D20" s="233"/>
      <c r="E20" s="233">
        <f t="shared" si="0"/>
        <v>111858</v>
      </c>
      <c r="F20" s="234"/>
      <c r="G20" s="234">
        <f t="shared" si="1"/>
        <v>0</v>
      </c>
      <c r="H20" s="234">
        <f t="shared" si="2"/>
        <v>111858</v>
      </c>
      <c r="I20" s="235"/>
    </row>
    <row r="21" spans="1:9" s="223" customFormat="1" ht="12.75" customHeight="1" x14ac:dyDescent="0.25">
      <c r="A21" s="230"/>
      <c r="B21" s="177"/>
      <c r="C21" s="239"/>
      <c r="D21" s="233"/>
      <c r="E21" s="233">
        <f t="shared" si="0"/>
        <v>111858</v>
      </c>
      <c r="F21" s="234"/>
      <c r="G21" s="234">
        <f t="shared" si="1"/>
        <v>0</v>
      </c>
      <c r="H21" s="234">
        <f t="shared" si="2"/>
        <v>111858</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111858</v>
      </c>
      <c r="E23" s="245"/>
      <c r="F23" s="245">
        <f>SUM(F9:F22)</f>
        <v>0</v>
      </c>
      <c r="G23" s="245"/>
      <c r="H23" s="245">
        <f>D23-F23</f>
        <v>111858</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7B080-FF5C-41B7-B794-4CFF051C2096}">
  <sheetPr>
    <pageSetUpPr fitToPage="1"/>
  </sheetPr>
  <dimension ref="A1:I25"/>
  <sheetViews>
    <sheetView zoomScaleNormal="100" workbookViewId="0">
      <selection activeCell="B27" sqref="B2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5.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#9440.01'!B1</f>
        <v>DAS CC Historical Building Elevators Replacement PH1</v>
      </c>
      <c r="B1" s="3"/>
      <c r="C1" s="4"/>
      <c r="D1" s="4"/>
      <c r="E1" s="4"/>
      <c r="F1" s="28"/>
      <c r="G1" s="28"/>
      <c r="H1" s="29"/>
      <c r="I1" s="29"/>
    </row>
    <row r="2" spans="1:9" ht="15.75" x14ac:dyDescent="0.25">
      <c r="A2" s="6" t="str">
        <f>'RECAP #9440.01'!B2</f>
        <v>Project # 9440.01</v>
      </c>
      <c r="B2" s="5"/>
      <c r="C2" s="4"/>
      <c r="D2" s="4"/>
      <c r="E2" s="4"/>
      <c r="F2" s="28"/>
      <c r="G2" s="28"/>
      <c r="H2" s="29"/>
      <c r="I2" s="29"/>
    </row>
    <row r="3" spans="1:9" ht="15.75" x14ac:dyDescent="0.25">
      <c r="A3" s="7" t="str">
        <f>'RECAP #9440.01'!B3</f>
        <v>Program code 944001</v>
      </c>
      <c r="B3" s="5"/>
      <c r="C3" s="4"/>
      <c r="D3" s="8" t="str">
        <f>'RECAP #9440.01'!E3</f>
        <v xml:space="preserve">Major Program:  4D03 </v>
      </c>
      <c r="E3" s="4"/>
      <c r="F3" s="28"/>
      <c r="G3" s="28"/>
      <c r="H3" s="29"/>
      <c r="I3" s="29"/>
    </row>
    <row r="4" spans="1:9" ht="15.75" x14ac:dyDescent="0.25">
      <c r="A4" s="30" t="s">
        <v>412</v>
      </c>
      <c r="B4" s="31"/>
      <c r="C4" s="32"/>
      <c r="D4" s="33" t="s">
        <v>413</v>
      </c>
      <c r="E4" s="28"/>
      <c r="F4" s="28"/>
      <c r="G4" s="28"/>
      <c r="H4" s="29"/>
      <c r="I4" s="29"/>
    </row>
    <row r="5" spans="1:9" ht="15.75" x14ac:dyDescent="0.25">
      <c r="A5" s="34" t="s">
        <v>104</v>
      </c>
      <c r="B5" s="35"/>
      <c r="C5" s="36"/>
      <c r="D5" s="37" t="s">
        <v>1360</v>
      </c>
      <c r="E5" s="38"/>
      <c r="F5" s="39"/>
      <c r="G5" s="39"/>
      <c r="H5" s="35"/>
      <c r="I5" s="29"/>
    </row>
    <row r="6" spans="1:9" ht="15.75" x14ac:dyDescent="0.25">
      <c r="A6" s="11" t="str">
        <f>'RECAP #9440.01'!B6</f>
        <v>Project Manager - Brad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1395</v>
      </c>
      <c r="B9" s="177">
        <v>46238</v>
      </c>
      <c r="C9" s="231" t="s">
        <v>109</v>
      </c>
      <c r="D9" s="232">
        <v>960336</v>
      </c>
      <c r="E9" s="233">
        <f>D9</f>
        <v>960336</v>
      </c>
      <c r="F9" s="234"/>
      <c r="G9" s="234"/>
      <c r="H9" s="234">
        <f>E9</f>
        <v>960336</v>
      </c>
      <c r="I9" s="235"/>
    </row>
    <row r="10" spans="1:9" s="223" customFormat="1" ht="12.75" customHeight="1" x14ac:dyDescent="0.25">
      <c r="A10" s="230"/>
      <c r="B10" s="236"/>
      <c r="C10" s="231"/>
      <c r="D10" s="233"/>
      <c r="E10" s="233">
        <f t="shared" ref="E10:E21" si="0">E9+D10</f>
        <v>960336</v>
      </c>
      <c r="F10" s="237"/>
      <c r="G10" s="234">
        <f t="shared" ref="G10:G21" si="1">G9+F10</f>
        <v>0</v>
      </c>
      <c r="H10" s="234">
        <f t="shared" ref="H10:H21" si="2">H9-F10+D10</f>
        <v>960336</v>
      </c>
      <c r="I10" s="235"/>
    </row>
    <row r="11" spans="1:9" s="223" customFormat="1" ht="12.75" customHeight="1" x14ac:dyDescent="0.25">
      <c r="A11" s="230"/>
      <c r="B11" s="177"/>
      <c r="C11" s="231"/>
      <c r="D11" s="233"/>
      <c r="E11" s="233">
        <f t="shared" si="0"/>
        <v>960336</v>
      </c>
      <c r="F11" s="237"/>
      <c r="G11" s="234">
        <f t="shared" si="1"/>
        <v>0</v>
      </c>
      <c r="H11" s="234">
        <f t="shared" si="2"/>
        <v>960336</v>
      </c>
      <c r="I11" s="235"/>
    </row>
    <row r="12" spans="1:9" s="223" customFormat="1" ht="12.75" customHeight="1" x14ac:dyDescent="0.25">
      <c r="A12" s="230"/>
      <c r="B12" s="177"/>
      <c r="C12" s="231"/>
      <c r="D12" s="233"/>
      <c r="E12" s="233">
        <f t="shared" si="0"/>
        <v>960336</v>
      </c>
      <c r="F12" s="237"/>
      <c r="G12" s="234">
        <f t="shared" si="1"/>
        <v>0</v>
      </c>
      <c r="H12" s="234">
        <f t="shared" si="2"/>
        <v>960336</v>
      </c>
      <c r="I12" s="235"/>
    </row>
    <row r="13" spans="1:9" s="223" customFormat="1" ht="12.75" customHeight="1" x14ac:dyDescent="0.25">
      <c r="A13" s="230"/>
      <c r="B13" s="177"/>
      <c r="C13" s="231"/>
      <c r="D13" s="233"/>
      <c r="E13" s="233">
        <f t="shared" si="0"/>
        <v>960336</v>
      </c>
      <c r="F13" s="238"/>
      <c r="G13" s="234">
        <f t="shared" si="1"/>
        <v>0</v>
      </c>
      <c r="H13" s="234">
        <f t="shared" si="2"/>
        <v>960336</v>
      </c>
      <c r="I13" s="298"/>
    </row>
    <row r="14" spans="1:9" s="223" customFormat="1" ht="12.75" customHeight="1" x14ac:dyDescent="0.25">
      <c r="A14" s="230"/>
      <c r="B14" s="177"/>
      <c r="C14" s="231"/>
      <c r="D14" s="232"/>
      <c r="E14" s="233">
        <f t="shared" si="0"/>
        <v>960336</v>
      </c>
      <c r="F14" s="234"/>
      <c r="G14" s="234">
        <f t="shared" si="1"/>
        <v>0</v>
      </c>
      <c r="H14" s="234">
        <f t="shared" si="2"/>
        <v>960336</v>
      </c>
      <c r="I14" s="235"/>
    </row>
    <row r="15" spans="1:9" s="223" customFormat="1" ht="12.75" customHeight="1" x14ac:dyDescent="0.25">
      <c r="A15" s="230"/>
      <c r="B15" s="177"/>
      <c r="C15" s="231"/>
      <c r="D15" s="233"/>
      <c r="E15" s="233">
        <f t="shared" si="0"/>
        <v>960336</v>
      </c>
      <c r="F15" s="238"/>
      <c r="G15" s="234">
        <f t="shared" si="1"/>
        <v>0</v>
      </c>
      <c r="H15" s="234">
        <f t="shared" si="2"/>
        <v>960336</v>
      </c>
      <c r="I15" s="235"/>
    </row>
    <row r="16" spans="1:9" s="223" customFormat="1" ht="12.75" customHeight="1" x14ac:dyDescent="0.25">
      <c r="A16" s="230"/>
      <c r="B16" s="177"/>
      <c r="C16" s="231"/>
      <c r="D16" s="233"/>
      <c r="E16" s="233">
        <f t="shared" si="0"/>
        <v>960336</v>
      </c>
      <c r="F16" s="238"/>
      <c r="G16" s="234">
        <f t="shared" si="1"/>
        <v>0</v>
      </c>
      <c r="H16" s="234">
        <f t="shared" si="2"/>
        <v>960336</v>
      </c>
      <c r="I16" s="235"/>
    </row>
    <row r="17" spans="1:9" s="223" customFormat="1" ht="12.75" customHeight="1" x14ac:dyDescent="0.25">
      <c r="A17" s="230"/>
      <c r="B17" s="177"/>
      <c r="C17" s="231"/>
      <c r="D17" s="233"/>
      <c r="E17" s="233">
        <f t="shared" si="0"/>
        <v>960336</v>
      </c>
      <c r="F17" s="238"/>
      <c r="G17" s="234">
        <f t="shared" si="1"/>
        <v>0</v>
      </c>
      <c r="H17" s="234">
        <f t="shared" si="2"/>
        <v>960336</v>
      </c>
      <c r="I17" s="235"/>
    </row>
    <row r="18" spans="1:9" s="223" customFormat="1" ht="12.75" customHeight="1" x14ac:dyDescent="0.25">
      <c r="A18" s="230"/>
      <c r="B18" s="177"/>
      <c r="C18" s="231"/>
      <c r="D18" s="233"/>
      <c r="E18" s="233">
        <f t="shared" si="0"/>
        <v>960336</v>
      </c>
      <c r="F18" s="238"/>
      <c r="G18" s="234">
        <f t="shared" si="1"/>
        <v>0</v>
      </c>
      <c r="H18" s="234">
        <f t="shared" si="2"/>
        <v>960336</v>
      </c>
      <c r="I18" s="235"/>
    </row>
    <row r="19" spans="1:9" s="223" customFormat="1" ht="12.75" customHeight="1" x14ac:dyDescent="0.25">
      <c r="A19" s="230"/>
      <c r="B19" s="177"/>
      <c r="C19" s="231"/>
      <c r="D19" s="233"/>
      <c r="E19" s="233">
        <f t="shared" si="0"/>
        <v>960336</v>
      </c>
      <c r="F19" s="234"/>
      <c r="G19" s="234">
        <f t="shared" si="1"/>
        <v>0</v>
      </c>
      <c r="H19" s="234">
        <f t="shared" si="2"/>
        <v>960336</v>
      </c>
      <c r="I19" s="235"/>
    </row>
    <row r="20" spans="1:9" s="223" customFormat="1" ht="12.75" customHeight="1" x14ac:dyDescent="0.25">
      <c r="A20" s="230"/>
      <c r="B20" s="177"/>
      <c r="C20" s="231"/>
      <c r="D20" s="233"/>
      <c r="E20" s="233">
        <f t="shared" si="0"/>
        <v>960336</v>
      </c>
      <c r="F20" s="234"/>
      <c r="G20" s="234">
        <f t="shared" si="1"/>
        <v>0</v>
      </c>
      <c r="H20" s="234">
        <f t="shared" si="2"/>
        <v>960336</v>
      </c>
      <c r="I20" s="235"/>
    </row>
    <row r="21" spans="1:9" s="223" customFormat="1" ht="12.75" customHeight="1" x14ac:dyDescent="0.25">
      <c r="A21" s="230"/>
      <c r="B21" s="177"/>
      <c r="C21" s="239"/>
      <c r="D21" s="233"/>
      <c r="E21" s="233">
        <f t="shared" si="0"/>
        <v>960336</v>
      </c>
      <c r="F21" s="234"/>
      <c r="G21" s="234">
        <f t="shared" si="1"/>
        <v>0</v>
      </c>
      <c r="H21" s="234">
        <f t="shared" si="2"/>
        <v>960336</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960336</v>
      </c>
      <c r="E23" s="245"/>
      <c r="F23" s="245">
        <f>SUM(F9:F22)</f>
        <v>0</v>
      </c>
      <c r="G23" s="245"/>
      <c r="H23" s="245">
        <f>D23-F23</f>
        <v>960336</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A72F8-5E5E-4125-A463-FAF1F0B2416F}">
  <sheetPr>
    <pageSetUpPr fitToPage="1"/>
  </sheetPr>
  <dimension ref="A1:G16"/>
  <sheetViews>
    <sheetView zoomScaleNormal="100" workbookViewId="0">
      <selection activeCell="D22" sqref="D22"/>
    </sheetView>
  </sheetViews>
  <sheetFormatPr defaultColWidth="11.42578125" defaultRowHeight="15" customHeight="1" x14ac:dyDescent="0.25"/>
  <cols>
    <col min="1" max="1" width="3.5703125" customWidth="1"/>
    <col min="2" max="2" width="28.1406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345</v>
      </c>
      <c r="C1" s="3"/>
      <c r="D1" s="4"/>
      <c r="E1" s="4"/>
      <c r="F1" s="4"/>
      <c r="G1" s="4"/>
    </row>
    <row r="2" spans="1:7" ht="15.75" x14ac:dyDescent="0.25">
      <c r="A2" s="1"/>
      <c r="B2" s="6" t="s">
        <v>348</v>
      </c>
      <c r="C2" s="5"/>
      <c r="D2" s="4"/>
      <c r="E2" s="4"/>
      <c r="F2" s="4"/>
      <c r="G2" s="4"/>
    </row>
    <row r="3" spans="1:7" ht="15.75" x14ac:dyDescent="0.25">
      <c r="A3" s="1"/>
      <c r="B3" s="7" t="s">
        <v>349</v>
      </c>
      <c r="C3" s="5"/>
      <c r="D3" s="4"/>
      <c r="E3" s="8" t="s">
        <v>201</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175</v>
      </c>
      <c r="C6" s="12"/>
      <c r="D6" s="13" t="s">
        <v>2</v>
      </c>
      <c r="E6" s="4"/>
      <c r="F6" s="4"/>
      <c r="G6" s="4"/>
    </row>
    <row r="7" spans="1:7" ht="34.5" customHeight="1" thickBot="1" x14ac:dyDescent="0.3">
      <c r="A7" s="1"/>
      <c r="B7" s="14" t="s">
        <v>2</v>
      </c>
      <c r="C7" s="15" t="s">
        <v>3</v>
      </c>
      <c r="D7" s="16" t="s">
        <v>4</v>
      </c>
      <c r="E7" s="17" t="s">
        <v>5</v>
      </c>
      <c r="F7" s="18" t="s">
        <v>6</v>
      </c>
      <c r="G7" s="18" t="s">
        <v>7</v>
      </c>
    </row>
    <row r="8" spans="1:7" ht="28.35" customHeight="1" x14ac:dyDescent="0.25">
      <c r="A8" s="1"/>
      <c r="B8" s="1" t="s">
        <v>8</v>
      </c>
      <c r="C8" s="19">
        <f>FINANCIAL!G13</f>
        <v>297569.41999999993</v>
      </c>
      <c r="D8" s="20"/>
      <c r="E8" s="20"/>
      <c r="F8" s="20"/>
      <c r="G8" s="21"/>
    </row>
    <row r="9" spans="1:7" ht="12.75" customHeight="1" x14ac:dyDescent="0.25">
      <c r="A9" s="1"/>
      <c r="B9" s="5"/>
      <c r="C9" s="174"/>
      <c r="D9" s="23"/>
      <c r="E9" s="23"/>
      <c r="F9" s="23"/>
      <c r="G9" s="21"/>
    </row>
    <row r="10" spans="1:7" ht="12.75" customHeight="1" x14ac:dyDescent="0.25">
      <c r="A10" s="1"/>
      <c r="B10" s="5" t="s">
        <v>390</v>
      </c>
      <c r="C10" s="22"/>
      <c r="D10" s="20">
        <f>'#9455.00 McKinnis Roofing'!D23</f>
        <v>220346.0299999998</v>
      </c>
      <c r="E10" s="20">
        <f>'#9455.00 McKinnis Roofing'!F23</f>
        <v>213735.65</v>
      </c>
      <c r="F10" s="20">
        <f>'#9455.00 McKinnis Roofing'!H23</f>
        <v>6610.3799999998009</v>
      </c>
      <c r="G10" s="21"/>
    </row>
    <row r="11" spans="1:7" ht="12.75" customHeight="1" x14ac:dyDescent="0.25">
      <c r="A11" s="151" t="s">
        <v>250</v>
      </c>
      <c r="B11" s="5" t="s">
        <v>10</v>
      </c>
      <c r="C11" s="22"/>
      <c r="D11" s="20">
        <f>'#9455.00 PM TIME '!E23</f>
        <v>0</v>
      </c>
      <c r="E11" s="20">
        <f>'#9455.00 PM TIME '!G23</f>
        <v>0</v>
      </c>
      <c r="F11" s="20">
        <f>'#9455.00 PM TIME '!I23</f>
        <v>0</v>
      </c>
      <c r="G11" s="21"/>
    </row>
    <row r="12" spans="1:7" ht="12.75" customHeight="1" x14ac:dyDescent="0.25">
      <c r="A12" s="151" t="s">
        <v>250</v>
      </c>
      <c r="B12" s="5" t="s">
        <v>11</v>
      </c>
      <c r="C12" s="23"/>
      <c r="D12" s="24">
        <f>'#9455.00 Misc'!G22</f>
        <v>10361</v>
      </c>
      <c r="E12" s="24">
        <f>'#9455.00 Misc'!G22</f>
        <v>10361</v>
      </c>
      <c r="F12" s="20">
        <f>D12-E12</f>
        <v>0</v>
      </c>
      <c r="G12" s="21"/>
    </row>
    <row r="13" spans="1:7" ht="12.75" customHeight="1" x14ac:dyDescent="0.25">
      <c r="A13" s="151" t="s">
        <v>250</v>
      </c>
      <c r="B13" s="5" t="s">
        <v>471</v>
      </c>
      <c r="C13" s="23"/>
      <c r="D13" s="24">
        <f>'#9455.00 Samuels Group'!D23</f>
        <v>66862.390000000014</v>
      </c>
      <c r="E13" s="24">
        <f>'#9455.00 Samuels Group'!F23</f>
        <v>66862.39</v>
      </c>
      <c r="F13" s="20">
        <f>'#9455.00 Samuels Group'!H23</f>
        <v>0</v>
      </c>
      <c r="G13" s="21"/>
    </row>
    <row r="14" spans="1:7" ht="12.75" customHeight="1" x14ac:dyDescent="0.25">
      <c r="A14" s="1"/>
      <c r="B14" s="5"/>
      <c r="C14" s="23"/>
      <c r="D14" s="24"/>
      <c r="E14" s="24"/>
      <c r="F14" s="20"/>
      <c r="G14" s="21"/>
    </row>
    <row r="15" spans="1:7" ht="24" customHeight="1" thickBot="1" x14ac:dyDescent="0.3">
      <c r="A15" s="25"/>
      <c r="B15" s="26" t="s">
        <v>12</v>
      </c>
      <c r="C15" s="27">
        <f>SUM(C8:C14)</f>
        <v>297569.41999999993</v>
      </c>
      <c r="D15" s="27">
        <f>SUM(D8:D14)</f>
        <v>297569.41999999981</v>
      </c>
      <c r="E15" s="27">
        <f>SUM(E8:E14)</f>
        <v>290959.03999999998</v>
      </c>
      <c r="F15" s="27">
        <f>SUM(D15-E15)</f>
        <v>6610.37999999983</v>
      </c>
      <c r="G15" s="27">
        <f>C8-D15</f>
        <v>0</v>
      </c>
    </row>
    <row r="16" spans="1:7" ht="15" customHeight="1" thickTop="1" x14ac:dyDescent="0.25"/>
  </sheetData>
  <pageMargins left="0.25" right="0.25" top="1.2496875000000001" bottom="0.75" header="0.09" footer="0.3"/>
  <pageSetup scale="9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1ED51-969E-4749-B4AA-021565B6D79D}">
  <sheetPr>
    <pageSetUpPr fitToPage="1"/>
  </sheetPr>
  <dimension ref="A1:M32"/>
  <sheetViews>
    <sheetView zoomScaleNormal="100" workbookViewId="0">
      <selection activeCell="L8" sqref="L8"/>
    </sheetView>
  </sheetViews>
  <sheetFormatPr defaultColWidth="11.42578125" defaultRowHeight="15" customHeight="1" x14ac:dyDescent="0.25"/>
  <cols>
    <col min="1" max="1" width="24.5703125" customWidth="1"/>
    <col min="2" max="2" width="9.42578125" customWidth="1"/>
    <col min="3" max="3" width="25" customWidth="1"/>
    <col min="4" max="4" width="14.42578125" customWidth="1"/>
    <col min="5" max="5" width="13.5703125" customWidth="1"/>
    <col min="6" max="6" width="12.42578125" customWidth="1"/>
    <col min="7" max="7" width="10.5703125" customWidth="1"/>
    <col min="8" max="8" width="16.28515625" customWidth="1"/>
    <col min="9" max="9" width="12.7109375" customWidth="1"/>
    <col min="10" max="10" width="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#9455.00'!B1</f>
        <v>IDOE ISD Giangreco Hall Water Infiltration Mitigation</v>
      </c>
      <c r="B1" s="3"/>
      <c r="C1" s="4"/>
      <c r="D1" s="4"/>
      <c r="E1" s="4"/>
      <c r="F1" s="28"/>
      <c r="G1" s="28"/>
      <c r="H1" s="29"/>
      <c r="I1" s="29"/>
    </row>
    <row r="2" spans="1:10" ht="15.75" x14ac:dyDescent="0.25">
      <c r="A2" s="6" t="str">
        <f>'RECAP #9455.00'!B2</f>
        <v>Project # 9455.00</v>
      </c>
      <c r="B2" s="5"/>
      <c r="C2" s="4"/>
      <c r="D2" s="4"/>
      <c r="E2" s="4"/>
      <c r="F2" s="28"/>
      <c r="G2" s="28"/>
      <c r="H2" s="29"/>
      <c r="I2" s="29"/>
    </row>
    <row r="3" spans="1:10" ht="15.75" x14ac:dyDescent="0.25">
      <c r="A3" s="7" t="str">
        <f>'RECAP #9455.00'!B3</f>
        <v>Program code 945500</v>
      </c>
      <c r="B3" s="5"/>
      <c r="C3" s="4"/>
      <c r="D3" s="8" t="str">
        <f>'RECAP #9455.00'!E3</f>
        <v>Major Program 4F04</v>
      </c>
      <c r="E3" s="4"/>
      <c r="F3" s="28"/>
      <c r="G3" s="28"/>
      <c r="H3" s="29"/>
      <c r="I3" s="29"/>
    </row>
    <row r="4" spans="1:10" ht="15.75" x14ac:dyDescent="0.25">
      <c r="A4" s="30" t="s">
        <v>479</v>
      </c>
      <c r="B4" s="31"/>
      <c r="C4" s="32"/>
      <c r="D4" s="33" t="s">
        <v>483</v>
      </c>
      <c r="E4" s="28"/>
      <c r="F4" s="28"/>
      <c r="G4" s="28"/>
      <c r="H4" s="29"/>
      <c r="I4" s="29"/>
    </row>
    <row r="5" spans="1:10" ht="15.75" x14ac:dyDescent="0.25">
      <c r="A5" s="34" t="s">
        <v>104</v>
      </c>
      <c r="B5" s="35"/>
      <c r="C5" s="36"/>
      <c r="D5" s="37" t="s">
        <v>482</v>
      </c>
      <c r="E5" s="38"/>
      <c r="F5" s="39"/>
      <c r="G5" s="39"/>
      <c r="H5" s="35"/>
      <c r="I5" s="29"/>
    </row>
    <row r="6" spans="1:10" ht="15.75" x14ac:dyDescent="0.25">
      <c r="A6" s="11" t="str">
        <f>'RECAP #9455.00'!B6</f>
        <v>Project Manager - Jennie E.</v>
      </c>
      <c r="B6" s="11"/>
      <c r="C6" s="40"/>
      <c r="D6" s="295" t="s">
        <v>480</v>
      </c>
      <c r="E6" s="42"/>
      <c r="F6" s="43"/>
      <c r="G6" s="39"/>
      <c r="H6" s="35"/>
      <c r="I6" s="29"/>
    </row>
    <row r="7" spans="1:10" ht="15.75" x14ac:dyDescent="0.25">
      <c r="A7" s="29"/>
      <c r="B7" s="44"/>
      <c r="C7" s="44"/>
      <c r="D7" s="29" t="s">
        <v>1356</v>
      </c>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48" t="s">
        <v>529</v>
      </c>
    </row>
    <row r="9" spans="1:10" s="223" customFormat="1" ht="12.75" customHeight="1" x14ac:dyDescent="0.25">
      <c r="A9" s="230" t="s">
        <v>481</v>
      </c>
      <c r="B9" s="177">
        <v>46024</v>
      </c>
      <c r="C9" s="231" t="s">
        <v>109</v>
      </c>
      <c r="D9" s="232">
        <v>2454306</v>
      </c>
      <c r="E9" s="233">
        <f>D9</f>
        <v>2454306</v>
      </c>
      <c r="F9" s="234"/>
      <c r="G9" s="234"/>
      <c r="H9" s="234">
        <f>E9</f>
        <v>2454306</v>
      </c>
      <c r="I9" s="281"/>
    </row>
    <row r="10" spans="1:10" s="223" customFormat="1" ht="12.75" customHeight="1" x14ac:dyDescent="0.25">
      <c r="A10" s="328" t="s">
        <v>1078</v>
      </c>
      <c r="B10" s="335">
        <v>46192</v>
      </c>
      <c r="C10" s="330" t="s">
        <v>1079</v>
      </c>
      <c r="D10" s="331"/>
      <c r="E10" s="331">
        <f t="shared" ref="E10:E21" si="0">E9+D10</f>
        <v>2454306</v>
      </c>
      <c r="F10" s="338">
        <v>213735.65</v>
      </c>
      <c r="G10" s="332">
        <f t="shared" ref="G10:G21" si="1">G9+F10</f>
        <v>213735.65</v>
      </c>
      <c r="H10" s="332">
        <f t="shared" ref="H10:H21" si="2">H9-F10+D10</f>
        <v>2240570.35</v>
      </c>
      <c r="I10" s="336">
        <f>6610.38</f>
        <v>6610.38</v>
      </c>
      <c r="J10" s="350" t="s">
        <v>1285</v>
      </c>
    </row>
    <row r="11" spans="1:10" s="223" customFormat="1" ht="12.75" customHeight="1" x14ac:dyDescent="0.25">
      <c r="A11" s="230" t="s">
        <v>1390</v>
      </c>
      <c r="B11" s="177">
        <v>46234</v>
      </c>
      <c r="C11" s="231" t="s">
        <v>1286</v>
      </c>
      <c r="D11" s="232">
        <v>0</v>
      </c>
      <c r="E11" s="233">
        <f t="shared" si="0"/>
        <v>2454306</v>
      </c>
      <c r="F11" s="238"/>
      <c r="G11" s="234">
        <f t="shared" si="1"/>
        <v>213735.65</v>
      </c>
      <c r="H11" s="234">
        <f t="shared" si="2"/>
        <v>2240570.35</v>
      </c>
      <c r="I11" s="297"/>
    </row>
    <row r="12" spans="1:10" s="223" customFormat="1" ht="12.75" customHeight="1" x14ac:dyDescent="0.2">
      <c r="A12" s="230" t="s">
        <v>1390</v>
      </c>
      <c r="B12" s="50">
        <v>46238</v>
      </c>
      <c r="C12" s="51" t="s">
        <v>1396</v>
      </c>
      <c r="D12" s="354">
        <v>-2233959.9700000002</v>
      </c>
      <c r="E12" s="233">
        <f t="shared" si="0"/>
        <v>220346.0299999998</v>
      </c>
      <c r="F12" s="238"/>
      <c r="G12" s="234">
        <f t="shared" si="1"/>
        <v>213735.65</v>
      </c>
      <c r="H12" s="234">
        <f t="shared" si="2"/>
        <v>6610.3799999998882</v>
      </c>
      <c r="I12" s="297"/>
    </row>
    <row r="13" spans="1:10" s="223" customFormat="1" ht="12.75" customHeight="1" x14ac:dyDescent="0.25">
      <c r="A13" s="230" t="s">
        <v>1508</v>
      </c>
      <c r="B13" s="177">
        <v>46273</v>
      </c>
      <c r="C13" s="231" t="s">
        <v>1509</v>
      </c>
      <c r="D13" s="233"/>
      <c r="E13" s="233">
        <f t="shared" si="0"/>
        <v>220346.0299999998</v>
      </c>
      <c r="F13" s="232">
        <v>0</v>
      </c>
      <c r="G13" s="234">
        <f t="shared" si="1"/>
        <v>213735.65</v>
      </c>
      <c r="H13" s="234">
        <f t="shared" si="2"/>
        <v>6610.3799999998882</v>
      </c>
      <c r="I13" s="297"/>
    </row>
    <row r="14" spans="1:10" s="223" customFormat="1" ht="12.75" customHeight="1" x14ac:dyDescent="0.25">
      <c r="A14" s="230"/>
      <c r="B14" s="177"/>
      <c r="C14" s="231"/>
      <c r="D14" s="233"/>
      <c r="E14" s="233">
        <f t="shared" si="0"/>
        <v>220346.0299999998</v>
      </c>
      <c r="F14" s="234"/>
      <c r="G14" s="234">
        <f t="shared" si="1"/>
        <v>213735.65</v>
      </c>
      <c r="H14" s="234">
        <f t="shared" si="2"/>
        <v>6610.3799999998882</v>
      </c>
      <c r="I14" s="297"/>
    </row>
    <row r="15" spans="1:10" s="223" customFormat="1" ht="12.75" customHeight="1" x14ac:dyDescent="0.25">
      <c r="A15" s="230"/>
      <c r="B15" s="177"/>
      <c r="C15" s="231"/>
      <c r="D15" s="233"/>
      <c r="E15" s="233">
        <f t="shared" si="0"/>
        <v>220346.0299999998</v>
      </c>
      <c r="F15" s="238"/>
      <c r="G15" s="234">
        <f t="shared" si="1"/>
        <v>213735.65</v>
      </c>
      <c r="H15" s="234">
        <f t="shared" si="2"/>
        <v>6610.3799999998882</v>
      </c>
      <c r="I15" s="297"/>
    </row>
    <row r="16" spans="1:10" s="223" customFormat="1" ht="12.75" customHeight="1" x14ac:dyDescent="0.25">
      <c r="A16" s="230"/>
      <c r="B16" s="177"/>
      <c r="C16" s="231"/>
      <c r="D16" s="233"/>
      <c r="E16" s="233">
        <f t="shared" si="0"/>
        <v>220346.0299999998</v>
      </c>
      <c r="F16" s="238"/>
      <c r="G16" s="234">
        <f t="shared" si="1"/>
        <v>213735.65</v>
      </c>
      <c r="H16" s="234">
        <f t="shared" si="2"/>
        <v>6610.3799999998882</v>
      </c>
      <c r="I16" s="297"/>
    </row>
    <row r="17" spans="1:13" s="223" customFormat="1" ht="12.75" customHeight="1" x14ac:dyDescent="0.25">
      <c r="A17" s="230"/>
      <c r="B17" s="177"/>
      <c r="C17" s="231"/>
      <c r="D17" s="233"/>
      <c r="E17" s="233">
        <f t="shared" si="0"/>
        <v>220346.0299999998</v>
      </c>
      <c r="F17" s="238"/>
      <c r="G17" s="234">
        <f t="shared" si="1"/>
        <v>213735.65</v>
      </c>
      <c r="H17" s="234">
        <f t="shared" si="2"/>
        <v>6610.3799999998882</v>
      </c>
      <c r="I17" s="297"/>
    </row>
    <row r="18" spans="1:13" s="223" customFormat="1" ht="12.75" customHeight="1" x14ac:dyDescent="0.25">
      <c r="A18" s="230"/>
      <c r="B18" s="177"/>
      <c r="C18" s="231"/>
      <c r="D18" s="233"/>
      <c r="E18" s="233">
        <f t="shared" si="0"/>
        <v>220346.0299999998</v>
      </c>
      <c r="F18" s="238"/>
      <c r="G18" s="234">
        <f t="shared" si="1"/>
        <v>213735.65</v>
      </c>
      <c r="H18" s="234">
        <f t="shared" si="2"/>
        <v>6610.3799999998882</v>
      </c>
      <c r="I18" s="297"/>
    </row>
    <row r="19" spans="1:13" s="223" customFormat="1" ht="12.75" customHeight="1" x14ac:dyDescent="0.25">
      <c r="A19" s="230"/>
      <c r="B19" s="177"/>
      <c r="C19" s="231"/>
      <c r="D19" s="233"/>
      <c r="E19" s="233">
        <f t="shared" si="0"/>
        <v>220346.0299999998</v>
      </c>
      <c r="F19" s="234"/>
      <c r="G19" s="234">
        <f t="shared" si="1"/>
        <v>213735.65</v>
      </c>
      <c r="H19" s="234">
        <f t="shared" si="2"/>
        <v>6610.3799999998882</v>
      </c>
      <c r="I19" s="297"/>
    </row>
    <row r="20" spans="1:13" s="223" customFormat="1" ht="12.75" customHeight="1" x14ac:dyDescent="0.25">
      <c r="A20" s="230"/>
      <c r="B20" s="177"/>
      <c r="C20" s="231"/>
      <c r="D20" s="233"/>
      <c r="E20" s="233">
        <f t="shared" si="0"/>
        <v>220346.0299999998</v>
      </c>
      <c r="F20" s="234"/>
      <c r="G20" s="234">
        <f t="shared" si="1"/>
        <v>213735.65</v>
      </c>
      <c r="H20" s="234">
        <f t="shared" si="2"/>
        <v>6610.3799999998882</v>
      </c>
      <c r="I20" s="297"/>
      <c r="M20" s="374"/>
    </row>
    <row r="21" spans="1:13" s="223" customFormat="1" ht="12.75" customHeight="1" x14ac:dyDescent="0.25">
      <c r="A21" s="230"/>
      <c r="B21" s="177"/>
      <c r="C21" s="239"/>
      <c r="D21" s="233"/>
      <c r="E21" s="233">
        <f t="shared" si="0"/>
        <v>220346.0299999998</v>
      </c>
      <c r="F21" s="234"/>
      <c r="G21" s="234">
        <f t="shared" si="1"/>
        <v>213735.65</v>
      </c>
      <c r="H21" s="234">
        <f t="shared" si="2"/>
        <v>6610.3799999998882</v>
      </c>
      <c r="I21" s="297"/>
    </row>
    <row r="22" spans="1:13" s="223" customFormat="1" ht="12.75" customHeight="1" x14ac:dyDescent="0.25">
      <c r="A22" s="230"/>
      <c r="B22" s="231"/>
      <c r="C22" s="240"/>
      <c r="D22" s="234"/>
      <c r="E22" s="234"/>
      <c r="F22" s="234"/>
      <c r="G22" s="234"/>
      <c r="H22" s="234"/>
      <c r="I22" s="235"/>
    </row>
    <row r="23" spans="1:13" s="223" customFormat="1" ht="12.75" customHeight="1" thickBot="1" x14ac:dyDescent="0.3">
      <c r="A23" s="230"/>
      <c r="B23" s="243"/>
      <c r="C23" s="244" t="s">
        <v>24</v>
      </c>
      <c r="D23" s="245">
        <f>SUM(D9:D22)</f>
        <v>220346.0299999998</v>
      </c>
      <c r="E23" s="245"/>
      <c r="F23" s="245">
        <f>SUM(F9:F22)</f>
        <v>213735.65</v>
      </c>
      <c r="G23" s="245"/>
      <c r="H23" s="245">
        <f>D23-F23</f>
        <v>6610.3799999998009</v>
      </c>
      <c r="I23" s="235"/>
    </row>
    <row r="24" spans="1:13" s="223" customFormat="1" ht="12.75" customHeight="1" thickTop="1" x14ac:dyDescent="0.25">
      <c r="A24" s="230"/>
      <c r="B24" s="231"/>
      <c r="C24" s="240"/>
      <c r="D24" s="234"/>
      <c r="E24" s="234"/>
      <c r="F24" s="234"/>
      <c r="G24" s="234"/>
      <c r="H24" s="234"/>
      <c r="I24" s="235"/>
    </row>
    <row r="25" spans="1:13" s="223" customFormat="1" ht="12.75" customHeight="1" x14ac:dyDescent="0.25">
      <c r="A25" s="230"/>
      <c r="B25" s="231"/>
      <c r="C25" s="240"/>
      <c r="D25" s="234"/>
      <c r="E25" s="234"/>
      <c r="F25" s="234"/>
      <c r="G25" s="234"/>
      <c r="H25" s="234"/>
      <c r="I25" s="235"/>
    </row>
    <row r="26" spans="1:13" s="223" customFormat="1" ht="12.75" customHeight="1" x14ac:dyDescent="0.2">
      <c r="A26" s="230"/>
      <c r="B26" s="231"/>
      <c r="C26" s="59" t="s">
        <v>1397</v>
      </c>
      <c r="D26" s="54">
        <f>'[1]#9455.00 McKinnis'!$D$28</f>
        <v>4887544.8899999997</v>
      </c>
      <c r="E26" s="203"/>
      <c r="F26" s="355">
        <f>'[1]#9455.00 McKinnis'!$F$28</f>
        <v>155808.35</v>
      </c>
      <c r="G26" s="355"/>
      <c r="H26" s="54">
        <f>'[1]#9455.00 McKinnis'!$H$28</f>
        <v>4731736.54</v>
      </c>
      <c r="I26" s="235"/>
    </row>
    <row r="27" spans="1:13" s="223" customFormat="1" ht="12.75" customHeight="1" thickBot="1" x14ac:dyDescent="0.25">
      <c r="A27" s="230"/>
      <c r="B27" s="231"/>
      <c r="C27" s="74" t="s">
        <v>67</v>
      </c>
      <c r="D27" s="62">
        <f>SUM(D23:D26)</f>
        <v>5107890.92</v>
      </c>
      <c r="E27" s="356"/>
      <c r="F27" s="62">
        <f>SUM(F23:F26)</f>
        <v>369544</v>
      </c>
      <c r="G27" s="356"/>
      <c r="H27" s="62">
        <f>SUM(H23:H26)</f>
        <v>4738346.92</v>
      </c>
      <c r="I27" s="235"/>
    </row>
    <row r="28" spans="1:13" s="223" customFormat="1" ht="12.75" customHeight="1" thickTop="1" x14ac:dyDescent="0.25"/>
    <row r="29" spans="1:13" s="223" customFormat="1" ht="12.75" customHeight="1" x14ac:dyDescent="0.25"/>
    <row r="30" spans="1:13" s="223" customFormat="1" ht="12.75" customHeight="1" x14ac:dyDescent="0.25"/>
    <row r="31" spans="1:13" s="223" customFormat="1" ht="12.75" customHeight="1" x14ac:dyDescent="0.25"/>
    <row r="32" spans="1:13" s="223" customFormat="1" ht="12.75" customHeight="1" x14ac:dyDescent="0.25"/>
  </sheetData>
  <pageMargins left="0.25" right="0.25" top="0.95" bottom="0.75" header="0.09" footer="0.3"/>
  <pageSetup scale="7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BEA4A-87F3-406F-8B40-CC5ED33D48EC}">
  <sheetPr>
    <tabColor rgb="FF0070C0"/>
    <pageSetUpPr fitToPage="1"/>
  </sheetPr>
  <dimension ref="A1:J161"/>
  <sheetViews>
    <sheetView zoomScaleNormal="100" workbookViewId="0">
      <selection activeCell="G28" sqref="G28"/>
    </sheetView>
  </sheetViews>
  <sheetFormatPr defaultColWidth="11.42578125" defaultRowHeight="15" customHeight="1" x14ac:dyDescent="0.25"/>
  <cols>
    <col min="1" max="1" width="24.5703125" style="274" customWidth="1"/>
    <col min="2" max="3" width="9.42578125" style="274" customWidth="1"/>
    <col min="4" max="4" width="35.42578125" style="274" customWidth="1"/>
    <col min="5" max="5" width="12.5703125" style="274" customWidth="1"/>
    <col min="6" max="6" width="13.5703125" style="274" customWidth="1"/>
    <col min="7" max="7" width="12.42578125" style="274" customWidth="1"/>
    <col min="8" max="8" width="10.5703125" style="274" customWidth="1"/>
    <col min="9" max="9" width="10.5703125" style="274" bestFit="1" customWidth="1"/>
    <col min="10" max="256" width="11.42578125" style="274"/>
    <col min="257" max="265" width="11.42578125" style="274" customWidth="1"/>
    <col min="266" max="512" width="11.42578125" style="274"/>
    <col min="513" max="521" width="11.42578125" style="274" customWidth="1"/>
    <col min="522" max="768" width="11.42578125" style="274"/>
    <col min="769" max="777" width="11.42578125" style="274" customWidth="1"/>
    <col min="778" max="1024" width="11.42578125" style="274"/>
    <col min="1025" max="1033" width="11.42578125" style="274" customWidth="1"/>
    <col min="1034" max="1280" width="11.42578125" style="274"/>
    <col min="1281" max="1289" width="11.42578125" style="274" customWidth="1"/>
    <col min="1290" max="1536" width="11.42578125" style="274"/>
    <col min="1537" max="1545" width="11.42578125" style="274" customWidth="1"/>
    <col min="1546" max="1792" width="11.42578125" style="274"/>
    <col min="1793" max="1801" width="11.42578125" style="274" customWidth="1"/>
    <col min="1802" max="2048" width="11.42578125" style="274"/>
    <col min="2049" max="2057" width="11.42578125" style="274" customWidth="1"/>
    <col min="2058" max="2304" width="11.42578125" style="274"/>
    <col min="2305" max="2313" width="11.42578125" style="274" customWidth="1"/>
    <col min="2314" max="2560" width="11.42578125" style="274"/>
    <col min="2561" max="2569" width="11.42578125" style="274" customWidth="1"/>
    <col min="2570" max="2816" width="11.42578125" style="274"/>
    <col min="2817" max="2825" width="11.42578125" style="274" customWidth="1"/>
    <col min="2826" max="3072" width="11.42578125" style="274"/>
    <col min="3073" max="3081" width="11.42578125" style="274" customWidth="1"/>
    <col min="3082" max="3328" width="11.42578125" style="274"/>
    <col min="3329" max="3337" width="11.42578125" style="274" customWidth="1"/>
    <col min="3338" max="3584" width="11.42578125" style="274"/>
    <col min="3585" max="3593" width="11.42578125" style="274" customWidth="1"/>
    <col min="3594" max="3840" width="11.42578125" style="274"/>
    <col min="3841" max="3849" width="11.42578125" style="274" customWidth="1"/>
    <col min="3850" max="4096" width="11.42578125" style="274"/>
    <col min="4097" max="4105" width="11.42578125" style="274" customWidth="1"/>
    <col min="4106" max="4352" width="11.42578125" style="274"/>
    <col min="4353" max="4361" width="11.42578125" style="274" customWidth="1"/>
    <col min="4362" max="4608" width="11.42578125" style="274"/>
    <col min="4609" max="4617" width="11.42578125" style="274" customWidth="1"/>
    <col min="4618" max="4864" width="11.42578125" style="274"/>
    <col min="4865" max="4873" width="11.42578125" style="274" customWidth="1"/>
    <col min="4874" max="5120" width="11.42578125" style="274"/>
    <col min="5121" max="5129" width="11.42578125" style="274" customWidth="1"/>
    <col min="5130" max="5376" width="11.42578125" style="274"/>
    <col min="5377" max="5385" width="11.42578125" style="274" customWidth="1"/>
    <col min="5386" max="5632" width="11.42578125" style="274"/>
    <col min="5633" max="5641" width="11.42578125" style="274" customWidth="1"/>
    <col min="5642" max="5888" width="11.42578125" style="274"/>
    <col min="5889" max="5897" width="11.42578125" style="274" customWidth="1"/>
    <col min="5898" max="6144" width="11.42578125" style="274"/>
    <col min="6145" max="6153" width="11.42578125" style="274" customWidth="1"/>
    <col min="6154" max="6400" width="11.42578125" style="274"/>
    <col min="6401" max="6409" width="11.42578125" style="274" customWidth="1"/>
    <col min="6410" max="6656" width="11.42578125" style="274"/>
    <col min="6657" max="6665" width="11.42578125" style="274" customWidth="1"/>
    <col min="6666" max="6912" width="11.42578125" style="274"/>
    <col min="6913" max="6921" width="11.42578125" style="274" customWidth="1"/>
    <col min="6922" max="7168" width="11.42578125" style="274"/>
    <col min="7169" max="7177" width="11.42578125" style="274" customWidth="1"/>
    <col min="7178" max="7424" width="11.42578125" style="274"/>
    <col min="7425" max="7433" width="11.42578125" style="274" customWidth="1"/>
    <col min="7434" max="7680" width="11.42578125" style="274"/>
    <col min="7681" max="7689" width="11.42578125" style="274" customWidth="1"/>
    <col min="7690" max="7936" width="11.42578125" style="274"/>
    <col min="7937" max="7945" width="11.42578125" style="274" customWidth="1"/>
    <col min="7946" max="8192" width="11.42578125" style="274"/>
    <col min="8193" max="8201" width="11.42578125" style="274" customWidth="1"/>
    <col min="8202" max="8448" width="11.42578125" style="274"/>
    <col min="8449" max="8457" width="11.42578125" style="274" customWidth="1"/>
    <col min="8458" max="8704" width="11.42578125" style="274"/>
    <col min="8705" max="8713" width="11.42578125" style="274" customWidth="1"/>
    <col min="8714" max="8960" width="11.42578125" style="274"/>
    <col min="8961" max="8969" width="11.42578125" style="274" customWidth="1"/>
    <col min="8970" max="9216" width="11.42578125" style="274"/>
    <col min="9217" max="9225" width="11.42578125" style="274" customWidth="1"/>
    <col min="9226" max="9472" width="11.42578125" style="274"/>
    <col min="9473" max="9481" width="11.42578125" style="274" customWidth="1"/>
    <col min="9482" max="9728" width="11.42578125" style="274"/>
    <col min="9729" max="9737" width="11.42578125" style="274" customWidth="1"/>
    <col min="9738" max="9984" width="11.42578125" style="274"/>
    <col min="9985" max="9993" width="11.42578125" style="274" customWidth="1"/>
    <col min="9994" max="10240" width="11.42578125" style="274"/>
    <col min="10241" max="10249" width="11.42578125" style="274" customWidth="1"/>
    <col min="10250" max="10496" width="11.42578125" style="274"/>
    <col min="10497" max="10505" width="11.42578125" style="274" customWidth="1"/>
    <col min="10506" max="10752" width="11.42578125" style="274"/>
    <col min="10753" max="10761" width="11.42578125" style="274" customWidth="1"/>
    <col min="10762" max="11008" width="11.42578125" style="274"/>
    <col min="11009" max="11017" width="11.42578125" style="274" customWidth="1"/>
    <col min="11018" max="11264" width="11.42578125" style="274"/>
    <col min="11265" max="11273" width="11.42578125" style="274" customWidth="1"/>
    <col min="11274" max="11520" width="11.42578125" style="274"/>
    <col min="11521" max="11529" width="11.42578125" style="274" customWidth="1"/>
    <col min="11530" max="11776" width="11.42578125" style="274"/>
    <col min="11777" max="11785" width="11.42578125" style="274" customWidth="1"/>
    <col min="11786" max="12032" width="11.42578125" style="274"/>
    <col min="12033" max="12041" width="11.42578125" style="274" customWidth="1"/>
    <col min="12042" max="12288" width="11.42578125" style="274"/>
    <col min="12289" max="12297" width="11.42578125" style="274" customWidth="1"/>
    <col min="12298" max="12544" width="11.42578125" style="274"/>
    <col min="12545" max="12553" width="11.42578125" style="274" customWidth="1"/>
    <col min="12554" max="12800" width="11.42578125" style="274"/>
    <col min="12801" max="12809" width="11.42578125" style="274" customWidth="1"/>
    <col min="12810" max="13056" width="11.42578125" style="274"/>
    <col min="13057" max="13065" width="11.42578125" style="274" customWidth="1"/>
    <col min="13066" max="13312" width="11.42578125" style="274"/>
    <col min="13313" max="13321" width="11.42578125" style="274" customWidth="1"/>
    <col min="13322" max="13568" width="11.42578125" style="274"/>
    <col min="13569" max="13577" width="11.42578125" style="274" customWidth="1"/>
    <col min="13578" max="13824" width="11.42578125" style="274"/>
    <col min="13825" max="13833" width="11.42578125" style="274" customWidth="1"/>
    <col min="13834" max="14080" width="11.42578125" style="274"/>
    <col min="14081" max="14089" width="11.42578125" style="274" customWidth="1"/>
    <col min="14090" max="14336" width="11.42578125" style="274"/>
    <col min="14337" max="14345" width="11.42578125" style="274" customWidth="1"/>
    <col min="14346" max="14592" width="11.42578125" style="274"/>
    <col min="14593" max="14601" width="11.42578125" style="274" customWidth="1"/>
    <col min="14602" max="14848" width="11.42578125" style="274"/>
    <col min="14849" max="14857" width="11.42578125" style="274" customWidth="1"/>
    <col min="14858" max="15104" width="11.42578125" style="274"/>
    <col min="15105" max="15113" width="11.42578125" style="274" customWidth="1"/>
    <col min="15114" max="15360" width="11.42578125" style="274"/>
    <col min="15361" max="15369" width="11.42578125" style="274" customWidth="1"/>
    <col min="15370" max="15616" width="11.42578125" style="274"/>
    <col min="15617" max="15625" width="11.42578125" style="274" customWidth="1"/>
    <col min="15626" max="15872" width="11.42578125" style="274"/>
    <col min="15873" max="15881" width="11.42578125" style="274" customWidth="1"/>
    <col min="15882" max="16128" width="11.42578125" style="274"/>
    <col min="16129" max="16137" width="11.42578125" style="274" customWidth="1"/>
    <col min="16138" max="16384" width="11.42578125" style="274"/>
  </cols>
  <sheetData>
    <row r="1" spans="1:10" ht="24.75" customHeight="1" x14ac:dyDescent="0.25">
      <c r="A1" s="30" t="str">
        <f>'RECAP #9455.00'!B1</f>
        <v>IDOE ISD Giangreco Hall Water Infiltration Mitigation</v>
      </c>
      <c r="B1" s="30"/>
      <c r="C1" s="30"/>
      <c r="D1" s="153"/>
      <c r="E1" s="153"/>
      <c r="F1" s="153"/>
      <c r="G1" s="156"/>
      <c r="H1" s="156"/>
      <c r="I1" s="179"/>
      <c r="J1" s="179"/>
    </row>
    <row r="2" spans="1:10" ht="15.75" x14ac:dyDescent="0.25">
      <c r="A2" s="31" t="str">
        <f>'RECAP #9455.00'!B2</f>
        <v>Project # 9455.00</v>
      </c>
      <c r="B2" s="150"/>
      <c r="C2" s="150"/>
      <c r="D2" s="153"/>
      <c r="E2" s="153"/>
      <c r="F2" s="153"/>
      <c r="G2" s="156"/>
      <c r="H2" s="156"/>
      <c r="I2" s="179"/>
      <c r="J2" s="179"/>
    </row>
    <row r="3" spans="1:10" ht="15.75" x14ac:dyDescent="0.25">
      <c r="A3" s="154" t="str">
        <f>'RECAP #9455.00'!B3</f>
        <v>Program code 945500</v>
      </c>
      <c r="B3" s="150"/>
      <c r="C3" s="150"/>
      <c r="D3" s="153"/>
      <c r="E3" s="155" t="str">
        <f>'RECAP #9455.00'!E3</f>
        <v>Major Program 4F04</v>
      </c>
      <c r="F3" s="153"/>
      <c r="G3" s="156"/>
      <c r="H3" s="156"/>
      <c r="I3" s="179"/>
      <c r="J3" s="179"/>
    </row>
    <row r="4" spans="1:10" ht="15.75" x14ac:dyDescent="0.25">
      <c r="A4" s="30" t="s">
        <v>10</v>
      </c>
      <c r="B4" s="31"/>
      <c r="C4" s="31"/>
      <c r="D4" s="179"/>
      <c r="E4" s="180" t="s">
        <v>25</v>
      </c>
      <c r="F4" s="156"/>
      <c r="G4" s="156"/>
      <c r="H4" s="156"/>
      <c r="I4" s="179"/>
      <c r="J4" s="179"/>
    </row>
    <row r="5" spans="1:10" ht="15.75" x14ac:dyDescent="0.25">
      <c r="A5" s="31"/>
      <c r="B5" s="179"/>
      <c r="C5" s="179"/>
      <c r="D5" s="182"/>
      <c r="E5" s="37"/>
      <c r="F5" s="42"/>
      <c r="G5" s="156"/>
      <c r="H5" s="156"/>
      <c r="I5" s="179"/>
      <c r="J5" s="179"/>
    </row>
    <row r="6" spans="1:10" ht="15.75" x14ac:dyDescent="0.25">
      <c r="A6" s="181" t="s">
        <v>66</v>
      </c>
      <c r="B6" s="31"/>
      <c r="C6" s="31"/>
      <c r="D6" s="183"/>
      <c r="E6" s="37" t="s">
        <v>354</v>
      </c>
      <c r="F6" s="42"/>
      <c r="G6" s="43"/>
      <c r="H6" s="156"/>
      <c r="I6" s="179"/>
      <c r="J6" s="179"/>
    </row>
    <row r="7" spans="1:10" ht="15.75" x14ac:dyDescent="0.25">
      <c r="A7" s="31" t="str">
        <f>'RECAP #9455.00'!B6</f>
        <v>Project Manager - Jennie E.</v>
      </c>
      <c r="B7" s="185"/>
      <c r="C7" s="185"/>
      <c r="D7" s="185"/>
      <c r="E7" s="43" t="s">
        <v>2</v>
      </c>
      <c r="F7" s="43"/>
      <c r="G7" s="43"/>
      <c r="H7" s="156"/>
      <c r="I7" s="179"/>
      <c r="J7" s="179" t="s">
        <v>2</v>
      </c>
    </row>
    <row r="8" spans="1:10" ht="32.25" thickBot="1" x14ac:dyDescent="0.3">
      <c r="A8" s="186" t="s">
        <v>16</v>
      </c>
      <c r="B8" s="187" t="s">
        <v>17</v>
      </c>
      <c r="C8" s="207" t="s">
        <v>27</v>
      </c>
      <c r="D8" s="188" t="s">
        <v>28</v>
      </c>
      <c r="E8" s="189" t="s">
        <v>19</v>
      </c>
      <c r="F8" s="189" t="s">
        <v>20</v>
      </c>
      <c r="G8" s="189" t="s">
        <v>21</v>
      </c>
      <c r="H8" s="189" t="s">
        <v>22</v>
      </c>
      <c r="I8" s="189" t="s">
        <v>23</v>
      </c>
      <c r="J8" s="179" t="s">
        <v>2</v>
      </c>
    </row>
    <row r="9" spans="1:10" s="282" customFormat="1" ht="12.75" customHeight="1" x14ac:dyDescent="0.25">
      <c r="A9" s="304"/>
      <c r="B9" s="276"/>
      <c r="C9" s="276"/>
      <c r="D9" s="287" t="s">
        <v>29</v>
      </c>
      <c r="E9" s="278"/>
      <c r="F9" s="279">
        <f>E9</f>
        <v>0</v>
      </c>
      <c r="G9" s="280"/>
      <c r="H9" s="280"/>
      <c r="I9" s="280">
        <f>F9</f>
        <v>0</v>
      </c>
      <c r="J9" s="281"/>
    </row>
    <row r="10" spans="1:10" s="282" customFormat="1" ht="12.75" customHeight="1" x14ac:dyDescent="0.2">
      <c r="A10" s="211" t="s">
        <v>869</v>
      </c>
      <c r="B10" s="191">
        <v>46149</v>
      </c>
      <c r="C10" s="194" t="s">
        <v>261</v>
      </c>
      <c r="D10" s="209" t="s">
        <v>870</v>
      </c>
      <c r="E10" s="279"/>
      <c r="F10" s="279">
        <f t="shared" ref="F10:F21" si="0">F9+E10</f>
        <v>0</v>
      </c>
      <c r="G10" s="284">
        <v>96.6</v>
      </c>
      <c r="H10" s="280">
        <f t="shared" ref="H10:H21" si="1">H9+G10</f>
        <v>96.6</v>
      </c>
      <c r="I10" s="320">
        <f t="shared" ref="I10:I21" si="2">I9-G10+E10</f>
        <v>-96.6</v>
      </c>
      <c r="J10" s="281"/>
    </row>
    <row r="11" spans="1:10" s="282" customFormat="1" ht="12.75" customHeight="1" x14ac:dyDescent="0.2">
      <c r="A11" s="211" t="s">
        <v>869</v>
      </c>
      <c r="B11" s="191">
        <v>46149</v>
      </c>
      <c r="C11" s="308">
        <v>9500</v>
      </c>
      <c r="D11" s="209" t="s">
        <v>871</v>
      </c>
      <c r="E11" s="279"/>
      <c r="F11" s="279">
        <f t="shared" si="0"/>
        <v>0</v>
      </c>
      <c r="G11" s="284">
        <v>1061.8</v>
      </c>
      <c r="H11" s="280">
        <f t="shared" si="1"/>
        <v>1158.3999999999999</v>
      </c>
      <c r="I11" s="320">
        <f t="shared" si="2"/>
        <v>-1158.3999999999999</v>
      </c>
      <c r="J11" s="281"/>
    </row>
    <row r="12" spans="1:10" s="282" customFormat="1" ht="12.75" customHeight="1" x14ac:dyDescent="0.2">
      <c r="A12" s="305" t="s">
        <v>890</v>
      </c>
      <c r="B12" s="276">
        <v>46162</v>
      </c>
      <c r="C12" s="194" t="s">
        <v>261</v>
      </c>
      <c r="D12" s="287" t="s">
        <v>891</v>
      </c>
      <c r="E12" s="279"/>
      <c r="F12" s="279">
        <f t="shared" si="0"/>
        <v>0</v>
      </c>
      <c r="G12" s="307">
        <v>-96.6</v>
      </c>
      <c r="H12" s="280">
        <f t="shared" si="1"/>
        <v>1061.8</v>
      </c>
      <c r="I12" s="320">
        <f t="shared" si="2"/>
        <v>-1061.8</v>
      </c>
      <c r="J12" s="281"/>
    </row>
    <row r="13" spans="1:10" s="282" customFormat="1" ht="12.75" customHeight="1" x14ac:dyDescent="0.2">
      <c r="A13" s="305" t="s">
        <v>890</v>
      </c>
      <c r="B13" s="276">
        <v>46162</v>
      </c>
      <c r="C13" s="308">
        <v>9500</v>
      </c>
      <c r="D13" s="287" t="s">
        <v>892</v>
      </c>
      <c r="E13" s="279"/>
      <c r="F13" s="279">
        <f t="shared" si="0"/>
        <v>0</v>
      </c>
      <c r="G13" s="307">
        <v>-1061.8</v>
      </c>
      <c r="H13" s="280">
        <f t="shared" si="1"/>
        <v>0</v>
      </c>
      <c r="I13" s="280">
        <f t="shared" si="2"/>
        <v>0</v>
      </c>
      <c r="J13" s="281"/>
    </row>
    <row r="14" spans="1:10" s="282" customFormat="1" ht="12.75" customHeight="1" x14ac:dyDescent="0.25">
      <c r="A14" s="304"/>
      <c r="B14" s="276"/>
      <c r="C14" s="276"/>
      <c r="D14" s="287"/>
      <c r="E14" s="279"/>
      <c r="F14" s="279">
        <f t="shared" si="0"/>
        <v>0</v>
      </c>
      <c r="G14" s="280"/>
      <c r="H14" s="280">
        <f t="shared" si="1"/>
        <v>0</v>
      </c>
      <c r="I14" s="280">
        <f t="shared" si="2"/>
        <v>0</v>
      </c>
      <c r="J14" s="281"/>
    </row>
    <row r="15" spans="1:10" s="282" customFormat="1" ht="12.75" customHeight="1" x14ac:dyDescent="0.25">
      <c r="A15" s="304"/>
      <c r="B15" s="276"/>
      <c r="C15" s="276"/>
      <c r="D15" s="287"/>
      <c r="E15" s="279"/>
      <c r="F15" s="279">
        <f t="shared" si="0"/>
        <v>0</v>
      </c>
      <c r="G15" s="284"/>
      <c r="H15" s="280">
        <f t="shared" si="1"/>
        <v>0</v>
      </c>
      <c r="I15" s="280">
        <f t="shared" si="2"/>
        <v>0</v>
      </c>
      <c r="J15" s="281"/>
    </row>
    <row r="16" spans="1:10" s="282" customFormat="1" ht="12.75" customHeight="1" x14ac:dyDescent="0.25">
      <c r="A16" s="304"/>
      <c r="B16" s="276"/>
      <c r="C16" s="276"/>
      <c r="D16" s="287"/>
      <c r="E16" s="279"/>
      <c r="F16" s="279">
        <f t="shared" si="0"/>
        <v>0</v>
      </c>
      <c r="G16" s="284"/>
      <c r="H16" s="280">
        <f t="shared" si="1"/>
        <v>0</v>
      </c>
      <c r="I16" s="280">
        <f t="shared" si="2"/>
        <v>0</v>
      </c>
      <c r="J16" s="281"/>
    </row>
    <row r="17" spans="1:10" s="282" customFormat="1" ht="12.75" customHeight="1" x14ac:dyDescent="0.25">
      <c r="A17" s="304"/>
      <c r="B17" s="276"/>
      <c r="C17" s="276"/>
      <c r="D17" s="287"/>
      <c r="E17" s="279"/>
      <c r="F17" s="279">
        <f t="shared" si="0"/>
        <v>0</v>
      </c>
      <c r="G17" s="284"/>
      <c r="H17" s="280">
        <f t="shared" si="1"/>
        <v>0</v>
      </c>
      <c r="I17" s="280">
        <f t="shared" si="2"/>
        <v>0</v>
      </c>
      <c r="J17" s="281"/>
    </row>
    <row r="18" spans="1:10" s="282" customFormat="1" ht="12.75" customHeight="1" x14ac:dyDescent="0.25">
      <c r="A18" s="304"/>
      <c r="B18" s="276"/>
      <c r="C18" s="276"/>
      <c r="D18" s="287"/>
      <c r="E18" s="279"/>
      <c r="F18" s="279">
        <f t="shared" si="0"/>
        <v>0</v>
      </c>
      <c r="G18" s="284"/>
      <c r="H18" s="280">
        <f t="shared" si="1"/>
        <v>0</v>
      </c>
      <c r="I18" s="280">
        <f t="shared" si="2"/>
        <v>0</v>
      </c>
      <c r="J18" s="281"/>
    </row>
    <row r="19" spans="1:10" s="282" customFormat="1" ht="12.75" customHeight="1" x14ac:dyDescent="0.25">
      <c r="A19" s="304"/>
      <c r="B19" s="276"/>
      <c r="C19" s="276"/>
      <c r="D19" s="287"/>
      <c r="E19" s="279"/>
      <c r="F19" s="279">
        <f t="shared" si="0"/>
        <v>0</v>
      </c>
      <c r="G19" s="280"/>
      <c r="H19" s="280">
        <f t="shared" si="1"/>
        <v>0</v>
      </c>
      <c r="I19" s="280">
        <f t="shared" si="2"/>
        <v>0</v>
      </c>
      <c r="J19" s="281"/>
    </row>
    <row r="20" spans="1:10" s="282" customFormat="1" ht="12.75" customHeight="1" x14ac:dyDescent="0.25">
      <c r="A20" s="304"/>
      <c r="B20" s="276"/>
      <c r="C20" s="276"/>
      <c r="D20" s="287"/>
      <c r="E20" s="279"/>
      <c r="F20" s="279">
        <f t="shared" si="0"/>
        <v>0</v>
      </c>
      <c r="G20" s="280"/>
      <c r="H20" s="280">
        <f t="shared" si="1"/>
        <v>0</v>
      </c>
      <c r="I20" s="280">
        <f t="shared" si="2"/>
        <v>0</v>
      </c>
      <c r="J20" s="281"/>
    </row>
    <row r="21" spans="1:10" s="282" customFormat="1" ht="12.75" customHeight="1" x14ac:dyDescent="0.25">
      <c r="A21" s="304"/>
      <c r="B21" s="276"/>
      <c r="C21" s="276"/>
      <c r="D21" s="281"/>
      <c r="E21" s="279"/>
      <c r="F21" s="279">
        <f t="shared" si="0"/>
        <v>0</v>
      </c>
      <c r="G21" s="280"/>
      <c r="H21" s="280">
        <f t="shared" si="1"/>
        <v>0</v>
      </c>
      <c r="I21" s="280">
        <f t="shared" si="2"/>
        <v>0</v>
      </c>
      <c r="J21" s="281"/>
    </row>
    <row r="22" spans="1:10" s="282" customFormat="1" ht="12.75" customHeight="1" x14ac:dyDescent="0.25">
      <c r="A22" s="275"/>
      <c r="B22" s="277"/>
      <c r="C22" s="277"/>
      <c r="D22" s="287"/>
      <c r="E22" s="280"/>
      <c r="F22" s="280"/>
      <c r="G22" s="280"/>
      <c r="H22" s="280"/>
      <c r="I22" s="280"/>
      <c r="J22" s="281"/>
    </row>
    <row r="23" spans="1:10" s="282" customFormat="1" ht="12.75" customHeight="1" thickBot="1" x14ac:dyDescent="0.3">
      <c r="A23" s="275"/>
      <c r="B23" s="288"/>
      <c r="C23" s="288"/>
      <c r="D23" s="289" t="s">
        <v>24</v>
      </c>
      <c r="E23" s="290">
        <f>SUM(E9:E22)</f>
        <v>0</v>
      </c>
      <c r="F23" s="290"/>
      <c r="G23" s="290">
        <f>SUM(G9:G22)</f>
        <v>0</v>
      </c>
      <c r="H23" s="290"/>
      <c r="I23" s="290">
        <f>E23-G23</f>
        <v>0</v>
      </c>
      <c r="J23" s="281"/>
    </row>
    <row r="24" spans="1:10" s="282" customFormat="1" ht="12.75" customHeight="1" thickTop="1" x14ac:dyDescent="0.25"/>
    <row r="25" spans="1:10" s="282" customFormat="1" ht="12.75" customHeight="1" x14ac:dyDescent="0.25"/>
    <row r="26" spans="1:10" s="282" customFormat="1" ht="12.75" customHeight="1" x14ac:dyDescent="0.25"/>
    <row r="27" spans="1:10" s="282" customFormat="1" ht="12.75" customHeight="1" x14ac:dyDescent="0.25"/>
    <row r="28" spans="1:10" s="282" customFormat="1" ht="12.75" customHeight="1" x14ac:dyDescent="0.25"/>
    <row r="29" spans="1:10" s="282" customFormat="1" ht="12.75" customHeight="1" x14ac:dyDescent="0.25"/>
    <row r="30" spans="1:10" s="282" customFormat="1" ht="12.75" customHeight="1" x14ac:dyDescent="0.25"/>
    <row r="31" spans="1:10" s="282" customFormat="1" ht="12.75" customHeight="1" x14ac:dyDescent="0.25"/>
    <row r="32" spans="1:10" s="282" customFormat="1" ht="12.75" customHeight="1" x14ac:dyDescent="0.25"/>
    <row r="33" s="282" customFormat="1" ht="12.75" customHeight="1" x14ac:dyDescent="0.25"/>
    <row r="34" s="282" customFormat="1" ht="12.75" customHeight="1" x14ac:dyDescent="0.25"/>
    <row r="35" s="282" customFormat="1" ht="12.75" customHeight="1" x14ac:dyDescent="0.25"/>
    <row r="36" s="282" customFormat="1" ht="12.75" customHeight="1" x14ac:dyDescent="0.25"/>
    <row r="37" s="282" customFormat="1" ht="12.75" customHeight="1" x14ac:dyDescent="0.25"/>
    <row r="38" s="282" customFormat="1" ht="12.75" customHeight="1" x14ac:dyDescent="0.25"/>
    <row r="39" s="282" customFormat="1" ht="12.75" customHeight="1" x14ac:dyDescent="0.25"/>
    <row r="40" s="282" customFormat="1" ht="12.75" customHeight="1" x14ac:dyDescent="0.25"/>
    <row r="41" s="282" customFormat="1" ht="12.75" customHeight="1" x14ac:dyDescent="0.25"/>
    <row r="42" s="282" customFormat="1" ht="12.75" customHeight="1" x14ac:dyDescent="0.25"/>
    <row r="43" s="282" customFormat="1" ht="12.75" customHeight="1" x14ac:dyDescent="0.25"/>
    <row r="44" s="282" customFormat="1" ht="12.75" customHeight="1" x14ac:dyDescent="0.25"/>
    <row r="45" s="282" customFormat="1" ht="12.75" customHeight="1" x14ac:dyDescent="0.25"/>
    <row r="46" s="282" customFormat="1" ht="12.75" customHeight="1" x14ac:dyDescent="0.25"/>
    <row r="47" s="282" customFormat="1" ht="12.75" customHeight="1" x14ac:dyDescent="0.25"/>
    <row r="48" s="282" customFormat="1" ht="12.75" customHeight="1" x14ac:dyDescent="0.25"/>
    <row r="49" s="282" customFormat="1" ht="12.75" customHeight="1" x14ac:dyDescent="0.25"/>
    <row r="50" s="282" customFormat="1" ht="12.75" customHeight="1" x14ac:dyDescent="0.25"/>
    <row r="51" s="282" customFormat="1" ht="12.75" customHeight="1" x14ac:dyDescent="0.25"/>
    <row r="52" s="282" customFormat="1" ht="12.75" customHeight="1" x14ac:dyDescent="0.25"/>
    <row r="53" s="282" customFormat="1" ht="12.75" customHeight="1" x14ac:dyDescent="0.25"/>
    <row r="54" s="282" customFormat="1" ht="12.75" customHeight="1" x14ac:dyDescent="0.25"/>
    <row r="55" s="282" customFormat="1" ht="12.75" customHeight="1" x14ac:dyDescent="0.25"/>
    <row r="56" s="282" customFormat="1" ht="12.75" customHeight="1" x14ac:dyDescent="0.25"/>
    <row r="57" s="282" customFormat="1" ht="12.75" customHeight="1" x14ac:dyDescent="0.25"/>
    <row r="58" s="282" customFormat="1" ht="12.75" customHeight="1" x14ac:dyDescent="0.25"/>
    <row r="59" s="282" customFormat="1" ht="12.75" customHeight="1" x14ac:dyDescent="0.25"/>
    <row r="60" s="282" customFormat="1" ht="12.75" customHeight="1" x14ac:dyDescent="0.25"/>
    <row r="61" s="282" customFormat="1" ht="12.75" customHeight="1" x14ac:dyDescent="0.25"/>
    <row r="62" s="282" customFormat="1" ht="12.75" customHeight="1" x14ac:dyDescent="0.25"/>
    <row r="63" s="282" customFormat="1" ht="12.75" customHeight="1" x14ac:dyDescent="0.25"/>
    <row r="64" s="282" customFormat="1" ht="12.75" customHeight="1" x14ac:dyDescent="0.25"/>
    <row r="65" s="282" customFormat="1" ht="12.75" customHeight="1" x14ac:dyDescent="0.25"/>
    <row r="66" s="282" customFormat="1" ht="12.75" customHeight="1" x14ac:dyDescent="0.25"/>
    <row r="67" s="282" customFormat="1" ht="12.75" customHeight="1" x14ac:dyDescent="0.25"/>
    <row r="68" s="282" customFormat="1" ht="12.75" customHeight="1" x14ac:dyDescent="0.25"/>
    <row r="69" s="282" customFormat="1" ht="12.75" customHeight="1" x14ac:dyDescent="0.25"/>
    <row r="70" s="282" customFormat="1" ht="12.75" customHeight="1" x14ac:dyDescent="0.25"/>
    <row r="71" s="282" customFormat="1" ht="12.75" customHeight="1" x14ac:dyDescent="0.25"/>
    <row r="72" s="282" customFormat="1" ht="12.75" customHeight="1" x14ac:dyDescent="0.25"/>
    <row r="73" s="282" customFormat="1" ht="12.75" customHeight="1" x14ac:dyDescent="0.25"/>
    <row r="74" s="282" customFormat="1" ht="12.75" customHeight="1" x14ac:dyDescent="0.25"/>
    <row r="75" s="282" customFormat="1" ht="12.75" customHeight="1" x14ac:dyDescent="0.25"/>
    <row r="76" s="282" customFormat="1" ht="12.75" customHeight="1" x14ac:dyDescent="0.25"/>
    <row r="77" s="282" customFormat="1" ht="12.75" customHeight="1" x14ac:dyDescent="0.25"/>
    <row r="78" s="282" customFormat="1" ht="12.75" customHeight="1" x14ac:dyDescent="0.25"/>
    <row r="79" s="282" customFormat="1" ht="12.75" customHeight="1" x14ac:dyDescent="0.25"/>
    <row r="80" s="282" customFormat="1" ht="12.75" customHeight="1" x14ac:dyDescent="0.25"/>
    <row r="81" s="282" customFormat="1" ht="12.75" customHeight="1" x14ac:dyDescent="0.25"/>
    <row r="82" s="282" customFormat="1" ht="12.75" customHeight="1" x14ac:dyDescent="0.25"/>
    <row r="83" s="282" customFormat="1" ht="12.75" customHeight="1" x14ac:dyDescent="0.25"/>
    <row r="84" s="282" customFormat="1" ht="12.75" customHeight="1" x14ac:dyDescent="0.25"/>
    <row r="85" s="282" customFormat="1" ht="12.75" customHeight="1" x14ac:dyDescent="0.25"/>
    <row r="86" s="282" customFormat="1" ht="12.75" customHeight="1" x14ac:dyDescent="0.25"/>
    <row r="87" s="282" customFormat="1" ht="12.75" customHeight="1" x14ac:dyDescent="0.25"/>
    <row r="88" s="282" customFormat="1" ht="12.75" customHeight="1" x14ac:dyDescent="0.25"/>
    <row r="89" s="282" customFormat="1" ht="12.75" customHeight="1" x14ac:dyDescent="0.25"/>
    <row r="90" s="282" customFormat="1" ht="12.75" customHeight="1" x14ac:dyDescent="0.25"/>
    <row r="91" s="282" customFormat="1" ht="12.75" customHeight="1" x14ac:dyDescent="0.25"/>
    <row r="92" s="282" customFormat="1" ht="12.75" customHeight="1" x14ac:dyDescent="0.25"/>
    <row r="93" s="282" customFormat="1" ht="12.75" customHeight="1" x14ac:dyDescent="0.25"/>
    <row r="94" s="282" customFormat="1" ht="12.75" customHeight="1" x14ac:dyDescent="0.25"/>
    <row r="95" s="282" customFormat="1" ht="12.75" customHeight="1" x14ac:dyDescent="0.25"/>
    <row r="96" s="282" customFormat="1" ht="12.75" customHeight="1" x14ac:dyDescent="0.25"/>
    <row r="97" s="282" customFormat="1" ht="12.75" customHeight="1" x14ac:dyDescent="0.25"/>
    <row r="98" s="282" customFormat="1" ht="12.75" customHeight="1" x14ac:dyDescent="0.25"/>
    <row r="99" s="282" customFormat="1" ht="12.75" customHeight="1" x14ac:dyDescent="0.25"/>
    <row r="100" s="282" customFormat="1" ht="12.75" customHeight="1" x14ac:dyDescent="0.25"/>
    <row r="101" s="282" customFormat="1" ht="12.75" customHeight="1" x14ac:dyDescent="0.25"/>
    <row r="102" s="282" customFormat="1" ht="12.75" customHeight="1" x14ac:dyDescent="0.25"/>
    <row r="103" s="282" customFormat="1" ht="12.75" customHeight="1" x14ac:dyDescent="0.25"/>
    <row r="104" s="282" customFormat="1" ht="12.75" customHeight="1" x14ac:dyDescent="0.25"/>
    <row r="105" s="282" customFormat="1" ht="12.75" customHeight="1" x14ac:dyDescent="0.25"/>
    <row r="106" s="282" customFormat="1" ht="12.75" customHeight="1" x14ac:dyDescent="0.25"/>
    <row r="107" s="282" customFormat="1" ht="12.75" customHeight="1" x14ac:dyDescent="0.25"/>
    <row r="108" s="282" customFormat="1" ht="12.75" customHeight="1" x14ac:dyDescent="0.25"/>
    <row r="109" s="282" customFormat="1" ht="12.75" customHeight="1" x14ac:dyDescent="0.25"/>
    <row r="110" s="282" customFormat="1" ht="12.75" customHeight="1" x14ac:dyDescent="0.25"/>
    <row r="111" s="282" customFormat="1" ht="12.75" customHeight="1" x14ac:dyDescent="0.25"/>
    <row r="112" s="282" customFormat="1" ht="12.75" customHeight="1" x14ac:dyDescent="0.25"/>
    <row r="113" s="282" customFormat="1" ht="12.75" customHeight="1" x14ac:dyDescent="0.25"/>
    <row r="114" s="282" customFormat="1" ht="12.75" customHeight="1" x14ac:dyDescent="0.25"/>
    <row r="115" s="282" customFormat="1" ht="12.75" customHeight="1" x14ac:dyDescent="0.25"/>
    <row r="116" s="282" customFormat="1" ht="12.75" customHeight="1" x14ac:dyDescent="0.25"/>
    <row r="117" s="282" customFormat="1" ht="12.75" customHeight="1" x14ac:dyDescent="0.25"/>
    <row r="118" s="282" customFormat="1" ht="12.75" customHeight="1" x14ac:dyDescent="0.25"/>
    <row r="119" s="282" customFormat="1" ht="12.75" customHeight="1" x14ac:dyDescent="0.25"/>
    <row r="120" s="282" customFormat="1" ht="12.75" customHeight="1" x14ac:dyDescent="0.25"/>
    <row r="121" s="282" customFormat="1" ht="12.75" customHeight="1" x14ac:dyDescent="0.25"/>
    <row r="122" s="282" customFormat="1" ht="12.75" customHeight="1" x14ac:dyDescent="0.25"/>
    <row r="123" s="282" customFormat="1" ht="12.75" customHeight="1" x14ac:dyDescent="0.25"/>
    <row r="124" s="282" customFormat="1" ht="12.75" customHeight="1" x14ac:dyDescent="0.25"/>
    <row r="125" s="282" customFormat="1" ht="12.75" customHeight="1" x14ac:dyDescent="0.25"/>
    <row r="126" s="282" customFormat="1" ht="12.75" customHeight="1" x14ac:dyDescent="0.25"/>
    <row r="127" s="282" customFormat="1" ht="12.75" customHeight="1" x14ac:dyDescent="0.25"/>
    <row r="128" s="282" customFormat="1" ht="12.75" customHeight="1" x14ac:dyDescent="0.25"/>
    <row r="129" s="282" customFormat="1" ht="12.75" customHeight="1" x14ac:dyDescent="0.25"/>
    <row r="130" s="282" customFormat="1" ht="12.75" customHeight="1" x14ac:dyDescent="0.25"/>
    <row r="131" s="282" customFormat="1" ht="12.75" customHeight="1" x14ac:dyDescent="0.25"/>
    <row r="132" s="282" customFormat="1" ht="12.75" customHeight="1" x14ac:dyDescent="0.25"/>
    <row r="133" s="282" customFormat="1" ht="12.75" customHeight="1" x14ac:dyDescent="0.25"/>
    <row r="134" s="282" customFormat="1" ht="12.75" customHeight="1" x14ac:dyDescent="0.25"/>
    <row r="135" s="282" customFormat="1" ht="12.75" customHeight="1" x14ac:dyDescent="0.25"/>
    <row r="136" s="282" customFormat="1" ht="12.75" customHeight="1" x14ac:dyDescent="0.25"/>
    <row r="137" s="282" customFormat="1" ht="12.75" customHeight="1" x14ac:dyDescent="0.25"/>
    <row r="138" s="282" customFormat="1" ht="12.75" customHeight="1" x14ac:dyDescent="0.25"/>
    <row r="139" s="282" customFormat="1" ht="12.75" customHeight="1" x14ac:dyDescent="0.25"/>
    <row r="140" s="282" customFormat="1" ht="12.75" customHeight="1" x14ac:dyDescent="0.25"/>
    <row r="141" s="282" customFormat="1" ht="12.75" customHeight="1" x14ac:dyDescent="0.25"/>
    <row r="142" s="282" customFormat="1" ht="12.75" customHeight="1" x14ac:dyDescent="0.25"/>
    <row r="143" s="282" customFormat="1" ht="12.75" customHeight="1" x14ac:dyDescent="0.25"/>
    <row r="144" s="282" customFormat="1" ht="12.75" customHeight="1" x14ac:dyDescent="0.25"/>
    <row r="145" s="282" customFormat="1" ht="12.75" customHeight="1" x14ac:dyDescent="0.25"/>
    <row r="146" s="282" customFormat="1" ht="12.75" customHeight="1" x14ac:dyDescent="0.25"/>
    <row r="147" s="282" customFormat="1" ht="12.75" customHeight="1" x14ac:dyDescent="0.25"/>
    <row r="148" s="282" customFormat="1" ht="12.75" customHeight="1" x14ac:dyDescent="0.25"/>
    <row r="149" s="282" customFormat="1" ht="12.75" customHeight="1" x14ac:dyDescent="0.25"/>
    <row r="150" s="282" customFormat="1" ht="12.75" customHeight="1" x14ac:dyDescent="0.25"/>
    <row r="151" s="282" customFormat="1" ht="12.75" customHeight="1" x14ac:dyDescent="0.25"/>
    <row r="152" s="282" customFormat="1" ht="12.75" customHeight="1" x14ac:dyDescent="0.25"/>
    <row r="153" s="282" customFormat="1" ht="12.75" customHeight="1" x14ac:dyDescent="0.25"/>
    <row r="154" s="282" customFormat="1" ht="12.75" customHeight="1" x14ac:dyDescent="0.25"/>
    <row r="155" s="282" customFormat="1" ht="12.75" customHeight="1" x14ac:dyDescent="0.25"/>
    <row r="156" s="282" customFormat="1" ht="12.75" customHeight="1" x14ac:dyDescent="0.25"/>
    <row r="157" s="282" customFormat="1" ht="12.75" customHeight="1" x14ac:dyDescent="0.25"/>
    <row r="158" s="282" customFormat="1" ht="12.75" customHeight="1" x14ac:dyDescent="0.25"/>
    <row r="159" s="282" customFormat="1" ht="12.75" customHeight="1" x14ac:dyDescent="0.25"/>
    <row r="160" s="282" customFormat="1" ht="12.75" customHeight="1" x14ac:dyDescent="0.25"/>
    <row r="161" s="282" customFormat="1" ht="12.75" customHeight="1" x14ac:dyDescent="0.25"/>
  </sheetData>
  <pageMargins left="0.25" right="0.25" top="0.95" bottom="0.75" header="0.09" footer="0.3"/>
  <pageSetup scale="6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84B19-13B7-44CC-BE57-B4A6513A7FC5}">
  <sheetPr>
    <tabColor rgb="FF0070C0"/>
    <pageSetUpPr fitToPage="1"/>
  </sheetPr>
  <dimension ref="A1:H89"/>
  <sheetViews>
    <sheetView zoomScaleNormal="100" workbookViewId="0">
      <selection activeCell="B17" sqref="B17"/>
    </sheetView>
  </sheetViews>
  <sheetFormatPr defaultColWidth="11.42578125" defaultRowHeight="15" customHeight="1" x14ac:dyDescent="0.25"/>
  <cols>
    <col min="1" max="1" width="23" style="274" customWidth="1"/>
    <col min="2" max="2" width="11" style="274" customWidth="1"/>
    <col min="3" max="3" width="8.5703125" style="274" customWidth="1"/>
    <col min="4" max="4" width="11.42578125" style="274" customWidth="1"/>
    <col min="5" max="5" width="30.85546875" style="274" customWidth="1"/>
    <col min="6" max="6" width="10.28515625" style="274" bestFit="1" customWidth="1"/>
    <col min="7" max="7" width="12.42578125" style="274" customWidth="1"/>
    <col min="8" max="8" width="15.42578125" style="274" customWidth="1"/>
    <col min="9" max="256" width="11.42578125" style="274"/>
    <col min="257" max="259" width="11.42578125" style="274" customWidth="1"/>
    <col min="260" max="260" width="11.42578125" style="274"/>
    <col min="261" max="264" width="11.42578125" style="274" customWidth="1"/>
    <col min="265" max="512" width="11.42578125" style="274"/>
    <col min="513" max="515" width="11.42578125" style="274" customWidth="1"/>
    <col min="516" max="516" width="11.42578125" style="274"/>
    <col min="517" max="520" width="11.42578125" style="274" customWidth="1"/>
    <col min="521" max="768" width="11.42578125" style="274"/>
    <col min="769" max="771" width="11.42578125" style="274" customWidth="1"/>
    <col min="772" max="772" width="11.42578125" style="274"/>
    <col min="773" max="776" width="11.42578125" style="274" customWidth="1"/>
    <col min="777" max="1024" width="11.42578125" style="274"/>
    <col min="1025" max="1027" width="11.42578125" style="274" customWidth="1"/>
    <col min="1028" max="1028" width="11.42578125" style="274"/>
    <col min="1029" max="1032" width="11.42578125" style="274" customWidth="1"/>
    <col min="1033" max="1280" width="11.42578125" style="274"/>
    <col min="1281" max="1283" width="11.42578125" style="274" customWidth="1"/>
    <col min="1284" max="1284" width="11.42578125" style="274"/>
    <col min="1285" max="1288" width="11.42578125" style="274" customWidth="1"/>
    <col min="1289" max="1536" width="11.42578125" style="274"/>
    <col min="1537" max="1539" width="11.42578125" style="274" customWidth="1"/>
    <col min="1540" max="1540" width="11.42578125" style="274"/>
    <col min="1541" max="1544" width="11.42578125" style="274" customWidth="1"/>
    <col min="1545" max="1792" width="11.42578125" style="274"/>
    <col min="1793" max="1795" width="11.42578125" style="274" customWidth="1"/>
    <col min="1796" max="1796" width="11.42578125" style="274"/>
    <col min="1797" max="1800" width="11.42578125" style="274" customWidth="1"/>
    <col min="1801" max="2048" width="11.42578125" style="274"/>
    <col min="2049" max="2051" width="11.42578125" style="274" customWidth="1"/>
    <col min="2052" max="2052" width="11.42578125" style="274"/>
    <col min="2053" max="2056" width="11.42578125" style="274" customWidth="1"/>
    <col min="2057" max="2304" width="11.42578125" style="274"/>
    <col min="2305" max="2307" width="11.42578125" style="274" customWidth="1"/>
    <col min="2308" max="2308" width="11.42578125" style="274"/>
    <col min="2309" max="2312" width="11.42578125" style="274" customWidth="1"/>
    <col min="2313" max="2560" width="11.42578125" style="274"/>
    <col min="2561" max="2563" width="11.42578125" style="274" customWidth="1"/>
    <col min="2564" max="2564" width="11.42578125" style="274"/>
    <col min="2565" max="2568" width="11.42578125" style="274" customWidth="1"/>
    <col min="2569" max="2816" width="11.42578125" style="274"/>
    <col min="2817" max="2819" width="11.42578125" style="274" customWidth="1"/>
    <col min="2820" max="2820" width="11.42578125" style="274"/>
    <col min="2821" max="2824" width="11.42578125" style="274" customWidth="1"/>
    <col min="2825" max="3072" width="11.42578125" style="274"/>
    <col min="3073" max="3075" width="11.42578125" style="274" customWidth="1"/>
    <col min="3076" max="3076" width="11.42578125" style="274"/>
    <col min="3077" max="3080" width="11.42578125" style="274" customWidth="1"/>
    <col min="3081" max="3328" width="11.42578125" style="274"/>
    <col min="3329" max="3331" width="11.42578125" style="274" customWidth="1"/>
    <col min="3332" max="3332" width="11.42578125" style="274"/>
    <col min="3333" max="3336" width="11.42578125" style="274" customWidth="1"/>
    <col min="3337" max="3584" width="11.42578125" style="274"/>
    <col min="3585" max="3587" width="11.42578125" style="274" customWidth="1"/>
    <col min="3588" max="3588" width="11.42578125" style="274"/>
    <col min="3589" max="3592" width="11.42578125" style="274" customWidth="1"/>
    <col min="3593" max="3840" width="11.42578125" style="274"/>
    <col min="3841" max="3843" width="11.42578125" style="274" customWidth="1"/>
    <col min="3844" max="3844" width="11.42578125" style="274"/>
    <col min="3845" max="3848" width="11.42578125" style="274" customWidth="1"/>
    <col min="3849" max="4096" width="11.42578125" style="274"/>
    <col min="4097" max="4099" width="11.42578125" style="274" customWidth="1"/>
    <col min="4100" max="4100" width="11.42578125" style="274"/>
    <col min="4101" max="4104" width="11.42578125" style="274" customWidth="1"/>
    <col min="4105" max="4352" width="11.42578125" style="274"/>
    <col min="4353" max="4355" width="11.42578125" style="274" customWidth="1"/>
    <col min="4356" max="4356" width="11.42578125" style="274"/>
    <col min="4357" max="4360" width="11.42578125" style="274" customWidth="1"/>
    <col min="4361" max="4608" width="11.42578125" style="274"/>
    <col min="4609" max="4611" width="11.42578125" style="274" customWidth="1"/>
    <col min="4612" max="4612" width="11.42578125" style="274"/>
    <col min="4613" max="4616" width="11.42578125" style="274" customWidth="1"/>
    <col min="4617" max="4864" width="11.42578125" style="274"/>
    <col min="4865" max="4867" width="11.42578125" style="274" customWidth="1"/>
    <col min="4868" max="4868" width="11.42578125" style="274"/>
    <col min="4869" max="4872" width="11.42578125" style="274" customWidth="1"/>
    <col min="4873" max="5120" width="11.42578125" style="274"/>
    <col min="5121" max="5123" width="11.42578125" style="274" customWidth="1"/>
    <col min="5124" max="5124" width="11.42578125" style="274"/>
    <col min="5125" max="5128" width="11.42578125" style="274" customWidth="1"/>
    <col min="5129" max="5376" width="11.42578125" style="274"/>
    <col min="5377" max="5379" width="11.42578125" style="274" customWidth="1"/>
    <col min="5380" max="5380" width="11.42578125" style="274"/>
    <col min="5381" max="5384" width="11.42578125" style="274" customWidth="1"/>
    <col min="5385" max="5632" width="11.42578125" style="274"/>
    <col min="5633" max="5635" width="11.42578125" style="274" customWidth="1"/>
    <col min="5636" max="5636" width="11.42578125" style="274"/>
    <col min="5637" max="5640" width="11.42578125" style="274" customWidth="1"/>
    <col min="5641" max="5888" width="11.42578125" style="274"/>
    <col min="5889" max="5891" width="11.42578125" style="274" customWidth="1"/>
    <col min="5892" max="5892" width="11.42578125" style="274"/>
    <col min="5893" max="5896" width="11.42578125" style="274" customWidth="1"/>
    <col min="5897" max="6144" width="11.42578125" style="274"/>
    <col min="6145" max="6147" width="11.42578125" style="274" customWidth="1"/>
    <col min="6148" max="6148" width="11.42578125" style="274"/>
    <col min="6149" max="6152" width="11.42578125" style="274" customWidth="1"/>
    <col min="6153" max="6400" width="11.42578125" style="274"/>
    <col min="6401" max="6403" width="11.42578125" style="274" customWidth="1"/>
    <col min="6404" max="6404" width="11.42578125" style="274"/>
    <col min="6405" max="6408" width="11.42578125" style="274" customWidth="1"/>
    <col min="6409" max="6656" width="11.42578125" style="274"/>
    <col min="6657" max="6659" width="11.42578125" style="274" customWidth="1"/>
    <col min="6660" max="6660" width="11.42578125" style="274"/>
    <col min="6661" max="6664" width="11.42578125" style="274" customWidth="1"/>
    <col min="6665" max="6912" width="11.42578125" style="274"/>
    <col min="6913" max="6915" width="11.42578125" style="274" customWidth="1"/>
    <col min="6916" max="6916" width="11.42578125" style="274"/>
    <col min="6917" max="6920" width="11.42578125" style="274" customWidth="1"/>
    <col min="6921" max="7168" width="11.42578125" style="274"/>
    <col min="7169" max="7171" width="11.42578125" style="274" customWidth="1"/>
    <col min="7172" max="7172" width="11.42578125" style="274"/>
    <col min="7173" max="7176" width="11.42578125" style="274" customWidth="1"/>
    <col min="7177" max="7424" width="11.42578125" style="274"/>
    <col min="7425" max="7427" width="11.42578125" style="274" customWidth="1"/>
    <col min="7428" max="7428" width="11.42578125" style="274"/>
    <col min="7429" max="7432" width="11.42578125" style="274" customWidth="1"/>
    <col min="7433" max="7680" width="11.42578125" style="274"/>
    <col min="7681" max="7683" width="11.42578125" style="274" customWidth="1"/>
    <col min="7684" max="7684" width="11.42578125" style="274"/>
    <col min="7685" max="7688" width="11.42578125" style="274" customWidth="1"/>
    <col min="7689" max="7936" width="11.42578125" style="274"/>
    <col min="7937" max="7939" width="11.42578125" style="274" customWidth="1"/>
    <col min="7940" max="7940" width="11.42578125" style="274"/>
    <col min="7941" max="7944" width="11.42578125" style="274" customWidth="1"/>
    <col min="7945" max="8192" width="11.42578125" style="274"/>
    <col min="8193" max="8195" width="11.42578125" style="274" customWidth="1"/>
    <col min="8196" max="8196" width="11.42578125" style="274"/>
    <col min="8197" max="8200" width="11.42578125" style="274" customWidth="1"/>
    <col min="8201" max="8448" width="11.42578125" style="274"/>
    <col min="8449" max="8451" width="11.42578125" style="274" customWidth="1"/>
    <col min="8452" max="8452" width="11.42578125" style="274"/>
    <col min="8453" max="8456" width="11.42578125" style="274" customWidth="1"/>
    <col min="8457" max="8704" width="11.42578125" style="274"/>
    <col min="8705" max="8707" width="11.42578125" style="274" customWidth="1"/>
    <col min="8708" max="8708" width="11.42578125" style="274"/>
    <col min="8709" max="8712" width="11.42578125" style="274" customWidth="1"/>
    <col min="8713" max="8960" width="11.42578125" style="274"/>
    <col min="8961" max="8963" width="11.42578125" style="274" customWidth="1"/>
    <col min="8964" max="8964" width="11.42578125" style="274"/>
    <col min="8965" max="8968" width="11.42578125" style="274" customWidth="1"/>
    <col min="8969" max="9216" width="11.42578125" style="274"/>
    <col min="9217" max="9219" width="11.42578125" style="274" customWidth="1"/>
    <col min="9220" max="9220" width="11.42578125" style="274"/>
    <col min="9221" max="9224" width="11.42578125" style="274" customWidth="1"/>
    <col min="9225" max="9472" width="11.42578125" style="274"/>
    <col min="9473" max="9475" width="11.42578125" style="274" customWidth="1"/>
    <col min="9476" max="9476" width="11.42578125" style="274"/>
    <col min="9477" max="9480" width="11.42578125" style="274" customWidth="1"/>
    <col min="9481" max="9728" width="11.42578125" style="274"/>
    <col min="9729" max="9731" width="11.42578125" style="274" customWidth="1"/>
    <col min="9732" max="9732" width="11.42578125" style="274"/>
    <col min="9733" max="9736" width="11.42578125" style="274" customWidth="1"/>
    <col min="9737" max="9984" width="11.42578125" style="274"/>
    <col min="9985" max="9987" width="11.42578125" style="274" customWidth="1"/>
    <col min="9988" max="9988" width="11.42578125" style="274"/>
    <col min="9989" max="9992" width="11.42578125" style="274" customWidth="1"/>
    <col min="9993" max="10240" width="11.42578125" style="274"/>
    <col min="10241" max="10243" width="11.42578125" style="274" customWidth="1"/>
    <col min="10244" max="10244" width="11.42578125" style="274"/>
    <col min="10245" max="10248" width="11.42578125" style="274" customWidth="1"/>
    <col min="10249" max="10496" width="11.42578125" style="274"/>
    <col min="10497" max="10499" width="11.42578125" style="274" customWidth="1"/>
    <col min="10500" max="10500" width="11.42578125" style="274"/>
    <col min="10501" max="10504" width="11.42578125" style="274" customWidth="1"/>
    <col min="10505" max="10752" width="11.42578125" style="274"/>
    <col min="10753" max="10755" width="11.42578125" style="274" customWidth="1"/>
    <col min="10756" max="10756" width="11.42578125" style="274"/>
    <col min="10757" max="10760" width="11.42578125" style="274" customWidth="1"/>
    <col min="10761" max="11008" width="11.42578125" style="274"/>
    <col min="11009" max="11011" width="11.42578125" style="274" customWidth="1"/>
    <col min="11012" max="11012" width="11.42578125" style="274"/>
    <col min="11013" max="11016" width="11.42578125" style="274" customWidth="1"/>
    <col min="11017" max="11264" width="11.42578125" style="274"/>
    <col min="11265" max="11267" width="11.42578125" style="274" customWidth="1"/>
    <col min="11268" max="11268" width="11.42578125" style="274"/>
    <col min="11269" max="11272" width="11.42578125" style="274" customWidth="1"/>
    <col min="11273" max="11520" width="11.42578125" style="274"/>
    <col min="11521" max="11523" width="11.42578125" style="274" customWidth="1"/>
    <col min="11524" max="11524" width="11.42578125" style="274"/>
    <col min="11525" max="11528" width="11.42578125" style="274" customWidth="1"/>
    <col min="11529" max="11776" width="11.42578125" style="274"/>
    <col min="11777" max="11779" width="11.42578125" style="274" customWidth="1"/>
    <col min="11780" max="11780" width="11.42578125" style="274"/>
    <col min="11781" max="11784" width="11.42578125" style="274" customWidth="1"/>
    <col min="11785" max="12032" width="11.42578125" style="274"/>
    <col min="12033" max="12035" width="11.42578125" style="274" customWidth="1"/>
    <col min="12036" max="12036" width="11.42578125" style="274"/>
    <col min="12037" max="12040" width="11.42578125" style="274" customWidth="1"/>
    <col min="12041" max="12288" width="11.42578125" style="274"/>
    <col min="12289" max="12291" width="11.42578125" style="274" customWidth="1"/>
    <col min="12292" max="12292" width="11.42578125" style="274"/>
    <col min="12293" max="12296" width="11.42578125" style="274" customWidth="1"/>
    <col min="12297" max="12544" width="11.42578125" style="274"/>
    <col min="12545" max="12547" width="11.42578125" style="274" customWidth="1"/>
    <col min="12548" max="12548" width="11.42578125" style="274"/>
    <col min="12549" max="12552" width="11.42578125" style="274" customWidth="1"/>
    <col min="12553" max="12800" width="11.42578125" style="274"/>
    <col min="12801" max="12803" width="11.42578125" style="274" customWidth="1"/>
    <col min="12804" max="12804" width="11.42578125" style="274"/>
    <col min="12805" max="12808" width="11.42578125" style="274" customWidth="1"/>
    <col min="12809" max="13056" width="11.42578125" style="274"/>
    <col min="13057" max="13059" width="11.42578125" style="274" customWidth="1"/>
    <col min="13060" max="13060" width="11.42578125" style="274"/>
    <col min="13061" max="13064" width="11.42578125" style="274" customWidth="1"/>
    <col min="13065" max="13312" width="11.42578125" style="274"/>
    <col min="13313" max="13315" width="11.42578125" style="274" customWidth="1"/>
    <col min="13316" max="13316" width="11.42578125" style="274"/>
    <col min="13317" max="13320" width="11.42578125" style="274" customWidth="1"/>
    <col min="13321" max="13568" width="11.42578125" style="274"/>
    <col min="13569" max="13571" width="11.42578125" style="274" customWidth="1"/>
    <col min="13572" max="13572" width="11.42578125" style="274"/>
    <col min="13573" max="13576" width="11.42578125" style="274" customWidth="1"/>
    <col min="13577" max="13824" width="11.42578125" style="274"/>
    <col min="13825" max="13827" width="11.42578125" style="274" customWidth="1"/>
    <col min="13828" max="13828" width="11.42578125" style="274"/>
    <col min="13829" max="13832" width="11.42578125" style="274" customWidth="1"/>
    <col min="13833" max="14080" width="11.42578125" style="274"/>
    <col min="14081" max="14083" width="11.42578125" style="274" customWidth="1"/>
    <col min="14084" max="14084" width="11.42578125" style="274"/>
    <col min="14085" max="14088" width="11.42578125" style="274" customWidth="1"/>
    <col min="14089" max="14336" width="11.42578125" style="274"/>
    <col min="14337" max="14339" width="11.42578125" style="274" customWidth="1"/>
    <col min="14340" max="14340" width="11.42578125" style="274"/>
    <col min="14341" max="14344" width="11.42578125" style="274" customWidth="1"/>
    <col min="14345" max="14592" width="11.42578125" style="274"/>
    <col min="14593" max="14595" width="11.42578125" style="274" customWidth="1"/>
    <col min="14596" max="14596" width="11.42578125" style="274"/>
    <col min="14597" max="14600" width="11.42578125" style="274" customWidth="1"/>
    <col min="14601" max="14848" width="11.42578125" style="274"/>
    <col min="14849" max="14851" width="11.42578125" style="274" customWidth="1"/>
    <col min="14852" max="14852" width="11.42578125" style="274"/>
    <col min="14853" max="14856" width="11.42578125" style="274" customWidth="1"/>
    <col min="14857" max="15104" width="11.42578125" style="274"/>
    <col min="15105" max="15107" width="11.42578125" style="274" customWidth="1"/>
    <col min="15108" max="15108" width="11.42578125" style="274"/>
    <col min="15109" max="15112" width="11.42578125" style="274" customWidth="1"/>
    <col min="15113" max="15360" width="11.42578125" style="274"/>
    <col min="15361" max="15363" width="11.42578125" style="274" customWidth="1"/>
    <col min="15364" max="15364" width="11.42578125" style="274"/>
    <col min="15365" max="15368" width="11.42578125" style="274" customWidth="1"/>
    <col min="15369" max="15616" width="11.42578125" style="274"/>
    <col min="15617" max="15619" width="11.42578125" style="274" customWidth="1"/>
    <col min="15620" max="15620" width="11.42578125" style="274"/>
    <col min="15621" max="15624" width="11.42578125" style="274" customWidth="1"/>
    <col min="15625" max="15872" width="11.42578125" style="274"/>
    <col min="15873" max="15875" width="11.42578125" style="274" customWidth="1"/>
    <col min="15876" max="15876" width="11.42578125" style="274"/>
    <col min="15877" max="15880" width="11.42578125" style="274" customWidth="1"/>
    <col min="15881" max="16128" width="11.42578125" style="274"/>
    <col min="16129" max="16131" width="11.42578125" style="274" customWidth="1"/>
    <col min="16132" max="16132" width="11.42578125" style="274"/>
    <col min="16133" max="16136" width="11.42578125" style="274" customWidth="1"/>
    <col min="16137" max="16384" width="11.42578125" style="274"/>
  </cols>
  <sheetData>
    <row r="1" spans="1:8" ht="24.75" customHeight="1" x14ac:dyDescent="0.25">
      <c r="A1" s="30" t="str">
        <f>'RECAP #9455.00'!B1</f>
        <v>IDOE ISD Giangreco Hall Water Infiltration Mitigation</v>
      </c>
      <c r="B1" s="30"/>
      <c r="C1" s="30"/>
      <c r="D1" s="30"/>
      <c r="E1" s="153"/>
      <c r="F1" s="153"/>
      <c r="G1" s="153"/>
      <c r="H1" s="156"/>
    </row>
    <row r="2" spans="1:8" ht="15.75" x14ac:dyDescent="0.25">
      <c r="A2" s="31" t="str">
        <f>'RECAP #9455.00'!B2</f>
        <v>Project # 9455.00</v>
      </c>
      <c r="B2" s="150"/>
      <c r="C2" s="150"/>
      <c r="D2" s="150"/>
      <c r="E2" s="153"/>
      <c r="F2" s="153"/>
      <c r="G2" s="153"/>
      <c r="H2" s="156"/>
    </row>
    <row r="3" spans="1:8" ht="15.75" x14ac:dyDescent="0.25">
      <c r="A3" s="154" t="str">
        <f>'RECAP #9455.00'!B3</f>
        <v>Program code 945500</v>
      </c>
      <c r="B3" s="150"/>
      <c r="C3" s="150"/>
      <c r="D3" s="150"/>
      <c r="E3" s="155" t="str">
        <f>'RECAP #9455.00'!E3</f>
        <v>Major Program 4F04</v>
      </c>
      <c r="F3" s="150"/>
      <c r="G3" s="153"/>
      <c r="H3" s="156"/>
    </row>
    <row r="4" spans="1:8" ht="15.75" x14ac:dyDescent="0.25">
      <c r="A4" s="210" t="s">
        <v>30</v>
      </c>
      <c r="B4" s="31"/>
      <c r="C4" s="31"/>
      <c r="D4" s="31"/>
      <c r="E4" s="180"/>
      <c r="F4" s="150"/>
      <c r="G4" s="156"/>
      <c r="H4" s="156"/>
    </row>
    <row r="5" spans="1:8" ht="15.75" x14ac:dyDescent="0.25">
      <c r="A5" s="31"/>
      <c r="B5" s="179"/>
      <c r="C5" s="179"/>
      <c r="D5" s="179"/>
      <c r="E5" s="69" t="s">
        <v>31</v>
      </c>
      <c r="F5" s="150"/>
      <c r="G5" s="42"/>
      <c r="H5" s="156"/>
    </row>
    <row r="6" spans="1:8" ht="15.75" x14ac:dyDescent="0.25">
      <c r="A6" s="181" t="s">
        <v>66</v>
      </c>
      <c r="B6" s="31"/>
      <c r="C6" s="31"/>
      <c r="D6" s="31"/>
      <c r="E6" s="155" t="s">
        <v>391</v>
      </c>
      <c r="F6" s="179"/>
      <c r="G6" s="42"/>
      <c r="H6" s="156"/>
    </row>
    <row r="7" spans="1:8" ht="15.75" x14ac:dyDescent="0.25">
      <c r="A7" s="31" t="str">
        <f>'RECAP #9455.00'!B6</f>
        <v>Project Manager - Jennie E.</v>
      </c>
      <c r="B7" s="185"/>
      <c r="C7" s="185"/>
      <c r="D7" s="185"/>
      <c r="E7" s="185"/>
      <c r="F7" s="150"/>
      <c r="G7" s="156"/>
      <c r="H7" s="156"/>
    </row>
    <row r="8" spans="1:8" ht="32.25" thickBot="1" x14ac:dyDescent="0.3">
      <c r="A8" s="186" t="s">
        <v>32</v>
      </c>
      <c r="B8" s="187" t="s">
        <v>17</v>
      </c>
      <c r="C8" s="207" t="s">
        <v>27</v>
      </c>
      <c r="D8" s="207" t="s">
        <v>28</v>
      </c>
      <c r="E8" s="188" t="s">
        <v>18</v>
      </c>
      <c r="F8" s="189" t="s">
        <v>33</v>
      </c>
      <c r="G8" s="189" t="s">
        <v>21</v>
      </c>
      <c r="H8" s="189" t="s">
        <v>22</v>
      </c>
    </row>
    <row r="9" spans="1:8" s="282" customFormat="1" ht="12.75" customHeight="1" x14ac:dyDescent="0.2">
      <c r="A9" s="286" t="s">
        <v>630</v>
      </c>
      <c r="B9" s="276">
        <v>46087</v>
      </c>
      <c r="C9" s="304" t="s">
        <v>361</v>
      </c>
      <c r="D9" s="304" t="s">
        <v>362</v>
      </c>
      <c r="E9" s="211" t="s">
        <v>628</v>
      </c>
      <c r="F9" s="319" t="s">
        <v>629</v>
      </c>
      <c r="G9" s="284">
        <v>6639</v>
      </c>
      <c r="H9" s="320">
        <f>G9</f>
        <v>6639</v>
      </c>
    </row>
    <row r="10" spans="1:8" s="282" customFormat="1" ht="12.75" customHeight="1" x14ac:dyDescent="0.2">
      <c r="A10" s="305" t="s">
        <v>1155</v>
      </c>
      <c r="B10" s="276">
        <v>46209</v>
      </c>
      <c r="C10" s="304" t="s">
        <v>361</v>
      </c>
      <c r="D10" s="304" t="s">
        <v>362</v>
      </c>
      <c r="E10" s="211" t="s">
        <v>628</v>
      </c>
      <c r="F10" s="315" t="s">
        <v>1154</v>
      </c>
      <c r="G10" s="284">
        <v>3722</v>
      </c>
      <c r="H10" s="320">
        <f>H9+G10</f>
        <v>10361</v>
      </c>
    </row>
    <row r="11" spans="1:8" s="282" customFormat="1" ht="12.75" customHeight="1" x14ac:dyDescent="0.25">
      <c r="A11" s="304"/>
      <c r="B11" s="276"/>
      <c r="C11" s="276"/>
      <c r="D11" s="276"/>
      <c r="E11" s="281"/>
      <c r="F11" s="315"/>
      <c r="G11" s="320"/>
      <c r="H11" s="320">
        <f t="shared" ref="H11:H20" si="0">H10+G11</f>
        <v>10361</v>
      </c>
    </row>
    <row r="12" spans="1:8" s="282" customFormat="1" ht="12.75" customHeight="1" x14ac:dyDescent="0.25">
      <c r="A12" s="304" t="s">
        <v>2</v>
      </c>
      <c r="B12" s="276" t="s">
        <v>2</v>
      </c>
      <c r="C12" s="276"/>
      <c r="D12" s="276"/>
      <c r="E12" s="281" t="s">
        <v>2</v>
      </c>
      <c r="F12" s="315"/>
      <c r="G12" s="320"/>
      <c r="H12" s="320">
        <f t="shared" si="0"/>
        <v>10361</v>
      </c>
    </row>
    <row r="13" spans="1:8" s="282" customFormat="1" ht="12.75" customHeight="1" x14ac:dyDescent="0.25">
      <c r="A13" s="304" t="s">
        <v>2</v>
      </c>
      <c r="B13" s="276" t="s">
        <v>2</v>
      </c>
      <c r="C13" s="276"/>
      <c r="D13" s="276"/>
      <c r="E13" s="281" t="s">
        <v>2</v>
      </c>
      <c r="F13" s="315"/>
      <c r="G13" s="320"/>
      <c r="H13" s="320">
        <f t="shared" si="0"/>
        <v>10361</v>
      </c>
    </row>
    <row r="14" spans="1:8" s="282" customFormat="1" ht="12.75" customHeight="1" x14ac:dyDescent="0.25">
      <c r="A14" s="304"/>
      <c r="B14" s="276"/>
      <c r="C14" s="276"/>
      <c r="D14" s="276"/>
      <c r="E14" s="281"/>
      <c r="F14" s="315"/>
      <c r="G14" s="320"/>
      <c r="H14" s="320">
        <f t="shared" si="0"/>
        <v>10361</v>
      </c>
    </row>
    <row r="15" spans="1:8" s="282" customFormat="1" ht="12.75" customHeight="1" x14ac:dyDescent="0.25">
      <c r="A15" s="304"/>
      <c r="B15" s="276"/>
      <c r="C15" s="276"/>
      <c r="D15" s="276"/>
      <c r="E15" s="291"/>
      <c r="F15" s="315"/>
      <c r="G15" s="320"/>
      <c r="H15" s="320">
        <f t="shared" si="0"/>
        <v>10361</v>
      </c>
    </row>
    <row r="16" spans="1:8" s="282" customFormat="1" ht="12.75" customHeight="1" x14ac:dyDescent="0.25">
      <c r="A16" s="304"/>
      <c r="B16" s="276"/>
      <c r="C16" s="276"/>
      <c r="D16" s="276"/>
      <c r="E16" s="281"/>
      <c r="F16" s="315"/>
      <c r="G16" s="320"/>
      <c r="H16" s="320">
        <f t="shared" si="0"/>
        <v>10361</v>
      </c>
    </row>
    <row r="17" spans="1:8" s="282" customFormat="1" ht="12.75" customHeight="1" x14ac:dyDescent="0.25">
      <c r="A17" s="275"/>
      <c r="B17" s="276"/>
      <c r="C17" s="276"/>
      <c r="D17" s="276"/>
      <c r="E17" s="281"/>
      <c r="F17" s="315"/>
      <c r="G17" s="320"/>
      <c r="H17" s="320">
        <f t="shared" si="0"/>
        <v>10361</v>
      </c>
    </row>
    <row r="18" spans="1:8" s="282" customFormat="1" ht="12.75" customHeight="1" x14ac:dyDescent="0.25">
      <c r="A18" s="275"/>
      <c r="B18" s="276"/>
      <c r="C18" s="276"/>
      <c r="D18" s="276"/>
      <c r="E18" s="281"/>
      <c r="F18" s="315"/>
      <c r="G18" s="320"/>
      <c r="H18" s="320">
        <f t="shared" si="0"/>
        <v>10361</v>
      </c>
    </row>
    <row r="19" spans="1:8" s="282" customFormat="1" ht="12.75" customHeight="1" x14ac:dyDescent="0.25">
      <c r="A19" s="275"/>
      <c r="B19" s="276"/>
      <c r="C19" s="276"/>
      <c r="D19" s="276"/>
      <c r="E19" s="281"/>
      <c r="F19" s="315"/>
      <c r="G19" s="320"/>
      <c r="H19" s="320">
        <f t="shared" si="0"/>
        <v>10361</v>
      </c>
    </row>
    <row r="20" spans="1:8" s="282" customFormat="1" ht="12.75" customHeight="1" x14ac:dyDescent="0.25">
      <c r="A20" s="275"/>
      <c r="B20" s="276"/>
      <c r="C20" s="276"/>
      <c r="D20" s="276"/>
      <c r="E20" s="281"/>
      <c r="F20" s="315"/>
      <c r="G20" s="320"/>
      <c r="H20" s="320">
        <f t="shared" si="0"/>
        <v>10361</v>
      </c>
    </row>
    <row r="21" spans="1:8" s="282" customFormat="1" ht="12.75" customHeight="1" x14ac:dyDescent="0.25">
      <c r="A21" s="275"/>
      <c r="B21" s="287"/>
      <c r="C21" s="287"/>
      <c r="D21" s="287"/>
      <c r="E21" s="281"/>
      <c r="F21" s="320"/>
      <c r="G21" s="281"/>
      <c r="H21" s="320"/>
    </row>
    <row r="22" spans="1:8" s="282" customFormat="1" ht="12.75" customHeight="1" thickBot="1" x14ac:dyDescent="0.3">
      <c r="A22" s="321"/>
      <c r="B22" s="293"/>
      <c r="C22" s="293"/>
      <c r="D22" s="293"/>
      <c r="E22" s="322" t="s">
        <v>24</v>
      </c>
      <c r="F22" s="323"/>
      <c r="G22" s="290">
        <f>SUM(G9:G21)</f>
        <v>10361</v>
      </c>
      <c r="H22" s="323"/>
    </row>
    <row r="23" spans="1:8" s="282" customFormat="1" ht="12.75" customHeight="1" thickTop="1" x14ac:dyDescent="0.25">
      <c r="B23" s="284"/>
    </row>
    <row r="24" spans="1:8" s="282" customFormat="1" ht="12.75" customHeight="1" x14ac:dyDescent="0.25"/>
    <row r="25" spans="1:8" s="282" customFormat="1" ht="12.75" customHeight="1" x14ac:dyDescent="0.25"/>
    <row r="26" spans="1:8" s="282" customFormat="1" ht="12.75" customHeight="1" x14ac:dyDescent="0.25"/>
    <row r="27" spans="1:8" s="282" customFormat="1" ht="12.75" customHeight="1" x14ac:dyDescent="0.25"/>
    <row r="28" spans="1:8" s="282" customFormat="1" ht="12.75" customHeight="1" x14ac:dyDescent="0.25"/>
    <row r="29" spans="1:8" s="282" customFormat="1" ht="12.75" customHeight="1" x14ac:dyDescent="0.25"/>
    <row r="30" spans="1:8" s="282" customFormat="1" ht="12.75" customHeight="1" x14ac:dyDescent="0.25"/>
    <row r="31" spans="1:8" s="282" customFormat="1" ht="12.75" customHeight="1" x14ac:dyDescent="0.25"/>
    <row r="32" spans="1:8" s="282" customFormat="1" ht="12.75" customHeight="1" x14ac:dyDescent="0.25"/>
    <row r="33" s="282" customFormat="1" ht="12.75" customHeight="1" x14ac:dyDescent="0.25"/>
    <row r="34" s="282" customFormat="1" ht="12.75" customHeight="1" x14ac:dyDescent="0.25"/>
    <row r="35" s="282" customFormat="1" ht="12.75" customHeight="1" x14ac:dyDescent="0.25"/>
    <row r="36" s="282" customFormat="1" ht="12.75" customHeight="1" x14ac:dyDescent="0.25"/>
    <row r="37" s="282" customFormat="1" ht="12.75" customHeight="1" x14ac:dyDescent="0.25"/>
    <row r="38" s="282" customFormat="1" ht="12.75" customHeight="1" x14ac:dyDescent="0.25"/>
    <row r="39" s="282" customFormat="1" ht="12.75" customHeight="1" x14ac:dyDescent="0.25"/>
    <row r="40" s="282" customFormat="1" ht="12.75" customHeight="1" x14ac:dyDescent="0.25"/>
    <row r="41" s="282" customFormat="1" ht="12.75" customHeight="1" x14ac:dyDescent="0.25"/>
    <row r="42" s="282" customFormat="1" ht="12.75" customHeight="1" x14ac:dyDescent="0.25"/>
    <row r="43" s="282" customFormat="1" ht="12.75" customHeight="1" x14ac:dyDescent="0.25"/>
    <row r="44" s="282" customFormat="1" ht="12.75" customHeight="1" x14ac:dyDescent="0.25"/>
    <row r="45" s="282" customFormat="1" ht="12.75" customHeight="1" x14ac:dyDescent="0.25"/>
    <row r="46" s="282" customFormat="1" ht="12.75" customHeight="1" x14ac:dyDescent="0.25"/>
    <row r="47" s="282" customFormat="1" ht="12.75" customHeight="1" x14ac:dyDescent="0.25"/>
    <row r="48" s="282" customFormat="1" ht="12.75" customHeight="1" x14ac:dyDescent="0.25"/>
    <row r="49" s="282" customFormat="1" ht="12.75" customHeight="1" x14ac:dyDescent="0.25"/>
    <row r="50" s="282" customFormat="1" ht="12.75" customHeight="1" x14ac:dyDescent="0.25"/>
    <row r="51" s="282" customFormat="1" ht="12.75" customHeight="1" x14ac:dyDescent="0.25"/>
    <row r="52" s="282" customFormat="1" ht="12.75" customHeight="1" x14ac:dyDescent="0.25"/>
    <row r="53" s="282" customFormat="1" ht="12.75" customHeight="1" x14ac:dyDescent="0.25"/>
    <row r="54" s="282" customFormat="1" ht="12.75" customHeight="1" x14ac:dyDescent="0.25"/>
    <row r="55" s="282" customFormat="1" ht="12.75" customHeight="1" x14ac:dyDescent="0.25"/>
    <row r="56" s="282" customFormat="1" ht="12.75" customHeight="1" x14ac:dyDescent="0.25"/>
    <row r="57" s="282" customFormat="1" ht="12.75" customHeight="1" x14ac:dyDescent="0.25"/>
    <row r="58" s="282" customFormat="1" ht="12.75" customHeight="1" x14ac:dyDescent="0.25"/>
    <row r="59" s="282" customFormat="1" ht="12.75" customHeight="1" x14ac:dyDescent="0.25"/>
    <row r="60" s="282" customFormat="1" ht="12.75" customHeight="1" x14ac:dyDescent="0.25"/>
    <row r="61" s="282" customFormat="1" ht="12.75" customHeight="1" x14ac:dyDescent="0.25"/>
    <row r="62" s="282" customFormat="1" ht="12.75" customHeight="1" x14ac:dyDescent="0.25"/>
    <row r="63" s="282" customFormat="1" ht="12.75" customHeight="1" x14ac:dyDescent="0.25"/>
    <row r="64" s="282" customFormat="1" ht="12.75" customHeight="1" x14ac:dyDescent="0.25"/>
    <row r="65" s="282" customFormat="1" ht="12.75" customHeight="1" x14ac:dyDescent="0.25"/>
    <row r="66" s="282" customFormat="1" ht="12.75" customHeight="1" x14ac:dyDescent="0.25"/>
    <row r="67" s="282" customFormat="1" ht="12.75" customHeight="1" x14ac:dyDescent="0.25"/>
    <row r="68" s="282" customFormat="1" ht="12.75" customHeight="1" x14ac:dyDescent="0.25"/>
    <row r="69" s="282" customFormat="1" ht="12.75" customHeight="1" x14ac:dyDescent="0.25"/>
    <row r="70" s="282" customFormat="1" ht="12.75" customHeight="1" x14ac:dyDescent="0.25"/>
    <row r="71" s="282" customFormat="1" ht="12.75" customHeight="1" x14ac:dyDescent="0.25"/>
    <row r="72" s="282" customFormat="1" ht="12.75" customHeight="1" x14ac:dyDescent="0.25"/>
    <row r="73" s="282" customFormat="1" ht="12.75" customHeight="1" x14ac:dyDescent="0.25"/>
    <row r="74" s="282" customFormat="1" ht="12.75" customHeight="1" x14ac:dyDescent="0.25"/>
    <row r="75" s="282" customFormat="1" ht="12.75" customHeight="1" x14ac:dyDescent="0.25"/>
    <row r="76" s="282" customFormat="1" ht="12.75" customHeight="1" x14ac:dyDescent="0.25"/>
    <row r="77" s="282" customFormat="1" ht="12.75" customHeight="1" x14ac:dyDescent="0.25"/>
    <row r="78" s="282" customFormat="1" ht="12.75" customHeight="1" x14ac:dyDescent="0.25"/>
    <row r="79" s="282" customFormat="1" ht="12.75" customHeight="1" x14ac:dyDescent="0.25"/>
    <row r="80" s="282" customFormat="1" ht="12.75" customHeight="1" x14ac:dyDescent="0.25"/>
    <row r="81" s="282" customFormat="1" ht="12.75" customHeight="1" x14ac:dyDescent="0.25"/>
    <row r="82" s="282" customFormat="1" ht="12.75" customHeight="1" x14ac:dyDescent="0.25"/>
    <row r="83" s="282" customFormat="1" ht="12.75" customHeight="1" x14ac:dyDescent="0.25"/>
    <row r="84" s="282" customFormat="1" ht="12.75" customHeight="1" x14ac:dyDescent="0.25"/>
    <row r="85" s="282" customFormat="1" ht="12.75" customHeight="1" x14ac:dyDescent="0.25"/>
    <row r="86" s="282" customFormat="1" ht="12.75" customHeight="1" x14ac:dyDescent="0.25"/>
    <row r="87" s="282" customFormat="1" ht="12.75" customHeight="1" x14ac:dyDescent="0.25"/>
    <row r="88" s="282" customFormat="1" ht="12.75" customHeight="1" x14ac:dyDescent="0.25"/>
    <row r="89" s="282" customFormat="1" ht="12.75" customHeight="1" x14ac:dyDescent="0.25"/>
  </sheetData>
  <pageMargins left="0.25" right="0.25" top="0.95" bottom="0.75" header="0.09" footer="0.3"/>
  <pageSetup scale="82"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C8EAD-C1A8-423F-9EA4-6B5D21355ADE}">
  <sheetPr>
    <tabColor rgb="FF0070C0"/>
    <pageSetUpPr fitToPage="1"/>
  </sheetPr>
  <dimension ref="A1:I37"/>
  <sheetViews>
    <sheetView zoomScaleNormal="100" workbookViewId="0">
      <selection activeCell="D5" sqref="D5"/>
    </sheetView>
  </sheetViews>
  <sheetFormatPr defaultColWidth="11.42578125" defaultRowHeight="15" customHeight="1" x14ac:dyDescent="0.25"/>
  <cols>
    <col min="1" max="1" width="24.5703125" style="274" customWidth="1"/>
    <col min="2" max="2" width="9.42578125" style="274" customWidth="1"/>
    <col min="3" max="3" width="37.5703125" style="274" bestFit="1" customWidth="1"/>
    <col min="4" max="4" width="14.42578125" style="274" customWidth="1"/>
    <col min="5" max="5" width="13.5703125" style="274" customWidth="1"/>
    <col min="6" max="6" width="12.42578125" style="274" customWidth="1"/>
    <col min="7" max="7" width="10.5703125" style="274" customWidth="1"/>
    <col min="8" max="8" width="16.28515625" style="274"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#9455.00'!B1</f>
        <v>IDOE ISD Giangreco Hall Water Infiltration Mitigation</v>
      </c>
      <c r="B1" s="30"/>
      <c r="C1" s="153"/>
      <c r="D1" s="153"/>
      <c r="E1" s="153"/>
      <c r="F1" s="156"/>
      <c r="G1" s="156"/>
      <c r="H1" s="179"/>
      <c r="I1" s="179"/>
    </row>
    <row r="2" spans="1:9" ht="15.75" x14ac:dyDescent="0.25">
      <c r="A2" s="31" t="str">
        <f>'RECAP #9455.00'!B2</f>
        <v>Project # 9455.00</v>
      </c>
      <c r="B2" s="150"/>
      <c r="C2" s="153"/>
      <c r="D2" s="153"/>
      <c r="E2" s="153"/>
      <c r="F2" s="156"/>
      <c r="G2" s="156"/>
      <c r="H2" s="179"/>
      <c r="I2" s="179"/>
    </row>
    <row r="3" spans="1:9" ht="15.75" x14ac:dyDescent="0.25">
      <c r="A3" s="154" t="str">
        <f>'RECAP #9455.00'!B3</f>
        <v>Program code 945500</v>
      </c>
      <c r="B3" s="150"/>
      <c r="C3" s="153"/>
      <c r="D3" s="155" t="str">
        <f>'RECAP #9455.00'!E3</f>
        <v>Major Program 4F04</v>
      </c>
      <c r="E3" s="153"/>
      <c r="F3" s="156"/>
      <c r="G3" s="156"/>
      <c r="H3" s="179"/>
      <c r="I3" s="179"/>
    </row>
    <row r="4" spans="1:9" ht="15.75" x14ac:dyDescent="0.25">
      <c r="A4" s="30" t="s">
        <v>471</v>
      </c>
      <c r="B4" s="31"/>
      <c r="C4" s="179"/>
      <c r="D4" s="180" t="s">
        <v>472</v>
      </c>
      <c r="E4" s="156"/>
      <c r="F4" s="156"/>
      <c r="G4" s="156"/>
      <c r="H4" s="179"/>
      <c r="I4" s="179"/>
    </row>
    <row r="5" spans="1:9" ht="15.75" x14ac:dyDescent="0.25">
      <c r="A5" s="181" t="s">
        <v>104</v>
      </c>
      <c r="B5" s="179"/>
      <c r="C5" s="182"/>
      <c r="D5" s="37" t="s">
        <v>473</v>
      </c>
      <c r="E5" s="42"/>
      <c r="F5" s="156"/>
      <c r="G5" s="156"/>
      <c r="H5" s="179"/>
      <c r="I5" s="179"/>
    </row>
    <row r="6" spans="1:9" ht="15.75" x14ac:dyDescent="0.25">
      <c r="A6" s="31" t="str">
        <f>'RECAP #9455.00'!B6</f>
        <v>Project Manager - Jennie E.</v>
      </c>
      <c r="B6" s="31"/>
      <c r="C6" s="183"/>
      <c r="D6" s="184" t="s">
        <v>107</v>
      </c>
      <c r="E6" s="42"/>
      <c r="F6" s="43"/>
      <c r="G6" s="156"/>
      <c r="H6" s="179"/>
      <c r="I6" s="179"/>
    </row>
    <row r="7" spans="1:9" ht="15.75" x14ac:dyDescent="0.25">
      <c r="A7" s="179"/>
      <c r="B7" s="185"/>
      <c r="C7" s="185"/>
      <c r="D7" s="179" t="s">
        <v>1352</v>
      </c>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474</v>
      </c>
      <c r="B9" s="276">
        <v>46051</v>
      </c>
      <c r="C9" s="277" t="s">
        <v>109</v>
      </c>
      <c r="D9" s="278">
        <v>750625.68</v>
      </c>
      <c r="E9" s="279">
        <f>D9</f>
        <v>750625.68</v>
      </c>
      <c r="F9" s="280"/>
      <c r="G9" s="280"/>
      <c r="H9" s="280">
        <f>E9</f>
        <v>750625.68</v>
      </c>
      <c r="I9" s="281"/>
    </row>
    <row r="10" spans="1:9" s="282" customFormat="1" ht="12.75" customHeight="1" x14ac:dyDescent="0.25">
      <c r="A10" s="275" t="s">
        <v>531</v>
      </c>
      <c r="B10" s="283">
        <v>46057</v>
      </c>
      <c r="C10" s="277" t="s">
        <v>532</v>
      </c>
      <c r="D10" s="279"/>
      <c r="E10" s="279">
        <f t="shared" ref="E10:E21" si="0">E9+D10</f>
        <v>750625.68</v>
      </c>
      <c r="F10" s="284">
        <v>1793.69</v>
      </c>
      <c r="G10" s="280">
        <f t="shared" ref="G10:G21" si="1">G9+F10</f>
        <v>1793.69</v>
      </c>
      <c r="H10" s="280">
        <f t="shared" ref="H10:H21" si="2">H9-F10+D10</f>
        <v>748831.99000000011</v>
      </c>
      <c r="I10" s="281"/>
    </row>
    <row r="11" spans="1:9" s="282" customFormat="1" ht="12.75" customHeight="1" x14ac:dyDescent="0.25">
      <c r="A11" s="275" t="s">
        <v>603</v>
      </c>
      <c r="B11" s="276">
        <v>46084</v>
      </c>
      <c r="C11" s="277" t="s">
        <v>604</v>
      </c>
      <c r="D11" s="279"/>
      <c r="E11" s="279">
        <f t="shared" si="0"/>
        <v>750625.68</v>
      </c>
      <c r="F11" s="284">
        <v>2668.08</v>
      </c>
      <c r="G11" s="280">
        <f t="shared" si="1"/>
        <v>4461.7700000000004</v>
      </c>
      <c r="H11" s="280">
        <f t="shared" si="2"/>
        <v>746163.91000000015</v>
      </c>
      <c r="I11" s="281"/>
    </row>
    <row r="12" spans="1:9" s="282" customFormat="1" ht="12.75" customHeight="1" x14ac:dyDescent="0.25">
      <c r="A12" s="275" t="s">
        <v>751</v>
      </c>
      <c r="B12" s="276">
        <v>46121</v>
      </c>
      <c r="C12" s="277" t="s">
        <v>752</v>
      </c>
      <c r="D12" s="279"/>
      <c r="E12" s="279">
        <f t="shared" si="0"/>
        <v>750625.68</v>
      </c>
      <c r="F12" s="284">
        <v>3139.91</v>
      </c>
      <c r="G12" s="280">
        <f t="shared" si="1"/>
        <v>7601.68</v>
      </c>
      <c r="H12" s="280">
        <f t="shared" si="2"/>
        <v>743024.00000000012</v>
      </c>
      <c r="I12" s="281"/>
    </row>
    <row r="13" spans="1:9" s="282" customFormat="1" ht="12.75" customHeight="1" x14ac:dyDescent="0.25">
      <c r="A13" s="275" t="s">
        <v>915</v>
      </c>
      <c r="B13" s="276">
        <v>46163</v>
      </c>
      <c r="C13" s="277" t="s">
        <v>916</v>
      </c>
      <c r="D13" s="279"/>
      <c r="E13" s="279">
        <f t="shared" si="0"/>
        <v>750625.68</v>
      </c>
      <c r="F13" s="284">
        <v>23878.53</v>
      </c>
      <c r="G13" s="280">
        <f t="shared" si="1"/>
        <v>31480.21</v>
      </c>
      <c r="H13" s="280">
        <f t="shared" si="2"/>
        <v>719145.47000000009</v>
      </c>
      <c r="I13" s="281"/>
    </row>
    <row r="14" spans="1:9" s="282" customFormat="1" ht="12.75" customHeight="1" x14ac:dyDescent="0.25">
      <c r="A14" s="275" t="s">
        <v>1042</v>
      </c>
      <c r="B14" s="276">
        <v>46189</v>
      </c>
      <c r="C14" s="277" t="s">
        <v>1043</v>
      </c>
      <c r="D14" s="279"/>
      <c r="E14" s="279">
        <f t="shared" si="0"/>
        <v>750625.68</v>
      </c>
      <c r="F14" s="284">
        <v>17483.14</v>
      </c>
      <c r="G14" s="280">
        <f t="shared" si="1"/>
        <v>48963.35</v>
      </c>
      <c r="H14" s="280">
        <f t="shared" si="2"/>
        <v>701662.33000000007</v>
      </c>
      <c r="I14" s="281"/>
    </row>
    <row r="15" spans="1:9" s="282" customFormat="1" ht="12.75" customHeight="1" x14ac:dyDescent="0.25">
      <c r="A15" s="275" t="s">
        <v>1168</v>
      </c>
      <c r="B15" s="276">
        <v>46209</v>
      </c>
      <c r="C15" s="277" t="s">
        <v>1169</v>
      </c>
      <c r="D15" s="279"/>
      <c r="E15" s="279">
        <f t="shared" si="0"/>
        <v>750625.68</v>
      </c>
      <c r="F15" s="284">
        <v>17899.04</v>
      </c>
      <c r="G15" s="280">
        <f t="shared" si="1"/>
        <v>66862.39</v>
      </c>
      <c r="H15" s="280">
        <f t="shared" si="2"/>
        <v>683763.29</v>
      </c>
      <c r="I15" s="281"/>
    </row>
    <row r="16" spans="1:9" s="282" customFormat="1" ht="12.75" customHeight="1" x14ac:dyDescent="0.25">
      <c r="A16" s="275" t="s">
        <v>474</v>
      </c>
      <c r="B16" s="276">
        <v>46226</v>
      </c>
      <c r="C16" s="277" t="s">
        <v>1357</v>
      </c>
      <c r="D16" s="285">
        <v>-683763.29</v>
      </c>
      <c r="E16" s="279">
        <f t="shared" si="0"/>
        <v>66862.390000000014</v>
      </c>
      <c r="F16" s="284"/>
      <c r="G16" s="280">
        <f t="shared" si="1"/>
        <v>66862.39</v>
      </c>
      <c r="H16" s="280">
        <f t="shared" si="2"/>
        <v>0</v>
      </c>
      <c r="I16" s="281"/>
    </row>
    <row r="17" spans="1:9" s="282" customFormat="1" ht="12.75" customHeight="1" x14ac:dyDescent="0.25">
      <c r="A17" s="275"/>
      <c r="B17" s="276"/>
      <c r="C17" s="277"/>
      <c r="D17" s="279"/>
      <c r="E17" s="279">
        <f t="shared" si="0"/>
        <v>66862.390000000014</v>
      </c>
      <c r="F17" s="284"/>
      <c r="G17" s="280">
        <f t="shared" si="1"/>
        <v>66862.39</v>
      </c>
      <c r="H17" s="280">
        <f t="shared" si="2"/>
        <v>0</v>
      </c>
      <c r="I17" s="281"/>
    </row>
    <row r="18" spans="1:9" s="282" customFormat="1" ht="12.75" customHeight="1" x14ac:dyDescent="0.25">
      <c r="A18" s="275"/>
      <c r="B18" s="276"/>
      <c r="C18" s="277"/>
      <c r="D18" s="279"/>
      <c r="E18" s="279">
        <f t="shared" si="0"/>
        <v>66862.390000000014</v>
      </c>
      <c r="F18" s="284"/>
      <c r="G18" s="280">
        <f t="shared" si="1"/>
        <v>66862.39</v>
      </c>
      <c r="H18" s="280">
        <f t="shared" si="2"/>
        <v>0</v>
      </c>
      <c r="I18" s="281"/>
    </row>
    <row r="19" spans="1:9" s="282" customFormat="1" ht="12.75" customHeight="1" x14ac:dyDescent="0.25">
      <c r="A19" s="275"/>
      <c r="B19" s="276"/>
      <c r="C19" s="277"/>
      <c r="D19" s="279"/>
      <c r="E19" s="279">
        <f t="shared" si="0"/>
        <v>66862.390000000014</v>
      </c>
      <c r="F19" s="280"/>
      <c r="G19" s="280">
        <f t="shared" si="1"/>
        <v>66862.39</v>
      </c>
      <c r="H19" s="280">
        <f t="shared" si="2"/>
        <v>0</v>
      </c>
      <c r="I19" s="281"/>
    </row>
    <row r="20" spans="1:9" s="282" customFormat="1" ht="12.75" customHeight="1" x14ac:dyDescent="0.25">
      <c r="A20" s="275"/>
      <c r="B20" s="276"/>
      <c r="C20" s="277"/>
      <c r="D20" s="279"/>
      <c r="E20" s="279">
        <f t="shared" si="0"/>
        <v>66862.390000000014</v>
      </c>
      <c r="F20" s="280"/>
      <c r="G20" s="280">
        <f t="shared" si="1"/>
        <v>66862.39</v>
      </c>
      <c r="H20" s="280">
        <f t="shared" si="2"/>
        <v>0</v>
      </c>
      <c r="I20" s="281"/>
    </row>
    <row r="21" spans="1:9" s="282" customFormat="1" ht="12.75" customHeight="1" x14ac:dyDescent="0.25">
      <c r="A21" s="275"/>
      <c r="B21" s="276"/>
      <c r="C21" s="286"/>
      <c r="D21" s="279"/>
      <c r="E21" s="279">
        <f t="shared" si="0"/>
        <v>66862.390000000014</v>
      </c>
      <c r="F21" s="280"/>
      <c r="G21" s="280">
        <f t="shared" si="1"/>
        <v>66862.39</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66862.390000000014</v>
      </c>
      <c r="E23" s="290"/>
      <c r="F23" s="290">
        <f>SUM(F9:F22)</f>
        <v>66862.39</v>
      </c>
      <c r="G23" s="290"/>
      <c r="H23" s="290">
        <f>D23-F23</f>
        <v>0</v>
      </c>
      <c r="I23" s="281"/>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80">
        <v>570253.43999999994</v>
      </c>
      <c r="E26" s="280"/>
      <c r="F26" s="280">
        <f>1293.69+2186.36+2639.91+19288.2+13219.7+9336.14</f>
        <v>47964</v>
      </c>
      <c r="G26" s="280"/>
      <c r="H26" s="280">
        <f>D26-F26</f>
        <v>522289.43999999994</v>
      </c>
      <c r="I26" s="281"/>
    </row>
    <row r="27" spans="1:9" s="282" customFormat="1" ht="12.75" customHeight="1" x14ac:dyDescent="0.25">
      <c r="A27" s="275"/>
      <c r="B27" s="277"/>
      <c r="C27" s="287" t="s">
        <v>475</v>
      </c>
      <c r="D27" s="280">
        <v>61600</v>
      </c>
      <c r="E27" s="280"/>
      <c r="F27" s="280">
        <f>1523.17+1263.44+1049.84</f>
        <v>3836.45</v>
      </c>
      <c r="G27" s="280"/>
      <c r="H27" s="280">
        <f>D27-F27</f>
        <v>57763.55</v>
      </c>
      <c r="I27" s="281"/>
    </row>
    <row r="28" spans="1:9" s="282" customFormat="1" ht="12.75" customHeight="1" x14ac:dyDescent="0.25">
      <c r="A28" s="275"/>
      <c r="B28" s="277"/>
      <c r="C28" s="287" t="s">
        <v>476</v>
      </c>
      <c r="D28" s="280">
        <v>12600</v>
      </c>
      <c r="E28" s="280"/>
      <c r="F28" s="280">
        <f>455</f>
        <v>455</v>
      </c>
      <c r="G28" s="280"/>
      <c r="H28" s="280">
        <f>D28-F28</f>
        <v>12145</v>
      </c>
      <c r="I28" s="281"/>
    </row>
    <row r="29" spans="1:9" s="282" customFormat="1" ht="12.75" customHeight="1" x14ac:dyDescent="0.25">
      <c r="A29" s="275"/>
      <c r="B29" s="277"/>
      <c r="C29" s="287" t="s">
        <v>477</v>
      </c>
      <c r="D29" s="280">
        <v>8000</v>
      </c>
      <c r="E29" s="280"/>
      <c r="F29" s="280">
        <f>67.16+2058.06</f>
        <v>2125.2199999999998</v>
      </c>
      <c r="G29" s="280"/>
      <c r="H29" s="280">
        <f>D29-F29</f>
        <v>5874.7800000000007</v>
      </c>
      <c r="I29" s="281"/>
    </row>
    <row r="30" spans="1:9" s="282" customFormat="1" ht="12.75" customHeight="1" x14ac:dyDescent="0.25">
      <c r="A30" s="275"/>
      <c r="B30" s="277"/>
      <c r="C30" s="287" t="s">
        <v>478</v>
      </c>
      <c r="D30" s="292">
        <v>98172.24</v>
      </c>
      <c r="E30" s="292"/>
      <c r="F30" s="292">
        <f>500+481.72+500+3000+3000+5000</f>
        <v>12481.720000000001</v>
      </c>
      <c r="G30" s="292"/>
      <c r="H30" s="280">
        <f t="shared" ref="H30:H31" si="3">D30-F30</f>
        <v>85690.52</v>
      </c>
      <c r="I30" s="281"/>
    </row>
    <row r="31" spans="1:9" s="282" customFormat="1" ht="12.75" customHeight="1" x14ac:dyDescent="0.25">
      <c r="A31" s="275"/>
      <c r="B31" s="277"/>
      <c r="C31" s="287" t="s">
        <v>468</v>
      </c>
      <c r="D31" s="292">
        <v>-683763.29</v>
      </c>
      <c r="E31" s="292"/>
      <c r="F31" s="292"/>
      <c r="G31" s="292"/>
      <c r="H31" s="292">
        <f t="shared" si="3"/>
        <v>-683763.29</v>
      </c>
      <c r="I31" s="281"/>
    </row>
    <row r="32" spans="1:9" s="282" customFormat="1" ht="12.75" customHeight="1" thickBot="1" x14ac:dyDescent="0.3">
      <c r="A32" s="275"/>
      <c r="B32" s="277"/>
      <c r="C32" s="293" t="s">
        <v>67</v>
      </c>
      <c r="D32" s="290">
        <f>SUM(D26:D31)</f>
        <v>66862.389999999898</v>
      </c>
      <c r="E32" s="294"/>
      <c r="F32" s="290">
        <f>SUM(F26:F31)</f>
        <v>66862.39</v>
      </c>
      <c r="G32" s="294"/>
      <c r="H32" s="290">
        <f>SUM(H26:H31)</f>
        <v>0</v>
      </c>
      <c r="I32" s="281"/>
    </row>
    <row r="33" spans="3:8" s="282" customFormat="1" ht="12.75" customHeight="1" thickTop="1" x14ac:dyDescent="0.25"/>
    <row r="34" spans="3:8" s="282" customFormat="1" ht="12.75" customHeight="1" x14ac:dyDescent="0.25">
      <c r="C34" s="287" t="s">
        <v>1353</v>
      </c>
      <c r="D34" s="292">
        <f>'[1]#9455.00 Samuels Group'!$D$23</f>
        <v>683763.29</v>
      </c>
      <c r="E34" s="292"/>
      <c r="F34" s="292">
        <f>'[1]#9455.00 Samuels Group'!$F$23</f>
        <v>37935.600000000006</v>
      </c>
      <c r="G34" s="292"/>
      <c r="H34" s="280">
        <f>'[1]#9455.00 Samuels Group'!$H$23</f>
        <v>645827.69000000006</v>
      </c>
    </row>
    <row r="35" spans="3:8" s="282" customFormat="1" ht="12.75" customHeight="1" thickBot="1" x14ac:dyDescent="0.3">
      <c r="C35" s="293" t="s">
        <v>67</v>
      </c>
      <c r="D35" s="290">
        <f>D23+D34</f>
        <v>750625.68</v>
      </c>
      <c r="E35" s="294"/>
      <c r="F35" s="290">
        <f>F23+F34</f>
        <v>104797.99</v>
      </c>
      <c r="G35" s="294"/>
      <c r="H35" s="290">
        <f>SUM(H23+H34)</f>
        <v>645827.69000000006</v>
      </c>
    </row>
    <row r="36" spans="3:8" s="282" customFormat="1" ht="12.75" customHeight="1" thickTop="1" x14ac:dyDescent="0.25"/>
    <row r="37" spans="3:8" s="282" customFormat="1" ht="12.75" customHeight="1" x14ac:dyDescent="0.25"/>
  </sheetData>
  <conditionalFormatting sqref="I8:I23">
    <cfRule type="cellIs" dxfId="60" priority="1" operator="greaterThan">
      <formula>$H$23</formula>
    </cfRule>
  </conditionalFormatting>
  <pageMargins left="0.25" right="0.25" top="0.95" bottom="0.75" header="0.09" footer="0.3"/>
  <pageSetup scale="6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5ABBE-216F-417D-A998-E0358D7032F9}">
  <sheetPr>
    <pageSetUpPr fitToPage="1"/>
  </sheetPr>
  <dimension ref="A1:G18"/>
  <sheetViews>
    <sheetView zoomScaleNormal="100" workbookViewId="0">
      <selection activeCell="C22" sqref="C22"/>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73</v>
      </c>
      <c r="C1" s="3"/>
      <c r="D1" s="4"/>
      <c r="E1" s="4"/>
      <c r="F1" s="4"/>
      <c r="G1" s="4"/>
    </row>
    <row r="2" spans="1:7" ht="15.75" x14ac:dyDescent="0.25">
      <c r="A2" s="1"/>
      <c r="B2" s="6" t="s">
        <v>76</v>
      </c>
      <c r="C2" s="5"/>
      <c r="D2" s="4"/>
      <c r="E2" s="4"/>
      <c r="F2" s="4"/>
      <c r="G2" s="4"/>
    </row>
    <row r="3" spans="1:7" ht="15.75" x14ac:dyDescent="0.25">
      <c r="A3" s="1"/>
      <c r="B3" s="7" t="s">
        <v>77</v>
      </c>
      <c r="C3" s="5"/>
      <c r="D3" s="4"/>
      <c r="E3" s="8" t="s">
        <v>79</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78</v>
      </c>
      <c r="C6" s="12"/>
      <c r="D6" s="13" t="s">
        <v>2</v>
      </c>
      <c r="E6" s="4"/>
      <c r="F6" s="4"/>
      <c r="G6" s="4"/>
    </row>
    <row r="7" spans="1:7" ht="35.25" customHeight="1" thickBot="1" x14ac:dyDescent="0.3">
      <c r="A7" s="1"/>
      <c r="B7" s="14" t="s">
        <v>2</v>
      </c>
      <c r="C7" s="15" t="s">
        <v>3</v>
      </c>
      <c r="D7" s="16" t="s">
        <v>4</v>
      </c>
      <c r="E7" s="17" t="s">
        <v>5</v>
      </c>
      <c r="F7" s="18" t="s">
        <v>6</v>
      </c>
      <c r="G7" s="18" t="s">
        <v>7</v>
      </c>
    </row>
    <row r="8" spans="1:7" ht="28.35" customHeight="1" x14ac:dyDescent="0.25">
      <c r="A8" s="1"/>
      <c r="B8" s="1" t="s">
        <v>8</v>
      </c>
      <c r="C8" s="19">
        <f>FINANCIAL!E14</f>
        <v>2820000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73" t="s">
        <v>250</v>
      </c>
      <c r="B10" s="247" t="s">
        <v>103</v>
      </c>
      <c r="C10" s="248"/>
      <c r="D10" s="251">
        <f>'#9483.00 DCI Group'!D23</f>
        <v>34876.439999999995</v>
      </c>
      <c r="E10" s="251">
        <f>'#9483.00 DCI Group'!F23</f>
        <v>34876.44</v>
      </c>
      <c r="F10" s="251">
        <f>'#9483.00 DCI Group'!H23</f>
        <v>0</v>
      </c>
      <c r="G10" s="250"/>
    </row>
    <row r="11" spans="1:7" s="223" customFormat="1" ht="12.75" customHeight="1" x14ac:dyDescent="0.25">
      <c r="A11" s="246"/>
      <c r="B11" s="247" t="s">
        <v>10</v>
      </c>
      <c r="C11" s="248"/>
      <c r="D11" s="251">
        <f>'#9483.00 PM TIME'!E43</f>
        <v>75000</v>
      </c>
      <c r="E11" s="251">
        <f>'#9483.00 PM TIME'!G43</f>
        <v>19771.5</v>
      </c>
      <c r="F11" s="251">
        <f>'#9483.00 PM TIME'!I43</f>
        <v>55228.5</v>
      </c>
      <c r="G11" s="250"/>
    </row>
    <row r="12" spans="1:7" s="223" customFormat="1" ht="12.75" customHeight="1" x14ac:dyDescent="0.25">
      <c r="A12" s="246"/>
      <c r="B12" s="247" t="s">
        <v>11</v>
      </c>
      <c r="C12" s="249"/>
      <c r="D12" s="252">
        <f>'#9483.00 Misc'!G22</f>
        <v>5209.0899999999992</v>
      </c>
      <c r="E12" s="252">
        <f>'#9483.00 Misc'!G22</f>
        <v>5209.0899999999992</v>
      </c>
      <c r="F12" s="251">
        <f>D12-E12</f>
        <v>0</v>
      </c>
      <c r="G12" s="250"/>
    </row>
    <row r="13" spans="1:7" s="223" customFormat="1" ht="12.75" customHeight="1" x14ac:dyDescent="0.25">
      <c r="A13" s="246"/>
      <c r="B13" s="247" t="s">
        <v>327</v>
      </c>
      <c r="C13" s="249"/>
      <c r="D13" s="252">
        <f>'#9483.00 Genesis Architectural'!D23</f>
        <v>35000</v>
      </c>
      <c r="E13" s="252">
        <f>'#9483.00 Genesis Architectural'!F23</f>
        <v>29250</v>
      </c>
      <c r="F13" s="251">
        <f>'#9483.00 Genesis Architectural'!H23</f>
        <v>5750</v>
      </c>
      <c r="G13" s="250"/>
    </row>
    <row r="14" spans="1:7" s="223" customFormat="1" ht="12.75" customHeight="1" x14ac:dyDescent="0.25">
      <c r="A14" s="246"/>
      <c r="B14" s="247" t="s">
        <v>846</v>
      </c>
      <c r="C14" s="249"/>
      <c r="D14" s="252">
        <f>'#9483.00 Academy Roofing'!D23</f>
        <v>2335266</v>
      </c>
      <c r="E14" s="252">
        <f>'#9483.00 Academy Roofing'!F23</f>
        <v>1732081.76</v>
      </c>
      <c r="F14" s="251">
        <f>'#9483.00 Academy Roofing'!H23</f>
        <v>603184.24</v>
      </c>
      <c r="G14" s="250"/>
    </row>
    <row r="15" spans="1:7" s="223" customFormat="1" ht="12.75" customHeight="1" x14ac:dyDescent="0.25">
      <c r="A15" s="246"/>
      <c r="B15" s="247" t="s">
        <v>526</v>
      </c>
      <c r="C15" s="249"/>
      <c r="D15" s="252">
        <f>'#9483.00 DCI Group (2)'!D23</f>
        <v>267340.14</v>
      </c>
      <c r="E15" s="252">
        <f>'#9483.00 DCI Group (2)'!F23</f>
        <v>113808.57</v>
      </c>
      <c r="F15" s="251">
        <f>'#9483.00 DCI Group (2)'!H23</f>
        <v>153531.57</v>
      </c>
      <c r="G15" s="250"/>
    </row>
    <row r="16" spans="1:7" s="223" customFormat="1" ht="12.75" customHeight="1" x14ac:dyDescent="0.25">
      <c r="A16" s="246"/>
      <c r="B16" s="247"/>
      <c r="C16" s="249"/>
      <c r="D16" s="252"/>
      <c r="E16" s="252"/>
      <c r="F16" s="251"/>
      <c r="G16" s="250"/>
    </row>
    <row r="17" spans="1:7" ht="24" customHeight="1" thickBot="1" x14ac:dyDescent="0.3">
      <c r="A17" s="25"/>
      <c r="B17" s="26" t="s">
        <v>12</v>
      </c>
      <c r="C17" s="27">
        <f>SUM(C8:C16)</f>
        <v>2820000</v>
      </c>
      <c r="D17" s="27">
        <f>SUM(D8:D16)</f>
        <v>2752691.67</v>
      </c>
      <c r="E17" s="27">
        <f>SUM(E8:E16)</f>
        <v>1934997.36</v>
      </c>
      <c r="F17" s="27">
        <f>SUM(D17-E17)</f>
        <v>817694.30999999982</v>
      </c>
      <c r="G17" s="27">
        <f>C8-D17</f>
        <v>67308.330000000075</v>
      </c>
    </row>
    <row r="18" spans="1:7" ht="15" customHeight="1" thickTop="1" x14ac:dyDescent="0.25"/>
  </sheetData>
  <pageMargins left="0.25" right="0.25" top="1.1528125"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1C698-269F-45B8-8A44-3FB623D459F9}">
  <sheetPr>
    <tabColor rgb="FF0070C0"/>
    <pageSetUpPr fitToPage="1"/>
  </sheetPr>
  <dimension ref="A1:I30"/>
  <sheetViews>
    <sheetView zoomScaleNormal="100" workbookViewId="0">
      <selection activeCell="E37" sqref="E37"/>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3.42578125" style="274"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#9483.00'!B1</f>
        <v>DVA IVH Dack and Malloy Building Roof Replacements</v>
      </c>
      <c r="B1" s="30"/>
      <c r="C1" s="153"/>
      <c r="D1" s="153"/>
      <c r="E1" s="153"/>
      <c r="F1" s="156"/>
      <c r="G1" s="156"/>
      <c r="H1" s="179"/>
      <c r="I1" s="179"/>
    </row>
    <row r="2" spans="1:9" ht="15.75" x14ac:dyDescent="0.25">
      <c r="A2" s="31" t="str">
        <f>'RECAP #9483.00'!B2</f>
        <v>Project # 9483.00</v>
      </c>
      <c r="B2" s="150"/>
      <c r="C2" s="153"/>
      <c r="D2" s="153"/>
      <c r="E2" s="153"/>
      <c r="F2" s="156"/>
      <c r="G2" s="156"/>
      <c r="H2" s="179"/>
      <c r="I2" s="179"/>
    </row>
    <row r="3" spans="1:9" ht="15.75" x14ac:dyDescent="0.25">
      <c r="A3" s="154" t="str">
        <f>'RECAP #9483.00'!B3</f>
        <v>Program code 948300</v>
      </c>
      <c r="B3" s="150"/>
      <c r="C3" s="153"/>
      <c r="D3" s="155" t="str">
        <f>'RECAP #9483.00'!E3</f>
        <v>Major Program 4D02</v>
      </c>
      <c r="E3" s="153"/>
      <c r="F3" s="156"/>
      <c r="G3" s="156"/>
      <c r="H3" s="179"/>
      <c r="I3" s="179"/>
    </row>
    <row r="4" spans="1:9" ht="15.75" x14ac:dyDescent="0.25">
      <c r="A4" s="30" t="s">
        <v>103</v>
      </c>
      <c r="B4" s="31"/>
      <c r="C4" s="179"/>
      <c r="D4" s="180" t="s">
        <v>105</v>
      </c>
      <c r="E4" s="156"/>
      <c r="F4" s="156"/>
      <c r="G4" s="156"/>
      <c r="H4" s="179"/>
      <c r="I4" s="179"/>
    </row>
    <row r="5" spans="1:9" ht="15.75" x14ac:dyDescent="0.25">
      <c r="A5" s="181" t="s">
        <v>104</v>
      </c>
      <c r="B5" s="179"/>
      <c r="C5" s="182"/>
      <c r="D5" s="37" t="s">
        <v>106</v>
      </c>
      <c r="E5" s="42"/>
      <c r="F5" s="156"/>
      <c r="G5" s="156"/>
      <c r="H5" s="179"/>
      <c r="I5" s="179"/>
    </row>
    <row r="6" spans="1:9" ht="15.75" x14ac:dyDescent="0.25">
      <c r="A6" s="31" t="str">
        <f>'RECAP #9483.00'!B6</f>
        <v>Project Manager - Brad T.</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112</v>
      </c>
      <c r="B9" s="276">
        <v>45916</v>
      </c>
      <c r="C9" s="277" t="s">
        <v>109</v>
      </c>
      <c r="D9" s="278">
        <v>28802.14</v>
      </c>
      <c r="E9" s="279">
        <f>D9</f>
        <v>28802.14</v>
      </c>
      <c r="F9" s="280"/>
      <c r="G9" s="280"/>
      <c r="H9" s="280">
        <f>E9</f>
        <v>28802.14</v>
      </c>
      <c r="I9" s="281"/>
    </row>
    <row r="10" spans="1:9" s="282" customFormat="1" ht="12.75" customHeight="1" x14ac:dyDescent="0.25">
      <c r="A10" s="275" t="s">
        <v>290</v>
      </c>
      <c r="B10" s="283">
        <v>45947</v>
      </c>
      <c r="C10" s="277" t="s">
        <v>291</v>
      </c>
      <c r="D10" s="279"/>
      <c r="E10" s="279">
        <f t="shared" ref="E10:E21" si="0">E9+D10</f>
        <v>28802.14</v>
      </c>
      <c r="F10" s="284">
        <v>2681.52</v>
      </c>
      <c r="G10" s="280">
        <f t="shared" ref="G10:G21" si="1">G9+F10</f>
        <v>2681.52</v>
      </c>
      <c r="H10" s="280">
        <f t="shared" ref="H10:H21" si="2">H9-F10+D10</f>
        <v>26120.62</v>
      </c>
      <c r="I10" s="281"/>
    </row>
    <row r="11" spans="1:9" s="282" customFormat="1" ht="12.75" customHeight="1" x14ac:dyDescent="0.25">
      <c r="A11" s="275" t="s">
        <v>338</v>
      </c>
      <c r="B11" s="276">
        <v>45994</v>
      </c>
      <c r="C11" s="277" t="s">
        <v>339</v>
      </c>
      <c r="D11" s="279"/>
      <c r="E11" s="279">
        <f t="shared" si="0"/>
        <v>28802.14</v>
      </c>
      <c r="F11" s="284">
        <v>1660.86</v>
      </c>
      <c r="G11" s="280">
        <f t="shared" si="1"/>
        <v>4342.38</v>
      </c>
      <c r="H11" s="280">
        <f t="shared" si="2"/>
        <v>24459.759999999998</v>
      </c>
      <c r="I11" s="281"/>
    </row>
    <row r="12" spans="1:9" s="282" customFormat="1" ht="12.75" customHeight="1" x14ac:dyDescent="0.25">
      <c r="A12" s="275" t="s">
        <v>372</v>
      </c>
      <c r="B12" s="276">
        <v>46013</v>
      </c>
      <c r="C12" s="277" t="s">
        <v>373</v>
      </c>
      <c r="D12" s="279"/>
      <c r="E12" s="279">
        <f t="shared" si="0"/>
        <v>28802.14</v>
      </c>
      <c r="F12" s="284">
        <v>2057.7600000000002</v>
      </c>
      <c r="G12" s="280">
        <f t="shared" si="1"/>
        <v>6400.14</v>
      </c>
      <c r="H12" s="280">
        <f t="shared" si="2"/>
        <v>22402</v>
      </c>
      <c r="I12" s="281"/>
    </row>
    <row r="13" spans="1:9" s="282" customFormat="1" ht="12.75" customHeight="1" x14ac:dyDescent="0.25">
      <c r="A13" s="275" t="s">
        <v>466</v>
      </c>
      <c r="B13" s="276">
        <v>46048</v>
      </c>
      <c r="C13" s="277" t="s">
        <v>467</v>
      </c>
      <c r="D13" s="279"/>
      <c r="E13" s="279">
        <f t="shared" si="0"/>
        <v>28802.14</v>
      </c>
      <c r="F13" s="284">
        <v>3636.54</v>
      </c>
      <c r="G13" s="280">
        <f t="shared" si="1"/>
        <v>10036.68</v>
      </c>
      <c r="H13" s="280">
        <f t="shared" si="2"/>
        <v>18765.46</v>
      </c>
      <c r="I13" s="281"/>
    </row>
    <row r="14" spans="1:9" s="282" customFormat="1" ht="12.75" customHeight="1" x14ac:dyDescent="0.25">
      <c r="A14" s="275" t="s">
        <v>588</v>
      </c>
      <c r="B14" s="276">
        <v>46077</v>
      </c>
      <c r="C14" s="277" t="s">
        <v>589</v>
      </c>
      <c r="D14" s="279"/>
      <c r="E14" s="279">
        <f t="shared" si="0"/>
        <v>28802.14</v>
      </c>
      <c r="F14" s="284">
        <v>4439.1099999999997</v>
      </c>
      <c r="G14" s="280">
        <f t="shared" si="1"/>
        <v>14475.79</v>
      </c>
      <c r="H14" s="280">
        <f t="shared" si="2"/>
        <v>14326.349999999999</v>
      </c>
      <c r="I14" s="281"/>
    </row>
    <row r="15" spans="1:9" s="282" customFormat="1" ht="12.75" customHeight="1" x14ac:dyDescent="0.25">
      <c r="A15" s="275" t="s">
        <v>676</v>
      </c>
      <c r="B15" s="276">
        <v>46101</v>
      </c>
      <c r="C15" s="277" t="s">
        <v>677</v>
      </c>
      <c r="D15" s="279"/>
      <c r="E15" s="279">
        <f t="shared" si="0"/>
        <v>28802.14</v>
      </c>
      <c r="F15" s="284">
        <v>6508.76</v>
      </c>
      <c r="G15" s="280">
        <f t="shared" si="1"/>
        <v>20984.550000000003</v>
      </c>
      <c r="H15" s="280">
        <f t="shared" si="2"/>
        <v>7817.5899999999983</v>
      </c>
      <c r="I15" s="281"/>
    </row>
    <row r="16" spans="1:9" s="282" customFormat="1" ht="12.75" customHeight="1" x14ac:dyDescent="0.25">
      <c r="A16" s="275" t="s">
        <v>806</v>
      </c>
      <c r="B16" s="276">
        <v>46129</v>
      </c>
      <c r="C16" s="277" t="s">
        <v>807</v>
      </c>
      <c r="D16" s="279"/>
      <c r="E16" s="279">
        <f t="shared" si="0"/>
        <v>28802.14</v>
      </c>
      <c r="F16" s="284">
        <v>6453.33</v>
      </c>
      <c r="G16" s="280">
        <f t="shared" si="1"/>
        <v>27437.880000000005</v>
      </c>
      <c r="H16" s="280">
        <f t="shared" si="2"/>
        <v>1364.2599999999984</v>
      </c>
      <c r="I16" s="281"/>
    </row>
    <row r="17" spans="1:9" s="282" customFormat="1" ht="12.75" customHeight="1" x14ac:dyDescent="0.25">
      <c r="A17" s="275" t="s">
        <v>112</v>
      </c>
      <c r="B17" s="276">
        <v>46191</v>
      </c>
      <c r="C17" s="277" t="s">
        <v>468</v>
      </c>
      <c r="D17" s="278">
        <v>7232.56</v>
      </c>
      <c r="E17" s="279">
        <f t="shared" si="0"/>
        <v>36034.699999999997</v>
      </c>
      <c r="F17" s="284"/>
      <c r="G17" s="280">
        <f t="shared" si="1"/>
        <v>27437.880000000005</v>
      </c>
      <c r="H17" s="280">
        <f t="shared" si="2"/>
        <v>8596.82</v>
      </c>
      <c r="I17" s="281"/>
    </row>
    <row r="18" spans="1:9" s="282" customFormat="1" ht="12.75" customHeight="1" x14ac:dyDescent="0.25">
      <c r="A18" s="275" t="s">
        <v>1070</v>
      </c>
      <c r="B18" s="276">
        <v>46191</v>
      </c>
      <c r="C18" s="277" t="s">
        <v>1071</v>
      </c>
      <c r="D18" s="285">
        <v>-1158.26</v>
      </c>
      <c r="E18" s="279">
        <f t="shared" si="0"/>
        <v>34876.439999999995</v>
      </c>
      <c r="F18" s="284">
        <v>7438.56</v>
      </c>
      <c r="G18" s="280">
        <f t="shared" si="1"/>
        <v>34876.44</v>
      </c>
      <c r="H18" s="280">
        <f t="shared" si="2"/>
        <v>0</v>
      </c>
      <c r="I18" s="281"/>
    </row>
    <row r="19" spans="1:9" s="282" customFormat="1" ht="12.75" customHeight="1" x14ac:dyDescent="0.25">
      <c r="A19" s="275"/>
      <c r="B19" s="276"/>
      <c r="C19" s="277"/>
      <c r="D19" s="279"/>
      <c r="E19" s="279">
        <f t="shared" si="0"/>
        <v>34876.439999999995</v>
      </c>
      <c r="F19" s="280"/>
      <c r="G19" s="280">
        <f t="shared" si="1"/>
        <v>34876.44</v>
      </c>
      <c r="H19" s="280">
        <f t="shared" si="2"/>
        <v>0</v>
      </c>
      <c r="I19" s="281"/>
    </row>
    <row r="20" spans="1:9" s="282" customFormat="1" ht="12.75" customHeight="1" x14ac:dyDescent="0.25">
      <c r="A20" s="275"/>
      <c r="B20" s="276"/>
      <c r="C20" s="277"/>
      <c r="D20" s="279"/>
      <c r="E20" s="279">
        <f t="shared" si="0"/>
        <v>34876.439999999995</v>
      </c>
      <c r="F20" s="280"/>
      <c r="G20" s="280">
        <f t="shared" si="1"/>
        <v>34876.44</v>
      </c>
      <c r="H20" s="280">
        <f t="shared" si="2"/>
        <v>0</v>
      </c>
      <c r="I20" s="281"/>
    </row>
    <row r="21" spans="1:9" s="282" customFormat="1" ht="12.75" customHeight="1" x14ac:dyDescent="0.25">
      <c r="A21" s="275"/>
      <c r="B21" s="276"/>
      <c r="C21" s="286"/>
      <c r="D21" s="279"/>
      <c r="E21" s="279">
        <f t="shared" si="0"/>
        <v>34876.439999999995</v>
      </c>
      <c r="F21" s="280"/>
      <c r="G21" s="280">
        <f t="shared" si="1"/>
        <v>34876.44</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34876.439999999995</v>
      </c>
      <c r="E23" s="290"/>
      <c r="F23" s="290">
        <f>SUM(F9:F22)</f>
        <v>34876.44</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f>27302.14-18.76</f>
        <v>27283.38</v>
      </c>
      <c r="E26" s="292"/>
      <c r="F26" s="292">
        <f>2681.52+1609.36+2057.76+3636.54+4439.11+6405.76+6453.33</f>
        <v>27283.380000000005</v>
      </c>
      <c r="G26" s="292"/>
      <c r="H26" s="292">
        <f>D26-F26</f>
        <v>0</v>
      </c>
      <c r="I26" s="281"/>
    </row>
    <row r="27" spans="1:9" s="282" customFormat="1" ht="12.75" customHeight="1" x14ac:dyDescent="0.25">
      <c r="A27" s="275"/>
      <c r="B27" s="277"/>
      <c r="C27" s="287" t="s">
        <v>111</v>
      </c>
      <c r="D27" s="292">
        <f>1500-1139.5</f>
        <v>360.5</v>
      </c>
      <c r="E27" s="292"/>
      <c r="F27" s="292">
        <f>51.5+103+206</f>
        <v>360.5</v>
      </c>
      <c r="G27" s="292"/>
      <c r="H27" s="292">
        <f>D27-F27</f>
        <v>0</v>
      </c>
      <c r="I27" s="281"/>
    </row>
    <row r="28" spans="1:9" s="282" customFormat="1" ht="12.75" customHeight="1" x14ac:dyDescent="0.25">
      <c r="A28" s="275"/>
      <c r="B28" s="277"/>
      <c r="C28" s="287" t="s">
        <v>468</v>
      </c>
      <c r="D28" s="292">
        <v>7232.56</v>
      </c>
      <c r="E28" s="292"/>
      <c r="F28" s="292">
        <f>7232.56</f>
        <v>7232.56</v>
      </c>
      <c r="G28" s="292"/>
      <c r="H28" s="292">
        <f>D28-F28</f>
        <v>0</v>
      </c>
      <c r="I28" s="281"/>
    </row>
    <row r="29" spans="1:9" s="282" customFormat="1" ht="12.75" customHeight="1" thickBot="1" x14ac:dyDescent="0.3">
      <c r="A29" s="275"/>
      <c r="B29" s="277"/>
      <c r="C29" s="293" t="s">
        <v>67</v>
      </c>
      <c r="D29" s="290">
        <f>SUM(D26:D28)</f>
        <v>34876.44</v>
      </c>
      <c r="E29" s="294"/>
      <c r="F29" s="290">
        <f>SUM(F26:F28)</f>
        <v>34876.44</v>
      </c>
      <c r="G29" s="294"/>
      <c r="H29" s="290">
        <f>SUM(H26:H28)</f>
        <v>0</v>
      </c>
      <c r="I29" s="281"/>
    </row>
    <row r="30" spans="1:9" s="282" customFormat="1" ht="12.75" customHeight="1" thickTop="1" x14ac:dyDescent="0.25"/>
  </sheetData>
  <pageMargins left="0.25" right="0.25" top="0.95" bottom="0.75" header="0.09" footer="0.3"/>
  <pageSetup scale="7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2E33A-0DFA-408E-85AB-BA0EE084B577}">
  <sheetPr>
    <pageSetUpPr fitToPage="1"/>
  </sheetPr>
  <dimension ref="A1:J45"/>
  <sheetViews>
    <sheetView topLeftCell="A12" zoomScaleNormal="100" workbookViewId="0">
      <selection activeCell="E45" sqref="E45"/>
    </sheetView>
  </sheetViews>
  <sheetFormatPr defaultColWidth="11.42578125" defaultRowHeight="15" customHeight="1" x14ac:dyDescent="0.25"/>
  <cols>
    <col min="1" max="1" width="24.5703125" customWidth="1"/>
    <col min="2" max="3" width="9.42578125" customWidth="1"/>
    <col min="4" max="4" width="41.5703125" customWidth="1"/>
    <col min="5" max="5" width="12.5703125" customWidth="1"/>
    <col min="6" max="6" width="13.5703125" customWidth="1"/>
    <col min="7" max="7" width="12.42578125" customWidth="1"/>
    <col min="8" max="8" width="10.5703125" customWidth="1"/>
    <col min="9" max="9" width="12"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#9483.00'!B1</f>
        <v>DVA IVH Dack and Malloy Building Roof Replacements</v>
      </c>
      <c r="B1" s="3"/>
      <c r="C1" s="3"/>
      <c r="D1" s="4"/>
      <c r="E1" s="4"/>
      <c r="F1" s="4"/>
      <c r="G1" s="28"/>
      <c r="H1" s="28"/>
      <c r="I1" s="29"/>
      <c r="J1" s="29"/>
    </row>
    <row r="2" spans="1:10" ht="15.75" x14ac:dyDescent="0.25">
      <c r="A2" s="6" t="str">
        <f>'RECAP #9483.00'!B2</f>
        <v>Project # 9483.00</v>
      </c>
      <c r="B2" s="5"/>
      <c r="C2" s="5"/>
      <c r="D2" s="4"/>
      <c r="E2" s="4"/>
      <c r="F2" s="4"/>
      <c r="G2" s="28"/>
      <c r="H2" s="28"/>
      <c r="I2" s="29"/>
      <c r="J2" s="29"/>
    </row>
    <row r="3" spans="1:10" ht="15.75" x14ac:dyDescent="0.25">
      <c r="A3" s="7" t="str">
        <f>'RECAP #9483.00'!B3</f>
        <v>Program code 948300</v>
      </c>
      <c r="B3" s="5"/>
      <c r="C3" s="5"/>
      <c r="D3" s="4"/>
      <c r="E3" s="8" t="str">
        <f>'RECAP #9483.00'!E3</f>
        <v>Major Program 4D02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83</v>
      </c>
      <c r="F6" s="42"/>
      <c r="G6" s="43"/>
      <c r="H6" s="39"/>
      <c r="I6" s="35"/>
      <c r="J6" s="29"/>
    </row>
    <row r="7" spans="1:10" ht="15.75" x14ac:dyDescent="0.25">
      <c r="A7" s="11" t="str">
        <f>'RECAP #9483.00'!B6</f>
        <v>Project Manager - Brad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v>75000</v>
      </c>
      <c r="F9" s="233">
        <f>E9</f>
        <v>75000</v>
      </c>
      <c r="G9" s="234"/>
      <c r="H9" s="234"/>
      <c r="I9" s="234">
        <f>F9</f>
        <v>75000</v>
      </c>
      <c r="J9" s="235"/>
    </row>
    <row r="10" spans="1:10" s="223" customFormat="1" ht="12.75" customHeight="1" x14ac:dyDescent="0.25">
      <c r="A10" s="176" t="s">
        <v>87</v>
      </c>
      <c r="B10" s="177">
        <v>45876</v>
      </c>
      <c r="C10" s="178">
        <v>2507</v>
      </c>
      <c r="D10" s="148" t="s">
        <v>88</v>
      </c>
      <c r="E10" s="233"/>
      <c r="F10" s="233">
        <f t="shared" ref="F10:F41" si="0">F9+E10</f>
        <v>75000</v>
      </c>
      <c r="G10" s="237">
        <f>19.58+28.31</f>
        <v>47.89</v>
      </c>
      <c r="H10" s="234">
        <f t="shared" ref="H10:H41" si="1">H9+G10</f>
        <v>47.89</v>
      </c>
      <c r="I10" s="234">
        <f t="shared" ref="I10:I41" si="2">I9-G10+E10</f>
        <v>74952.11</v>
      </c>
      <c r="J10" s="235"/>
    </row>
    <row r="11" spans="1:10" s="223" customFormat="1" ht="12.75" customHeight="1" x14ac:dyDescent="0.25">
      <c r="A11" s="176" t="s">
        <v>87</v>
      </c>
      <c r="B11" s="177">
        <v>45876</v>
      </c>
      <c r="C11" s="178">
        <v>9500</v>
      </c>
      <c r="D11" s="149" t="s">
        <v>89</v>
      </c>
      <c r="E11" s="233"/>
      <c r="F11" s="233">
        <f t="shared" si="0"/>
        <v>75000</v>
      </c>
      <c r="G11" s="237">
        <f>35+497.2</f>
        <v>532.20000000000005</v>
      </c>
      <c r="H11" s="234">
        <f t="shared" si="1"/>
        <v>580.09</v>
      </c>
      <c r="I11" s="234">
        <f t="shared" si="2"/>
        <v>74419.91</v>
      </c>
      <c r="J11" s="235"/>
    </row>
    <row r="12" spans="1:10" s="223" customFormat="1" ht="12.75" customHeight="1" x14ac:dyDescent="0.25">
      <c r="A12" s="176" t="s">
        <v>123</v>
      </c>
      <c r="B12" s="177">
        <v>45908</v>
      </c>
      <c r="C12" s="178">
        <v>2507</v>
      </c>
      <c r="D12" s="148" t="s">
        <v>124</v>
      </c>
      <c r="E12" s="233"/>
      <c r="F12" s="233">
        <f t="shared" si="0"/>
        <v>75000</v>
      </c>
      <c r="G12" s="237">
        <v>94.58</v>
      </c>
      <c r="H12" s="234">
        <f t="shared" si="1"/>
        <v>674.67000000000007</v>
      </c>
      <c r="I12" s="234">
        <f t="shared" si="2"/>
        <v>74325.33</v>
      </c>
      <c r="J12" s="235"/>
    </row>
    <row r="13" spans="1:10" s="223" customFormat="1" ht="12.75" customHeight="1" x14ac:dyDescent="0.25">
      <c r="A13" s="176" t="s">
        <v>123</v>
      </c>
      <c r="B13" s="177">
        <v>45908</v>
      </c>
      <c r="C13" s="178">
        <v>9500</v>
      </c>
      <c r="D13" s="149" t="s">
        <v>125</v>
      </c>
      <c r="E13" s="233"/>
      <c r="F13" s="233">
        <f t="shared" si="0"/>
        <v>75000</v>
      </c>
      <c r="G13" s="237">
        <v>732.6</v>
      </c>
      <c r="H13" s="234">
        <f t="shared" si="1"/>
        <v>1407.27</v>
      </c>
      <c r="I13" s="234">
        <f t="shared" si="2"/>
        <v>73592.73</v>
      </c>
      <c r="J13" s="235"/>
    </row>
    <row r="14" spans="1:10" s="223" customFormat="1" ht="12.75" customHeight="1" x14ac:dyDescent="0.25">
      <c r="A14" s="176" t="s">
        <v>260</v>
      </c>
      <c r="B14" s="177">
        <v>45937</v>
      </c>
      <c r="C14" s="178" t="s">
        <v>261</v>
      </c>
      <c r="D14" s="148" t="s">
        <v>262</v>
      </c>
      <c r="E14" s="233"/>
      <c r="F14" s="233">
        <f t="shared" si="0"/>
        <v>75000</v>
      </c>
      <c r="G14" s="237">
        <v>100.03</v>
      </c>
      <c r="H14" s="234">
        <f t="shared" si="1"/>
        <v>1507.3</v>
      </c>
      <c r="I14" s="234">
        <f t="shared" si="2"/>
        <v>73492.7</v>
      </c>
      <c r="J14" s="235"/>
    </row>
    <row r="15" spans="1:10" s="223" customFormat="1" ht="12.75" customHeight="1" x14ac:dyDescent="0.25">
      <c r="A15" s="176" t="s">
        <v>260</v>
      </c>
      <c r="B15" s="177">
        <v>45937</v>
      </c>
      <c r="C15" s="178">
        <v>9500</v>
      </c>
      <c r="D15" s="149" t="s">
        <v>263</v>
      </c>
      <c r="E15" s="233"/>
      <c r="F15" s="233">
        <f t="shared" si="0"/>
        <v>75000</v>
      </c>
      <c r="G15" s="237">
        <v>522.79999999999995</v>
      </c>
      <c r="H15" s="234">
        <f t="shared" si="1"/>
        <v>2030.1</v>
      </c>
      <c r="I15" s="234">
        <f t="shared" si="2"/>
        <v>72969.899999999994</v>
      </c>
      <c r="J15" s="235"/>
    </row>
    <row r="16" spans="1:10" s="223" customFormat="1" ht="12.75" customHeight="1" x14ac:dyDescent="0.25">
      <c r="A16" s="176" t="s">
        <v>314</v>
      </c>
      <c r="B16" s="177">
        <v>45968</v>
      </c>
      <c r="C16" s="178" t="s">
        <v>261</v>
      </c>
      <c r="D16" s="148" t="s">
        <v>315</v>
      </c>
      <c r="E16" s="233"/>
      <c r="F16" s="233">
        <f t="shared" si="0"/>
        <v>75000</v>
      </c>
      <c r="G16" s="237">
        <v>42.41</v>
      </c>
      <c r="H16" s="234">
        <f t="shared" si="1"/>
        <v>2072.5099999999998</v>
      </c>
      <c r="I16" s="234">
        <f t="shared" si="2"/>
        <v>72927.489999999991</v>
      </c>
      <c r="J16" s="235"/>
    </row>
    <row r="17" spans="1:10" s="223" customFormat="1" ht="12.75" customHeight="1" x14ac:dyDescent="0.25">
      <c r="A17" s="176" t="s">
        <v>314</v>
      </c>
      <c r="B17" s="177">
        <v>45968</v>
      </c>
      <c r="C17" s="178">
        <v>9500</v>
      </c>
      <c r="D17" s="149" t="s">
        <v>316</v>
      </c>
      <c r="E17" s="233"/>
      <c r="F17" s="233">
        <f t="shared" si="0"/>
        <v>75000</v>
      </c>
      <c r="G17" s="237">
        <v>417.3</v>
      </c>
      <c r="H17" s="234">
        <f t="shared" si="1"/>
        <v>2489.81</v>
      </c>
      <c r="I17" s="234">
        <f t="shared" si="2"/>
        <v>72510.189999999988</v>
      </c>
      <c r="J17" s="235"/>
    </row>
    <row r="18" spans="1:10" s="223" customFormat="1" ht="12.75" customHeight="1" x14ac:dyDescent="0.2">
      <c r="A18" s="70" t="s">
        <v>364</v>
      </c>
      <c r="B18" s="50">
        <v>45996</v>
      </c>
      <c r="C18" s="53" t="s">
        <v>261</v>
      </c>
      <c r="D18" s="144" t="s">
        <v>365</v>
      </c>
      <c r="E18" s="233"/>
      <c r="F18" s="233">
        <f t="shared" si="0"/>
        <v>75000</v>
      </c>
      <c r="G18" s="237">
        <v>131.63999999999999</v>
      </c>
      <c r="H18" s="234">
        <f t="shared" si="1"/>
        <v>2621.45</v>
      </c>
      <c r="I18" s="234">
        <f t="shared" si="2"/>
        <v>72378.549999999988</v>
      </c>
      <c r="J18" s="235"/>
    </row>
    <row r="19" spans="1:10" s="223" customFormat="1" ht="12.75" customHeight="1" x14ac:dyDescent="0.2">
      <c r="A19" s="70" t="s">
        <v>364</v>
      </c>
      <c r="B19" s="50">
        <v>45996</v>
      </c>
      <c r="C19" s="268">
        <v>9500</v>
      </c>
      <c r="D19" s="66" t="s">
        <v>366</v>
      </c>
      <c r="E19" s="233"/>
      <c r="F19" s="233">
        <f t="shared" si="0"/>
        <v>75000</v>
      </c>
      <c r="G19" s="237">
        <v>838.8</v>
      </c>
      <c r="H19" s="234">
        <f t="shared" si="1"/>
        <v>3460.25</v>
      </c>
      <c r="I19" s="234">
        <f t="shared" si="2"/>
        <v>71539.749999999985</v>
      </c>
      <c r="J19" s="235"/>
    </row>
    <row r="20" spans="1:10" s="223" customFormat="1" ht="12.75" customHeight="1" x14ac:dyDescent="0.2">
      <c r="A20" s="70" t="s">
        <v>423</v>
      </c>
      <c r="B20" s="50">
        <v>46030</v>
      </c>
      <c r="C20" s="53" t="s">
        <v>261</v>
      </c>
      <c r="D20" s="144" t="s">
        <v>424</v>
      </c>
      <c r="E20" s="233"/>
      <c r="F20" s="233">
        <f t="shared" si="0"/>
        <v>75000</v>
      </c>
      <c r="G20" s="237">
        <v>84.69</v>
      </c>
      <c r="H20" s="234">
        <f t="shared" si="1"/>
        <v>3544.94</v>
      </c>
      <c r="I20" s="234">
        <f t="shared" si="2"/>
        <v>71455.059999999983</v>
      </c>
      <c r="J20" s="235"/>
    </row>
    <row r="21" spans="1:10" s="223" customFormat="1" ht="12.75" customHeight="1" x14ac:dyDescent="0.2">
      <c r="A21" s="70" t="s">
        <v>423</v>
      </c>
      <c r="B21" s="50">
        <v>46030</v>
      </c>
      <c r="C21" s="268">
        <v>9500</v>
      </c>
      <c r="D21" s="66" t="s">
        <v>425</v>
      </c>
      <c r="E21" s="233"/>
      <c r="F21" s="233">
        <f t="shared" si="0"/>
        <v>75000</v>
      </c>
      <c r="G21" s="237">
        <v>961.7</v>
      </c>
      <c r="H21" s="234">
        <f t="shared" si="1"/>
        <v>4506.6400000000003</v>
      </c>
      <c r="I21" s="234">
        <f t="shared" si="2"/>
        <v>70493.359999999986</v>
      </c>
      <c r="J21" s="235"/>
    </row>
    <row r="22" spans="1:10" s="223" customFormat="1" ht="12.75" customHeight="1" x14ac:dyDescent="0.2">
      <c r="A22" s="70" t="s">
        <v>548</v>
      </c>
      <c r="B22" s="50">
        <v>46062</v>
      </c>
      <c r="C22" s="53" t="s">
        <v>261</v>
      </c>
      <c r="D22" s="144" t="s">
        <v>549</v>
      </c>
      <c r="E22" s="233"/>
      <c r="F22" s="233">
        <f t="shared" si="0"/>
        <v>75000</v>
      </c>
      <c r="G22" s="237">
        <v>114.24</v>
      </c>
      <c r="H22" s="234">
        <f t="shared" si="1"/>
        <v>4620.88</v>
      </c>
      <c r="I22" s="234">
        <f t="shared" si="2"/>
        <v>70379.119999999981</v>
      </c>
      <c r="J22" s="235"/>
    </row>
    <row r="23" spans="1:10" s="223" customFormat="1" ht="12.75" customHeight="1" x14ac:dyDescent="0.2">
      <c r="A23" s="70" t="s">
        <v>548</v>
      </c>
      <c r="B23" s="50">
        <v>46062</v>
      </c>
      <c r="C23" s="268">
        <v>9500</v>
      </c>
      <c r="D23" s="66" t="s">
        <v>550</v>
      </c>
      <c r="E23" s="233"/>
      <c r="F23" s="233">
        <f t="shared" si="0"/>
        <v>75000</v>
      </c>
      <c r="G23" s="237">
        <v>1416.7</v>
      </c>
      <c r="H23" s="234">
        <f t="shared" si="1"/>
        <v>6037.58</v>
      </c>
      <c r="I23" s="234">
        <f t="shared" si="2"/>
        <v>68962.419999999984</v>
      </c>
      <c r="J23" s="235"/>
    </row>
    <row r="24" spans="1:10" s="223" customFormat="1" ht="12.75" customHeight="1" x14ac:dyDescent="0.2">
      <c r="A24" s="70" t="s">
        <v>644</v>
      </c>
      <c r="B24" s="50">
        <v>46090</v>
      </c>
      <c r="C24" s="53" t="s">
        <v>261</v>
      </c>
      <c r="D24" s="144" t="s">
        <v>645</v>
      </c>
      <c r="E24" s="233"/>
      <c r="F24" s="233">
        <f t="shared" si="0"/>
        <v>75000</v>
      </c>
      <c r="G24" s="237">
        <v>97.23</v>
      </c>
      <c r="H24" s="234">
        <f t="shared" si="1"/>
        <v>6134.8099999999995</v>
      </c>
      <c r="I24" s="234">
        <f t="shared" si="2"/>
        <v>68865.189999999988</v>
      </c>
      <c r="J24" s="235"/>
    </row>
    <row r="25" spans="1:10" s="223" customFormat="1" ht="12.75" customHeight="1" x14ac:dyDescent="0.2">
      <c r="A25" s="70" t="s">
        <v>644</v>
      </c>
      <c r="B25" s="50">
        <v>46090</v>
      </c>
      <c r="C25" s="268">
        <v>9500</v>
      </c>
      <c r="D25" s="66" t="s">
        <v>646</v>
      </c>
      <c r="E25" s="233"/>
      <c r="F25" s="233">
        <f t="shared" si="0"/>
        <v>75000</v>
      </c>
      <c r="G25" s="237">
        <v>1120.8</v>
      </c>
      <c r="H25" s="234">
        <f t="shared" si="1"/>
        <v>7255.61</v>
      </c>
      <c r="I25" s="234">
        <f t="shared" si="2"/>
        <v>67744.389999999985</v>
      </c>
      <c r="J25" s="235"/>
    </row>
    <row r="26" spans="1:10" s="223" customFormat="1" ht="12.75" customHeight="1" x14ac:dyDescent="0.25">
      <c r="A26" s="70" t="s">
        <v>744</v>
      </c>
      <c r="B26" s="50">
        <v>46118</v>
      </c>
      <c r="C26" s="53" t="s">
        <v>261</v>
      </c>
      <c r="D26" s="144" t="s">
        <v>745</v>
      </c>
      <c r="E26"/>
      <c r="F26" s="233">
        <f t="shared" si="0"/>
        <v>75000</v>
      </c>
      <c r="G26" s="237">
        <v>217.75</v>
      </c>
      <c r="H26" s="234">
        <f t="shared" si="1"/>
        <v>7473.36</v>
      </c>
      <c r="I26" s="234">
        <f t="shared" si="2"/>
        <v>67526.639999999985</v>
      </c>
      <c r="J26" s="235"/>
    </row>
    <row r="27" spans="1:10" s="223" customFormat="1" ht="12.75" customHeight="1" x14ac:dyDescent="0.25">
      <c r="A27" s="70" t="s">
        <v>744</v>
      </c>
      <c r="B27" s="50">
        <v>46118</v>
      </c>
      <c r="C27" s="268">
        <v>9500</v>
      </c>
      <c r="D27" s="66" t="s">
        <v>746</v>
      </c>
      <c r="E27"/>
      <c r="F27" s="233">
        <f t="shared" si="0"/>
        <v>75000</v>
      </c>
      <c r="G27" s="237">
        <v>1762.4</v>
      </c>
      <c r="H27" s="234">
        <f t="shared" si="1"/>
        <v>9235.76</v>
      </c>
      <c r="I27" s="234">
        <f t="shared" si="2"/>
        <v>65764.239999999991</v>
      </c>
      <c r="J27" s="235"/>
    </row>
    <row r="28" spans="1:10" s="223" customFormat="1" ht="12.75" customHeight="1" x14ac:dyDescent="0.25">
      <c r="A28" s="70" t="s">
        <v>869</v>
      </c>
      <c r="B28" s="50">
        <v>46149</v>
      </c>
      <c r="C28" s="53" t="s">
        <v>261</v>
      </c>
      <c r="D28" s="144" t="s">
        <v>870</v>
      </c>
      <c r="E28"/>
      <c r="F28" s="233">
        <f t="shared" si="0"/>
        <v>75000</v>
      </c>
      <c r="G28" s="237">
        <v>155.82</v>
      </c>
      <c r="H28" s="234">
        <f t="shared" si="1"/>
        <v>9391.58</v>
      </c>
      <c r="I28" s="234">
        <f t="shared" si="2"/>
        <v>65608.419999999984</v>
      </c>
      <c r="J28" s="235"/>
    </row>
    <row r="29" spans="1:10" s="223" customFormat="1" ht="12.75" customHeight="1" x14ac:dyDescent="0.25">
      <c r="A29" s="70" t="s">
        <v>869</v>
      </c>
      <c r="B29" s="50">
        <v>46149</v>
      </c>
      <c r="C29" s="268">
        <v>9500</v>
      </c>
      <c r="D29" s="66" t="s">
        <v>871</v>
      </c>
      <c r="E29"/>
      <c r="F29" s="233">
        <f t="shared" si="0"/>
        <v>75000</v>
      </c>
      <c r="G29" s="237">
        <v>1623.5</v>
      </c>
      <c r="H29" s="234">
        <f t="shared" si="1"/>
        <v>11015.08</v>
      </c>
      <c r="I29" s="234">
        <f t="shared" si="2"/>
        <v>63984.919999999984</v>
      </c>
      <c r="J29" s="235"/>
    </row>
    <row r="30" spans="1:10" s="223" customFormat="1" ht="12.75" customHeight="1" x14ac:dyDescent="0.25">
      <c r="A30" s="70" t="s">
        <v>984</v>
      </c>
      <c r="B30" s="50">
        <v>46181</v>
      </c>
      <c r="C30" s="53" t="s">
        <v>261</v>
      </c>
      <c r="D30" s="144" t="s">
        <v>985</v>
      </c>
      <c r="E30"/>
      <c r="F30" s="233">
        <f t="shared" si="0"/>
        <v>75000</v>
      </c>
      <c r="G30" s="237">
        <v>158.08000000000001</v>
      </c>
      <c r="H30" s="234">
        <f t="shared" si="1"/>
        <v>11173.16</v>
      </c>
      <c r="I30" s="234">
        <f t="shared" si="2"/>
        <v>63826.839999999982</v>
      </c>
      <c r="J30" s="235"/>
    </row>
    <row r="31" spans="1:10" s="223" customFormat="1" ht="12.75" customHeight="1" x14ac:dyDescent="0.25">
      <c r="A31" s="70" t="s">
        <v>984</v>
      </c>
      <c r="B31" s="50">
        <v>46181</v>
      </c>
      <c r="C31" s="268">
        <v>9500</v>
      </c>
      <c r="D31" s="66" t="s">
        <v>986</v>
      </c>
      <c r="E31"/>
      <c r="F31" s="233">
        <f t="shared" si="0"/>
        <v>75000</v>
      </c>
      <c r="G31" s="237">
        <v>1931.8</v>
      </c>
      <c r="H31" s="234">
        <f t="shared" si="1"/>
        <v>13104.96</v>
      </c>
      <c r="I31" s="234">
        <f t="shared" si="2"/>
        <v>61895.039999999979</v>
      </c>
      <c r="J31" s="235"/>
    </row>
    <row r="32" spans="1:10" s="223" customFormat="1" ht="12.75" customHeight="1" x14ac:dyDescent="0.25">
      <c r="A32" s="70" t="s">
        <v>1186</v>
      </c>
      <c r="B32" s="50">
        <v>46211</v>
      </c>
      <c r="C32" s="53" t="s">
        <v>261</v>
      </c>
      <c r="D32" s="144" t="s">
        <v>1187</v>
      </c>
      <c r="E32"/>
      <c r="F32" s="233">
        <f t="shared" si="0"/>
        <v>75000</v>
      </c>
      <c r="G32" s="237">
        <v>130.66</v>
      </c>
      <c r="H32" s="234">
        <f t="shared" si="1"/>
        <v>13235.619999999999</v>
      </c>
      <c r="I32" s="234">
        <f t="shared" si="2"/>
        <v>61764.379999999976</v>
      </c>
      <c r="J32" s="235"/>
    </row>
    <row r="33" spans="1:10" s="223" customFormat="1" ht="12.75" customHeight="1" x14ac:dyDescent="0.25">
      <c r="A33" s="70" t="s">
        <v>1186</v>
      </c>
      <c r="B33" s="50">
        <v>46211</v>
      </c>
      <c r="C33" s="268">
        <v>9500</v>
      </c>
      <c r="D33" s="66" t="s">
        <v>1188</v>
      </c>
      <c r="E33"/>
      <c r="F33" s="233">
        <f t="shared" si="0"/>
        <v>75000</v>
      </c>
      <c r="G33" s="237">
        <v>1502.1</v>
      </c>
      <c r="H33" s="234">
        <f t="shared" si="1"/>
        <v>14737.72</v>
      </c>
      <c r="I33" s="234">
        <f t="shared" si="2"/>
        <v>60262.279999999977</v>
      </c>
      <c r="J33" s="235"/>
    </row>
    <row r="34" spans="1:10" s="223" customFormat="1" ht="12.75" customHeight="1" x14ac:dyDescent="0.25">
      <c r="A34" s="70" t="s">
        <v>1265</v>
      </c>
      <c r="B34" s="50">
        <v>46218</v>
      </c>
      <c r="C34" s="53" t="s">
        <v>261</v>
      </c>
      <c r="D34" s="144" t="s">
        <v>1266</v>
      </c>
      <c r="E34"/>
      <c r="F34" s="233">
        <f t="shared" si="0"/>
        <v>75000</v>
      </c>
      <c r="G34" s="237">
        <v>52.26</v>
      </c>
      <c r="H34" s="234">
        <f t="shared" si="1"/>
        <v>14789.98</v>
      </c>
      <c r="I34" s="234">
        <f t="shared" si="2"/>
        <v>60210.019999999975</v>
      </c>
      <c r="J34" s="235"/>
    </row>
    <row r="35" spans="1:10" s="223" customFormat="1" ht="12.75" customHeight="1" x14ac:dyDescent="0.25">
      <c r="A35" s="70" t="s">
        <v>1436</v>
      </c>
      <c r="B35" s="365">
        <v>46241</v>
      </c>
      <c r="C35" s="53" t="s">
        <v>261</v>
      </c>
      <c r="D35" s="144" t="s">
        <v>1437</v>
      </c>
      <c r="E35"/>
      <c r="F35" s="233">
        <f t="shared" si="0"/>
        <v>75000</v>
      </c>
      <c r="G35" s="237">
        <v>196.95</v>
      </c>
      <c r="H35" s="234">
        <f t="shared" si="1"/>
        <v>14986.93</v>
      </c>
      <c r="I35" s="234">
        <f t="shared" si="2"/>
        <v>60013.069999999978</v>
      </c>
      <c r="J35" s="235"/>
    </row>
    <row r="36" spans="1:10" s="223" customFormat="1" ht="12.75" customHeight="1" x14ac:dyDescent="0.25">
      <c r="A36" s="70" t="s">
        <v>1436</v>
      </c>
      <c r="B36" s="365">
        <v>46241</v>
      </c>
      <c r="C36" s="268">
        <v>9500</v>
      </c>
      <c r="D36" s="66" t="s">
        <v>1438</v>
      </c>
      <c r="E36"/>
      <c r="F36" s="233">
        <f t="shared" si="0"/>
        <v>75000</v>
      </c>
      <c r="G36" s="237">
        <v>2116.3000000000002</v>
      </c>
      <c r="H36" s="234">
        <f t="shared" si="1"/>
        <v>17103.23</v>
      </c>
      <c r="I36" s="234">
        <f t="shared" si="2"/>
        <v>57896.769999999975</v>
      </c>
      <c r="J36" s="235"/>
    </row>
    <row r="37" spans="1:10" s="223" customFormat="1" ht="12.75" customHeight="1" x14ac:dyDescent="0.25">
      <c r="A37" s="70" t="s">
        <v>1531</v>
      </c>
      <c r="B37" s="365">
        <v>46272</v>
      </c>
      <c r="C37" s="53" t="s">
        <v>261</v>
      </c>
      <c r="D37" s="144" t="s">
        <v>1532</v>
      </c>
      <c r="E37"/>
      <c r="F37" s="233">
        <f t="shared" si="0"/>
        <v>75000</v>
      </c>
      <c r="G37" s="237">
        <v>248.27</v>
      </c>
      <c r="H37" s="234">
        <f t="shared" si="1"/>
        <v>17351.5</v>
      </c>
      <c r="I37" s="234">
        <f t="shared" si="2"/>
        <v>57648.499999999978</v>
      </c>
      <c r="J37" s="235"/>
    </row>
    <row r="38" spans="1:10" s="223" customFormat="1" ht="12.75" customHeight="1" x14ac:dyDescent="0.2">
      <c r="A38" s="70" t="s">
        <v>1531</v>
      </c>
      <c r="B38" s="365">
        <v>46272</v>
      </c>
      <c r="C38" s="268">
        <v>9500</v>
      </c>
      <c r="D38" s="66" t="s">
        <v>1533</v>
      </c>
      <c r="E38" s="233"/>
      <c r="F38" s="233">
        <f t="shared" si="0"/>
        <v>75000</v>
      </c>
      <c r="G38" s="237">
        <v>2420</v>
      </c>
      <c r="H38" s="234">
        <f t="shared" si="1"/>
        <v>19771.5</v>
      </c>
      <c r="I38" s="234">
        <f t="shared" si="2"/>
        <v>55228.499999999978</v>
      </c>
      <c r="J38" s="235"/>
    </row>
    <row r="39" spans="1:10" s="223" customFormat="1" ht="12.75" customHeight="1" x14ac:dyDescent="0.2">
      <c r="A39" s="70"/>
      <c r="B39" s="365"/>
      <c r="C39" s="268"/>
      <c r="D39" s="66"/>
      <c r="E39" s="233"/>
      <c r="F39" s="233">
        <f t="shared" si="0"/>
        <v>75000</v>
      </c>
      <c r="G39" s="238"/>
      <c r="H39" s="234">
        <f t="shared" si="1"/>
        <v>19771.5</v>
      </c>
      <c r="I39" s="234">
        <f t="shared" si="2"/>
        <v>55228.499999999978</v>
      </c>
      <c r="J39" s="235"/>
    </row>
    <row r="40" spans="1:10" s="223" customFormat="1" ht="12.75" customHeight="1" x14ac:dyDescent="0.2">
      <c r="A40" s="70"/>
      <c r="B40" s="365"/>
      <c r="C40" s="268"/>
      <c r="D40" s="66"/>
      <c r="E40" s="233"/>
      <c r="F40" s="233">
        <f t="shared" si="0"/>
        <v>75000</v>
      </c>
      <c r="G40" s="238"/>
      <c r="H40" s="234">
        <f t="shared" si="1"/>
        <v>19771.5</v>
      </c>
      <c r="I40" s="234">
        <f t="shared" si="2"/>
        <v>55228.499999999978</v>
      </c>
      <c r="J40" s="235"/>
    </row>
    <row r="41" spans="1:10" s="223" customFormat="1" ht="12.75" customHeight="1" x14ac:dyDescent="0.2">
      <c r="A41" s="70"/>
      <c r="B41" s="365"/>
      <c r="C41" s="268"/>
      <c r="D41" s="66"/>
      <c r="E41" s="233"/>
      <c r="F41" s="233">
        <f t="shared" si="0"/>
        <v>75000</v>
      </c>
      <c r="G41" s="238"/>
      <c r="H41" s="234">
        <f t="shared" si="1"/>
        <v>19771.5</v>
      </c>
      <c r="I41" s="234">
        <f t="shared" si="2"/>
        <v>55228.499999999978</v>
      </c>
      <c r="J41" s="235"/>
    </row>
    <row r="42" spans="1:10" s="223" customFormat="1" ht="12.75" customHeight="1" x14ac:dyDescent="0.25">
      <c r="A42" s="230"/>
      <c r="B42" s="231"/>
      <c r="C42" s="178"/>
      <c r="D42" s="240"/>
      <c r="E42" s="234"/>
      <c r="F42" s="234"/>
      <c r="G42" s="234"/>
      <c r="H42" s="234"/>
      <c r="I42" s="234"/>
      <c r="J42" s="235"/>
    </row>
    <row r="43" spans="1:10" s="223" customFormat="1" ht="12.75" customHeight="1" thickBot="1" x14ac:dyDescent="0.3">
      <c r="A43" s="230"/>
      <c r="B43" s="243"/>
      <c r="C43" s="178"/>
      <c r="D43" s="244" t="s">
        <v>24</v>
      </c>
      <c r="E43" s="245">
        <f>SUM(E9:E42)</f>
        <v>75000</v>
      </c>
      <c r="F43" s="245"/>
      <c r="G43" s="245">
        <f>SUM(G9:G42)</f>
        <v>19771.5</v>
      </c>
      <c r="H43" s="245"/>
      <c r="I43" s="245">
        <f>E43-G43</f>
        <v>55228.5</v>
      </c>
      <c r="J43" s="235"/>
    </row>
    <row r="44" spans="1:10" s="223" customFormat="1" ht="12.75" customHeight="1" thickTop="1" x14ac:dyDescent="0.25"/>
    <row r="45" spans="1:10" s="223"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FF836-0520-4C24-97ED-8EDAF4C462D5}">
  <sheetPr>
    <pageSetUpPr fitToPage="1"/>
  </sheetPr>
  <dimension ref="A1:H89"/>
  <sheetViews>
    <sheetView zoomScaleNormal="100" workbookViewId="0">
      <selection activeCell="G27" sqref="G27"/>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0.85546875" customWidth="1"/>
    <col min="6" max="6" width="14.425781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#9483.00'!B1</f>
        <v>DVA IVH Dack and Malloy Building Roof Replacements</v>
      </c>
      <c r="B1" s="3"/>
      <c r="C1" s="3"/>
      <c r="D1" s="3"/>
      <c r="E1" s="4"/>
      <c r="F1" s="4"/>
      <c r="G1" s="4"/>
      <c r="H1" s="28"/>
    </row>
    <row r="2" spans="1:8" ht="15.75" x14ac:dyDescent="0.25">
      <c r="A2" s="6" t="str">
        <f>'RECAP #9483.00'!B2</f>
        <v>Project # 9483.00</v>
      </c>
      <c r="B2" s="5"/>
      <c r="C2" s="5"/>
      <c r="D2" s="5"/>
      <c r="E2" s="4"/>
      <c r="F2" s="4"/>
      <c r="G2" s="4"/>
      <c r="H2" s="28"/>
    </row>
    <row r="3" spans="1:8" ht="15.75" x14ac:dyDescent="0.25">
      <c r="A3" s="7" t="str">
        <f>'RECAP #9483.00'!B3</f>
        <v>Program code 948300</v>
      </c>
      <c r="B3" s="5"/>
      <c r="C3" s="5"/>
      <c r="D3" s="5"/>
      <c r="E3" s="8" t="str">
        <f>'RECAP #9483.00'!E3</f>
        <v>Major Program 4D02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113</v>
      </c>
      <c r="F6" s="35"/>
      <c r="G6" s="38"/>
      <c r="H6" s="39"/>
    </row>
    <row r="7" spans="1:8" ht="15.75" x14ac:dyDescent="0.25">
      <c r="A7" s="11" t="str">
        <f>'RECAP #9483.00'!B6</f>
        <v>Project Manager - Brad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654</v>
      </c>
      <c r="B9" s="177">
        <v>46098</v>
      </c>
      <c r="C9" s="241" t="s">
        <v>361</v>
      </c>
      <c r="D9" s="241" t="s">
        <v>362</v>
      </c>
      <c r="E9" s="70" t="s">
        <v>652</v>
      </c>
      <c r="F9" s="259" t="s">
        <v>653</v>
      </c>
      <c r="G9" s="237">
        <v>2712.5</v>
      </c>
      <c r="H9" s="260">
        <f>G9</f>
        <v>2712.5</v>
      </c>
    </row>
    <row r="10" spans="1:8" s="223" customFormat="1" ht="12.75" customHeight="1" x14ac:dyDescent="0.25">
      <c r="A10" s="176" t="s">
        <v>699</v>
      </c>
      <c r="B10" s="177">
        <v>46105</v>
      </c>
      <c r="C10" s="241" t="s">
        <v>361</v>
      </c>
      <c r="D10" s="241" t="s">
        <v>362</v>
      </c>
      <c r="E10" s="258" t="s">
        <v>698</v>
      </c>
      <c r="F10" s="272" t="s">
        <v>697</v>
      </c>
      <c r="G10" s="237">
        <v>2100.15</v>
      </c>
      <c r="H10" s="260">
        <f>H9+G10</f>
        <v>4812.6499999999996</v>
      </c>
    </row>
    <row r="11" spans="1:8" s="223" customFormat="1" ht="12.75" customHeight="1" x14ac:dyDescent="0.25">
      <c r="A11" s="176" t="s">
        <v>828</v>
      </c>
      <c r="B11" s="177">
        <v>46142</v>
      </c>
      <c r="C11" s="241">
        <v>9500</v>
      </c>
      <c r="D11" s="241" t="s">
        <v>362</v>
      </c>
      <c r="E11" s="176" t="s">
        <v>359</v>
      </c>
      <c r="F11" s="272" t="s">
        <v>829</v>
      </c>
      <c r="G11" s="237">
        <v>396.44</v>
      </c>
      <c r="H11" s="260">
        <f t="shared" ref="H11:H20" si="0">H10+G11</f>
        <v>5209.0899999999992</v>
      </c>
    </row>
    <row r="12" spans="1:8" s="223" customFormat="1" ht="12.75" customHeight="1" x14ac:dyDescent="0.25">
      <c r="A12" s="241" t="s">
        <v>2</v>
      </c>
      <c r="B12" s="177" t="s">
        <v>2</v>
      </c>
      <c r="C12" s="177"/>
      <c r="D12" s="177"/>
      <c r="E12" s="258" t="s">
        <v>2</v>
      </c>
      <c r="F12" s="252"/>
      <c r="G12" s="260"/>
      <c r="H12" s="260">
        <f t="shared" si="0"/>
        <v>5209.0899999999992</v>
      </c>
    </row>
    <row r="13" spans="1:8" s="223" customFormat="1" ht="12.75" customHeight="1" x14ac:dyDescent="0.25">
      <c r="A13" s="241" t="s">
        <v>2</v>
      </c>
      <c r="B13" s="177" t="s">
        <v>2</v>
      </c>
      <c r="C13" s="177"/>
      <c r="D13" s="177"/>
      <c r="E13" s="258" t="s">
        <v>2</v>
      </c>
      <c r="F13" s="252"/>
      <c r="G13" s="260"/>
      <c r="H13" s="260">
        <f t="shared" si="0"/>
        <v>5209.0899999999992</v>
      </c>
    </row>
    <row r="14" spans="1:8" s="223" customFormat="1" ht="12.75" customHeight="1" x14ac:dyDescent="0.25">
      <c r="A14" s="241"/>
      <c r="B14" s="177"/>
      <c r="C14" s="177"/>
      <c r="D14" s="177"/>
      <c r="E14" s="258"/>
      <c r="F14" s="252"/>
      <c r="G14" s="260"/>
      <c r="H14" s="260">
        <f t="shared" si="0"/>
        <v>5209.0899999999992</v>
      </c>
    </row>
    <row r="15" spans="1:8" s="223" customFormat="1" ht="12.75" customHeight="1" x14ac:dyDescent="0.25">
      <c r="A15" s="241"/>
      <c r="B15" s="177"/>
      <c r="C15" s="177"/>
      <c r="D15" s="177"/>
      <c r="E15" s="261"/>
      <c r="F15" s="252"/>
      <c r="G15" s="260"/>
      <c r="H15" s="260">
        <f t="shared" si="0"/>
        <v>5209.0899999999992</v>
      </c>
    </row>
    <row r="16" spans="1:8" s="223" customFormat="1" ht="12.75" customHeight="1" x14ac:dyDescent="0.25">
      <c r="A16" s="241"/>
      <c r="B16" s="177"/>
      <c r="C16" s="177"/>
      <c r="D16" s="177"/>
      <c r="E16" s="258"/>
      <c r="F16" s="252"/>
      <c r="G16" s="260"/>
      <c r="H16" s="260">
        <f t="shared" si="0"/>
        <v>5209.0899999999992</v>
      </c>
    </row>
    <row r="17" spans="1:8" s="223" customFormat="1" ht="12.75" customHeight="1" x14ac:dyDescent="0.25">
      <c r="A17" s="230"/>
      <c r="B17" s="177"/>
      <c r="C17" s="177"/>
      <c r="D17" s="177"/>
      <c r="E17" s="258"/>
      <c r="F17" s="252"/>
      <c r="G17" s="260"/>
      <c r="H17" s="260">
        <f t="shared" si="0"/>
        <v>5209.0899999999992</v>
      </c>
    </row>
    <row r="18" spans="1:8" s="223" customFormat="1" ht="12.75" customHeight="1" x14ac:dyDescent="0.25">
      <c r="A18" s="230"/>
      <c r="B18" s="177"/>
      <c r="C18" s="177"/>
      <c r="D18" s="177"/>
      <c r="E18" s="258"/>
      <c r="F18" s="252"/>
      <c r="G18" s="260"/>
      <c r="H18" s="260">
        <f t="shared" si="0"/>
        <v>5209.0899999999992</v>
      </c>
    </row>
    <row r="19" spans="1:8" s="223" customFormat="1" ht="12.75" customHeight="1" x14ac:dyDescent="0.25">
      <c r="A19" s="230"/>
      <c r="B19" s="177"/>
      <c r="C19" s="177"/>
      <c r="D19" s="177"/>
      <c r="E19" s="258"/>
      <c r="F19" s="252"/>
      <c r="G19" s="260"/>
      <c r="H19" s="260">
        <f t="shared" si="0"/>
        <v>5209.0899999999992</v>
      </c>
    </row>
    <row r="20" spans="1:8" s="223" customFormat="1" ht="12.75" customHeight="1" x14ac:dyDescent="0.25">
      <c r="A20" s="230"/>
      <c r="B20" s="177"/>
      <c r="C20" s="177"/>
      <c r="D20" s="177"/>
      <c r="E20" s="258"/>
      <c r="F20" s="252"/>
      <c r="G20" s="260"/>
      <c r="H20" s="260">
        <f t="shared" si="0"/>
        <v>5209.0899999999992</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5209.0899999999992</v>
      </c>
      <c r="H22" s="265"/>
    </row>
    <row r="23" spans="1:8" s="223" customFormat="1" ht="12.75" customHeight="1" thickTop="1" x14ac:dyDescent="0.25"/>
    <row r="24" spans="1:8" s="223" customFormat="1" ht="12.75" customHeight="1" x14ac:dyDescent="0.25"/>
    <row r="25" spans="1:8" s="223" customFormat="1" ht="12.75" customHeight="1" x14ac:dyDescent="0.25"/>
    <row r="26" spans="1:8" s="223" customFormat="1" ht="12.75" customHeight="1" x14ac:dyDescent="0.25"/>
    <row r="27" spans="1:8" s="223" customFormat="1" ht="12.75" customHeight="1" x14ac:dyDescent="0.25"/>
    <row r="28" spans="1:8" s="223" customFormat="1" ht="12.75" customHeight="1" x14ac:dyDescent="0.25"/>
    <row r="29" spans="1:8" s="223" customFormat="1" ht="12.75" customHeight="1" x14ac:dyDescent="0.25"/>
    <row r="30" spans="1:8" s="223" customFormat="1" ht="12.75" customHeight="1" x14ac:dyDescent="0.25"/>
    <row r="31" spans="1:8" s="223" customFormat="1" ht="12.75" customHeight="1" x14ac:dyDescent="0.25"/>
    <row r="32" spans="1:8" s="223" customFormat="1" ht="12.75" customHeight="1" x14ac:dyDescent="0.25"/>
    <row r="33" s="223" customFormat="1" ht="12.75" customHeight="1" x14ac:dyDescent="0.25"/>
    <row r="34" s="223" customFormat="1" ht="12.75" customHeight="1" x14ac:dyDescent="0.25"/>
    <row r="35" s="223" customFormat="1" ht="12.75" customHeight="1" x14ac:dyDescent="0.25"/>
    <row r="36" s="223" customFormat="1" ht="12.75" customHeight="1" x14ac:dyDescent="0.25"/>
    <row r="37" s="223" customFormat="1" ht="12.75" customHeight="1" x14ac:dyDescent="0.25"/>
    <row r="38" s="223" customFormat="1" ht="12.75" customHeight="1" x14ac:dyDescent="0.25"/>
    <row r="39" s="223" customFormat="1" ht="12.75" customHeight="1" x14ac:dyDescent="0.25"/>
    <row r="40" s="223" customFormat="1" ht="12.75" customHeight="1" x14ac:dyDescent="0.25"/>
    <row r="41" s="223" customFormat="1" ht="12.75" customHeight="1" x14ac:dyDescent="0.25"/>
    <row r="42" s="223" customFormat="1" ht="12.75" customHeight="1" x14ac:dyDescent="0.25"/>
    <row r="43" s="223" customFormat="1" ht="12.75" customHeight="1" x14ac:dyDescent="0.25"/>
    <row r="44" s="223" customFormat="1" ht="12.75" customHeight="1" x14ac:dyDescent="0.25"/>
    <row r="45" s="223" customFormat="1" ht="12.75" customHeight="1" x14ac:dyDescent="0.25"/>
    <row r="46" s="223" customFormat="1" ht="12.75" customHeight="1" x14ac:dyDescent="0.25"/>
    <row r="47" s="223" customFormat="1" ht="12.75" customHeight="1" x14ac:dyDescent="0.25"/>
    <row r="48" s="223" customFormat="1" ht="12.75" customHeight="1" x14ac:dyDescent="0.25"/>
    <row r="49" s="223" customFormat="1" ht="12.75" customHeight="1" x14ac:dyDescent="0.25"/>
    <row r="50" s="223" customFormat="1" ht="12.75" customHeight="1" x14ac:dyDescent="0.25"/>
    <row r="51" s="223" customFormat="1" ht="12.75" customHeight="1" x14ac:dyDescent="0.25"/>
    <row r="52" s="223" customFormat="1" ht="12.75" customHeight="1" x14ac:dyDescent="0.25"/>
    <row r="53" s="223" customFormat="1" ht="12.75" customHeight="1" x14ac:dyDescent="0.25"/>
    <row r="54" s="223" customFormat="1" ht="12.75" customHeight="1" x14ac:dyDescent="0.25"/>
    <row r="55" s="223" customFormat="1" ht="12.75" customHeight="1" x14ac:dyDescent="0.25"/>
    <row r="56" s="223" customFormat="1" ht="12.75" customHeight="1" x14ac:dyDescent="0.25"/>
    <row r="57" s="223" customFormat="1" ht="12.75" customHeight="1" x14ac:dyDescent="0.25"/>
    <row r="58" s="223" customFormat="1" ht="12.75" customHeight="1" x14ac:dyDescent="0.25"/>
    <row r="59" s="223" customFormat="1" ht="12.75" customHeight="1" x14ac:dyDescent="0.25"/>
    <row r="60" s="223" customFormat="1" ht="12.75" customHeight="1" x14ac:dyDescent="0.25"/>
    <row r="61" s="223" customFormat="1" ht="12.75" customHeight="1" x14ac:dyDescent="0.25"/>
    <row r="62" s="223" customFormat="1" ht="12.75" customHeight="1" x14ac:dyDescent="0.25"/>
    <row r="63" s="223" customFormat="1" ht="12.75" customHeight="1" x14ac:dyDescent="0.25"/>
    <row r="64" s="223" customFormat="1" ht="12.75" customHeight="1" x14ac:dyDescent="0.25"/>
    <row r="65" s="223" customFormat="1" ht="12.75" customHeight="1" x14ac:dyDescent="0.25"/>
    <row r="66" s="223" customFormat="1" ht="12.75" customHeight="1" x14ac:dyDescent="0.25"/>
    <row r="67" s="223" customFormat="1" ht="12.75" customHeight="1" x14ac:dyDescent="0.25"/>
    <row r="68" s="223" customFormat="1" ht="12.75" customHeight="1" x14ac:dyDescent="0.25"/>
    <row r="69" s="223" customFormat="1" ht="12.75" customHeight="1" x14ac:dyDescent="0.25"/>
    <row r="70" s="223" customFormat="1" ht="12.75" customHeight="1" x14ac:dyDescent="0.25"/>
    <row r="71" s="223" customFormat="1" ht="12.75" customHeight="1" x14ac:dyDescent="0.25"/>
    <row r="72" s="223" customFormat="1" ht="12.75" customHeight="1" x14ac:dyDescent="0.25"/>
    <row r="73" s="223" customFormat="1" ht="12.75" customHeight="1" x14ac:dyDescent="0.25"/>
    <row r="74" s="223" customFormat="1" ht="12.75" customHeight="1" x14ac:dyDescent="0.25"/>
    <row r="75" s="223" customFormat="1" ht="12.75" customHeight="1" x14ac:dyDescent="0.25"/>
    <row r="76" s="223" customFormat="1" ht="12.75" customHeight="1" x14ac:dyDescent="0.25"/>
    <row r="77" s="223" customFormat="1" ht="12.75" customHeight="1" x14ac:dyDescent="0.25"/>
    <row r="78" s="223" customFormat="1" ht="12.75" customHeight="1" x14ac:dyDescent="0.25"/>
    <row r="79" s="223" customFormat="1" ht="12.75" customHeight="1" x14ac:dyDescent="0.25"/>
    <row r="80" s="223" customFormat="1" ht="12.75" customHeight="1" x14ac:dyDescent="0.25"/>
    <row r="81" s="223" customFormat="1" ht="12.75" customHeight="1" x14ac:dyDescent="0.25"/>
    <row r="82" s="223" customFormat="1" ht="12.75" customHeight="1" x14ac:dyDescent="0.25"/>
    <row r="83" s="223" customFormat="1" ht="12.75" customHeight="1" x14ac:dyDescent="0.25"/>
    <row r="84" s="223" customFormat="1" ht="12.75" customHeight="1" x14ac:dyDescent="0.25"/>
    <row r="85" s="223" customFormat="1" ht="12.75" customHeight="1" x14ac:dyDescent="0.25"/>
    <row r="86" s="223" customFormat="1" ht="12.75" customHeight="1" x14ac:dyDescent="0.25"/>
    <row r="87" s="223" customFormat="1" ht="12.75" customHeight="1" x14ac:dyDescent="0.25"/>
    <row r="88" s="223" customFormat="1" ht="12.75" customHeight="1" x14ac:dyDescent="0.25"/>
    <row r="89" s="223" customFormat="1" ht="12.75" customHeight="1" x14ac:dyDescent="0.25"/>
  </sheetData>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A6B1A-9E0D-418C-B9CB-E4246D8A8F51}">
  <sheetPr>
    <pageSetUpPr fitToPage="1"/>
  </sheetPr>
  <dimension ref="A1:I31"/>
  <sheetViews>
    <sheetView zoomScaleNormal="100" workbookViewId="0">
      <selection activeCell="J19" sqref="J19"/>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425781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#9483.00'!B1</f>
        <v>DVA IVH Dack and Malloy Building Roof Replacements</v>
      </c>
      <c r="B1" s="3"/>
      <c r="C1" s="4"/>
      <c r="D1" s="4"/>
      <c r="E1" s="4"/>
      <c r="F1" s="28"/>
      <c r="G1" s="28"/>
      <c r="H1" s="29"/>
      <c r="I1" s="29"/>
    </row>
    <row r="2" spans="1:9" ht="15.75" x14ac:dyDescent="0.25">
      <c r="A2" s="6" t="str">
        <f>'RECAP #9483.00'!B2</f>
        <v>Project # 9483.00</v>
      </c>
      <c r="B2" s="5"/>
      <c r="C2" s="4"/>
      <c r="D2" s="4"/>
      <c r="E2" s="4"/>
      <c r="F2" s="28"/>
      <c r="G2" s="28"/>
      <c r="H2" s="29"/>
      <c r="I2" s="29"/>
    </row>
    <row r="3" spans="1:9" ht="15.75" x14ac:dyDescent="0.25">
      <c r="A3" s="7" t="str">
        <f>'RECAP #9483.00'!B3</f>
        <v>Program code 948300</v>
      </c>
      <c r="B3" s="5"/>
      <c r="C3" s="4"/>
      <c r="D3" s="8" t="str">
        <f>'RECAP #9483.00'!E3</f>
        <v>Major Program 4D02</v>
      </c>
      <c r="E3" s="4"/>
      <c r="F3" s="28"/>
      <c r="G3" s="28"/>
      <c r="H3" s="29"/>
      <c r="I3" s="29"/>
    </row>
    <row r="4" spans="1:9" ht="15.75" x14ac:dyDescent="0.25">
      <c r="A4" s="30" t="s">
        <v>327</v>
      </c>
      <c r="B4" s="31"/>
      <c r="C4" s="32"/>
      <c r="D4" s="33" t="s">
        <v>328</v>
      </c>
      <c r="E4" s="28"/>
      <c r="F4" s="28"/>
      <c r="G4" s="28"/>
      <c r="H4" s="29"/>
      <c r="I4" s="29"/>
    </row>
    <row r="5" spans="1:9" ht="15.75" x14ac:dyDescent="0.25">
      <c r="A5" s="34" t="s">
        <v>115</v>
      </c>
      <c r="B5" s="35"/>
      <c r="C5" s="36"/>
      <c r="D5" s="37" t="s">
        <v>329</v>
      </c>
      <c r="E5" s="38"/>
      <c r="F5" s="39"/>
      <c r="G5" s="39"/>
      <c r="H5" s="35"/>
      <c r="I5" s="29"/>
    </row>
    <row r="6" spans="1:9" ht="15.75" x14ac:dyDescent="0.25">
      <c r="A6" s="11" t="str">
        <f>'RECAP #9483.00'!B6</f>
        <v>Project Manager - Brad T.</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330</v>
      </c>
      <c r="B9" s="177">
        <v>45985</v>
      </c>
      <c r="C9" s="231" t="s">
        <v>109</v>
      </c>
      <c r="D9" s="232">
        <v>35000</v>
      </c>
      <c r="E9" s="233">
        <f>D9</f>
        <v>35000</v>
      </c>
      <c r="F9" s="234"/>
      <c r="G9" s="234"/>
      <c r="H9" s="234">
        <f>E9</f>
        <v>35000</v>
      </c>
      <c r="I9" s="235"/>
    </row>
    <row r="10" spans="1:9" s="223" customFormat="1" ht="12.75" customHeight="1" x14ac:dyDescent="0.25">
      <c r="A10" s="230" t="s">
        <v>742</v>
      </c>
      <c r="B10" s="236">
        <v>46119</v>
      </c>
      <c r="C10" s="231" t="s">
        <v>743</v>
      </c>
      <c r="D10" s="233"/>
      <c r="E10" s="233">
        <f t="shared" ref="E10:E21" si="0">E9+D10</f>
        <v>35000</v>
      </c>
      <c r="F10" s="237">
        <v>22000</v>
      </c>
      <c r="G10" s="234">
        <f t="shared" ref="G10:G21" si="1">G9+F10</f>
        <v>22000</v>
      </c>
      <c r="H10" s="234">
        <f t="shared" ref="H10:H21" si="2">H9-F10+D10</f>
        <v>13000</v>
      </c>
      <c r="I10" s="235"/>
    </row>
    <row r="11" spans="1:9" s="223" customFormat="1" ht="12.75" customHeight="1" x14ac:dyDescent="0.25">
      <c r="A11" s="328" t="s">
        <v>1177</v>
      </c>
      <c r="B11" s="329">
        <v>46210</v>
      </c>
      <c r="C11" s="330" t="s">
        <v>1178</v>
      </c>
      <c r="D11" s="331"/>
      <c r="E11" s="331">
        <f t="shared" si="0"/>
        <v>35000</v>
      </c>
      <c r="F11" s="338">
        <v>5525</v>
      </c>
      <c r="G11" s="332">
        <f t="shared" si="1"/>
        <v>27525</v>
      </c>
      <c r="H11" s="332">
        <f t="shared" si="2"/>
        <v>7475</v>
      </c>
      <c r="I11" s="334" t="s">
        <v>1285</v>
      </c>
    </row>
    <row r="12" spans="1:9" s="223" customFormat="1" ht="12.75" customHeight="1" x14ac:dyDescent="0.25">
      <c r="A12" s="230" t="s">
        <v>1289</v>
      </c>
      <c r="B12" s="177">
        <v>46225</v>
      </c>
      <c r="C12" s="231" t="s">
        <v>1286</v>
      </c>
      <c r="D12" s="232">
        <v>0</v>
      </c>
      <c r="E12" s="233">
        <f t="shared" si="0"/>
        <v>35000</v>
      </c>
      <c r="F12" s="238"/>
      <c r="G12" s="234">
        <f t="shared" si="1"/>
        <v>27525</v>
      </c>
      <c r="H12" s="234">
        <f t="shared" si="2"/>
        <v>7475</v>
      </c>
      <c r="I12" s="235"/>
    </row>
    <row r="13" spans="1:9" s="223" customFormat="1" ht="12.75" customHeight="1" x14ac:dyDescent="0.25">
      <c r="A13" s="230" t="s">
        <v>1536</v>
      </c>
      <c r="B13" s="177">
        <v>46274</v>
      </c>
      <c r="C13" s="231" t="s">
        <v>1537</v>
      </c>
      <c r="D13" s="233"/>
      <c r="E13" s="233">
        <f t="shared" si="0"/>
        <v>35000</v>
      </c>
      <c r="F13" s="237">
        <v>1725</v>
      </c>
      <c r="G13" s="234">
        <f t="shared" si="1"/>
        <v>29250</v>
      </c>
      <c r="H13" s="234">
        <f t="shared" si="2"/>
        <v>5750</v>
      </c>
      <c r="I13" s="235"/>
    </row>
    <row r="14" spans="1:9" s="223" customFormat="1" ht="12.75" customHeight="1" x14ac:dyDescent="0.25">
      <c r="A14" s="230"/>
      <c r="B14" s="177"/>
      <c r="C14" s="231"/>
      <c r="D14" s="233"/>
      <c r="E14" s="233">
        <f t="shared" si="0"/>
        <v>35000</v>
      </c>
      <c r="F14" s="234"/>
      <c r="G14" s="234">
        <f t="shared" si="1"/>
        <v>29250</v>
      </c>
      <c r="H14" s="234">
        <f t="shared" si="2"/>
        <v>5750</v>
      </c>
      <c r="I14" s="235"/>
    </row>
    <row r="15" spans="1:9" s="223" customFormat="1" ht="12.75" customHeight="1" x14ac:dyDescent="0.25">
      <c r="A15" s="230"/>
      <c r="B15" s="177"/>
      <c r="C15" s="231"/>
      <c r="D15" s="233"/>
      <c r="E15" s="233">
        <f t="shared" si="0"/>
        <v>35000</v>
      </c>
      <c r="F15" s="238"/>
      <c r="G15" s="234">
        <f t="shared" si="1"/>
        <v>29250</v>
      </c>
      <c r="H15" s="234">
        <f t="shared" si="2"/>
        <v>5750</v>
      </c>
      <c r="I15" s="235"/>
    </row>
    <row r="16" spans="1:9" s="223" customFormat="1" ht="12.75" customHeight="1" x14ac:dyDescent="0.25">
      <c r="A16" s="230"/>
      <c r="B16" s="177"/>
      <c r="C16" s="231"/>
      <c r="D16" s="233"/>
      <c r="E16" s="233">
        <f t="shared" si="0"/>
        <v>35000</v>
      </c>
      <c r="F16" s="238"/>
      <c r="G16" s="234">
        <f t="shared" si="1"/>
        <v>29250</v>
      </c>
      <c r="H16" s="234">
        <f t="shared" si="2"/>
        <v>5750</v>
      </c>
      <c r="I16" s="235"/>
    </row>
    <row r="17" spans="1:9" s="223" customFormat="1" ht="12.75" customHeight="1" x14ac:dyDescent="0.25">
      <c r="A17" s="230"/>
      <c r="B17" s="177"/>
      <c r="C17" s="231"/>
      <c r="D17" s="233"/>
      <c r="E17" s="233">
        <f t="shared" si="0"/>
        <v>35000</v>
      </c>
      <c r="F17" s="238"/>
      <c r="G17" s="234">
        <f t="shared" si="1"/>
        <v>29250</v>
      </c>
      <c r="H17" s="234">
        <f t="shared" si="2"/>
        <v>5750</v>
      </c>
      <c r="I17" s="235"/>
    </row>
    <row r="18" spans="1:9" s="223" customFormat="1" ht="12.75" customHeight="1" x14ac:dyDescent="0.25">
      <c r="A18" s="230"/>
      <c r="B18" s="177"/>
      <c r="C18" s="231"/>
      <c r="D18" s="233"/>
      <c r="E18" s="233">
        <f t="shared" si="0"/>
        <v>35000</v>
      </c>
      <c r="F18" s="238"/>
      <c r="G18" s="234">
        <f t="shared" si="1"/>
        <v>29250</v>
      </c>
      <c r="H18" s="234">
        <f t="shared" si="2"/>
        <v>5750</v>
      </c>
      <c r="I18" s="235"/>
    </row>
    <row r="19" spans="1:9" s="223" customFormat="1" ht="12.75" customHeight="1" x14ac:dyDescent="0.25">
      <c r="A19" s="230"/>
      <c r="B19" s="177"/>
      <c r="C19" s="231"/>
      <c r="D19" s="233"/>
      <c r="E19" s="233">
        <f t="shared" si="0"/>
        <v>35000</v>
      </c>
      <c r="F19" s="234"/>
      <c r="G19" s="234">
        <f t="shared" si="1"/>
        <v>29250</v>
      </c>
      <c r="H19" s="234">
        <f t="shared" si="2"/>
        <v>5750</v>
      </c>
      <c r="I19" s="235"/>
    </row>
    <row r="20" spans="1:9" s="223" customFormat="1" ht="12.75" customHeight="1" x14ac:dyDescent="0.25">
      <c r="A20" s="230"/>
      <c r="B20" s="177"/>
      <c r="C20" s="231"/>
      <c r="D20" s="233"/>
      <c r="E20" s="233">
        <f t="shared" si="0"/>
        <v>35000</v>
      </c>
      <c r="F20" s="234"/>
      <c r="G20" s="234">
        <f t="shared" si="1"/>
        <v>29250</v>
      </c>
      <c r="H20" s="234">
        <f t="shared" si="2"/>
        <v>5750</v>
      </c>
      <c r="I20" s="235"/>
    </row>
    <row r="21" spans="1:9" s="223" customFormat="1" ht="12.75" customHeight="1" x14ac:dyDescent="0.25">
      <c r="A21" s="230"/>
      <c r="B21" s="177"/>
      <c r="C21" s="239"/>
      <c r="D21" s="233"/>
      <c r="E21" s="233">
        <f t="shared" si="0"/>
        <v>35000</v>
      </c>
      <c r="F21" s="234"/>
      <c r="G21" s="234">
        <f t="shared" si="1"/>
        <v>29250</v>
      </c>
      <c r="H21" s="234">
        <f t="shared" si="2"/>
        <v>5750</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35000</v>
      </c>
      <c r="E23" s="245"/>
      <c r="F23" s="245">
        <f>SUM(F9:F22)</f>
        <v>29250</v>
      </c>
      <c r="G23" s="245"/>
      <c r="H23" s="245">
        <f>D23-F23</f>
        <v>5750</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t="s">
        <v>331</v>
      </c>
      <c r="D26" s="234">
        <v>10000</v>
      </c>
      <c r="E26" s="234"/>
      <c r="F26" s="234">
        <f>10000</f>
        <v>10000</v>
      </c>
      <c r="G26" s="234"/>
      <c r="H26" s="234">
        <f>D26-F26</f>
        <v>0</v>
      </c>
      <c r="I26" s="235"/>
    </row>
    <row r="27" spans="1:9" s="223" customFormat="1" ht="12.75" customHeight="1" x14ac:dyDescent="0.25">
      <c r="A27" s="230"/>
      <c r="B27" s="231"/>
      <c r="C27" s="240" t="s">
        <v>332</v>
      </c>
      <c r="D27" s="234">
        <v>12000</v>
      </c>
      <c r="E27" s="234"/>
      <c r="F27" s="234">
        <f>12000</f>
        <v>12000</v>
      </c>
      <c r="G27" s="234"/>
      <c r="H27" s="234">
        <f>D27-F27</f>
        <v>0</v>
      </c>
      <c r="I27" s="235"/>
    </row>
    <row r="28" spans="1:9" s="223" customFormat="1" ht="12.75" customHeight="1" x14ac:dyDescent="0.25">
      <c r="A28" s="230"/>
      <c r="B28" s="231"/>
      <c r="C28" s="253" t="s">
        <v>333</v>
      </c>
      <c r="D28" s="254">
        <v>1500</v>
      </c>
      <c r="E28" s="254"/>
      <c r="F28" s="254">
        <v>1500</v>
      </c>
      <c r="G28" s="254"/>
      <c r="H28" s="234">
        <f>D28-F28</f>
        <v>0</v>
      </c>
      <c r="I28" s="235"/>
    </row>
    <row r="29" spans="1:9" s="223" customFormat="1" ht="12.75" customHeight="1" x14ac:dyDescent="0.25">
      <c r="A29" s="230"/>
      <c r="B29" s="231"/>
      <c r="C29" s="253" t="s">
        <v>334</v>
      </c>
      <c r="D29" s="254">
        <v>11500</v>
      </c>
      <c r="E29" s="254"/>
      <c r="F29" s="254">
        <f>4025+1725</f>
        <v>5750</v>
      </c>
      <c r="G29" s="254"/>
      <c r="H29" s="234">
        <f>D29-F29</f>
        <v>5750</v>
      </c>
      <c r="I29" s="235"/>
    </row>
    <row r="30" spans="1:9" s="223" customFormat="1" ht="12.75" customHeight="1" thickBot="1" x14ac:dyDescent="0.3">
      <c r="A30" s="230"/>
      <c r="B30" s="231"/>
      <c r="C30" s="255" t="s">
        <v>67</v>
      </c>
      <c r="D30" s="256">
        <f>SUM(D26:D29)</f>
        <v>35000</v>
      </c>
      <c r="E30" s="257"/>
      <c r="F30" s="256">
        <f>SUM(F26:F29)</f>
        <v>29250</v>
      </c>
      <c r="G30" s="257"/>
      <c r="H30" s="256">
        <f>SUM(H26:H29)</f>
        <v>5750</v>
      </c>
      <c r="I30" s="235"/>
    </row>
    <row r="31" spans="1:9" s="223" customFormat="1" ht="12.75" customHeight="1" thickTop="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AF4D-E679-4451-A360-6364B722E627}">
  <sheetPr>
    <pageSetUpPr fitToPage="1"/>
  </sheetPr>
  <dimension ref="A1:J31"/>
  <sheetViews>
    <sheetView topLeftCell="A3" zoomScaleNormal="100" workbookViewId="0">
      <selection activeCell="F16" sqref="F1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3.85546875" customWidth="1"/>
    <col min="7" max="7" width="12.140625" customWidth="1"/>
    <col min="8" max="8" width="14" bestFit="1" customWidth="1"/>
    <col min="9" max="9" width="13.42578125"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#9483.00'!B1</f>
        <v>DVA IVH Dack and Malloy Building Roof Replacements</v>
      </c>
      <c r="B1" s="3"/>
      <c r="C1" s="4"/>
      <c r="D1" s="4"/>
      <c r="E1" s="4"/>
      <c r="F1" s="28"/>
      <c r="G1" s="28"/>
      <c r="H1" s="29"/>
      <c r="I1" s="29"/>
    </row>
    <row r="2" spans="1:10" ht="15.75" x14ac:dyDescent="0.25">
      <c r="A2" s="6" t="str">
        <f>'RECAP #9483.00'!B2</f>
        <v>Project # 9483.00</v>
      </c>
      <c r="B2" s="5"/>
      <c r="C2" s="4"/>
      <c r="D2" s="4"/>
      <c r="E2" s="4"/>
      <c r="F2" s="28"/>
      <c r="G2" s="28"/>
      <c r="H2" s="29"/>
      <c r="I2" s="29"/>
    </row>
    <row r="3" spans="1:10" ht="15.75" x14ac:dyDescent="0.25">
      <c r="A3" s="7" t="str">
        <f>'RECAP #9483.00'!B3</f>
        <v>Program code 948300</v>
      </c>
      <c r="B3" s="5"/>
      <c r="C3" s="4"/>
      <c r="D3" s="8" t="str">
        <f>'RECAP #9483.00'!E3</f>
        <v>Major Program 4D02</v>
      </c>
      <c r="E3" s="4"/>
      <c r="F3" s="28"/>
      <c r="G3" s="28"/>
      <c r="H3" s="29"/>
      <c r="I3" s="29"/>
    </row>
    <row r="4" spans="1:10" ht="15.75" x14ac:dyDescent="0.25">
      <c r="A4" s="30" t="s">
        <v>846</v>
      </c>
      <c r="B4" s="31"/>
      <c r="C4" s="32"/>
      <c r="D4" s="33" t="s">
        <v>847</v>
      </c>
      <c r="E4" s="28"/>
      <c r="F4" s="28"/>
      <c r="G4" s="28"/>
      <c r="H4" s="29"/>
      <c r="I4" s="29"/>
    </row>
    <row r="5" spans="1:10" ht="15.75" x14ac:dyDescent="0.25">
      <c r="A5" s="34" t="s">
        <v>104</v>
      </c>
      <c r="B5" s="35"/>
      <c r="C5" s="36"/>
      <c r="D5" s="37" t="s">
        <v>329</v>
      </c>
      <c r="E5" s="38"/>
      <c r="F5" s="39"/>
      <c r="G5" s="39"/>
      <c r="H5" s="35"/>
      <c r="I5" s="29"/>
    </row>
    <row r="6" spans="1:10" ht="15.75" x14ac:dyDescent="0.25">
      <c r="A6" s="11" t="str">
        <f>'RECAP #9483.00'!B6</f>
        <v>Project Manager - Brad T.</v>
      </c>
      <c r="B6" s="11"/>
      <c r="C6" s="40"/>
      <c r="D6" s="41" t="s">
        <v>480</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89" t="s">
        <v>529</v>
      </c>
    </row>
    <row r="9" spans="1:10" s="223" customFormat="1" ht="12.75" customHeight="1" x14ac:dyDescent="0.25">
      <c r="A9" s="230" t="s">
        <v>848</v>
      </c>
      <c r="B9" s="177">
        <v>46148</v>
      </c>
      <c r="C9" s="231" t="s">
        <v>109</v>
      </c>
      <c r="D9" s="232">
        <v>2287400</v>
      </c>
      <c r="E9" s="233">
        <f>D9</f>
        <v>2287400</v>
      </c>
      <c r="F9" s="234"/>
      <c r="G9" s="234"/>
      <c r="H9" s="234">
        <f>E9</f>
        <v>2287400</v>
      </c>
      <c r="I9" s="235"/>
    </row>
    <row r="10" spans="1:10" s="223" customFormat="1" ht="12.75" customHeight="1" x14ac:dyDescent="0.25">
      <c r="A10" s="328" t="s">
        <v>1273</v>
      </c>
      <c r="B10" s="335">
        <v>46220</v>
      </c>
      <c r="C10" s="330" t="s">
        <v>1274</v>
      </c>
      <c r="D10" s="331"/>
      <c r="E10" s="331">
        <f t="shared" ref="E10:E21" si="0">E9+D10</f>
        <v>2287400</v>
      </c>
      <c r="F10" s="338">
        <v>766970</v>
      </c>
      <c r="G10" s="332">
        <f t="shared" ref="G10:G21" si="1">G9+F10</f>
        <v>766970</v>
      </c>
      <c r="H10" s="332">
        <f t="shared" ref="H10:H21" si="2">H9-F10+D10</f>
        <v>1520430</v>
      </c>
      <c r="I10" s="336">
        <v>23720.720000000001</v>
      </c>
      <c r="J10" s="334" t="s">
        <v>1285</v>
      </c>
    </row>
    <row r="11" spans="1:10" s="223" customFormat="1" ht="12.75" customHeight="1" x14ac:dyDescent="0.25">
      <c r="A11" s="230" t="s">
        <v>1290</v>
      </c>
      <c r="B11" s="177">
        <v>46225</v>
      </c>
      <c r="C11" s="231" t="s">
        <v>1286</v>
      </c>
      <c r="D11" s="232">
        <v>0</v>
      </c>
      <c r="E11" s="233">
        <f t="shared" si="0"/>
        <v>2287400</v>
      </c>
      <c r="F11" s="237"/>
      <c r="G11" s="234">
        <f t="shared" si="1"/>
        <v>766970</v>
      </c>
      <c r="H11" s="234">
        <f t="shared" si="2"/>
        <v>1520430</v>
      </c>
      <c r="I11" s="297"/>
    </row>
    <row r="12" spans="1:10" s="223" customFormat="1" ht="12.75" customHeight="1" x14ac:dyDescent="0.25">
      <c r="A12" s="230" t="s">
        <v>1491</v>
      </c>
      <c r="B12" s="177">
        <v>46262</v>
      </c>
      <c r="C12" s="231" t="s">
        <v>1492</v>
      </c>
      <c r="D12" s="233"/>
      <c r="E12" s="233">
        <f t="shared" si="0"/>
        <v>2287400</v>
      </c>
      <c r="F12" s="237">
        <v>584243.30000000005</v>
      </c>
      <c r="G12" s="234">
        <f t="shared" si="1"/>
        <v>1351213.3</v>
      </c>
      <c r="H12" s="234">
        <f t="shared" si="2"/>
        <v>936186.7</v>
      </c>
      <c r="I12" s="297">
        <f>I10+18069.38</f>
        <v>41790.100000000006</v>
      </c>
    </row>
    <row r="13" spans="1:10" s="223" customFormat="1" ht="12.75" customHeight="1" x14ac:dyDescent="0.25">
      <c r="A13" s="230" t="s">
        <v>1290</v>
      </c>
      <c r="B13" s="177">
        <v>46267</v>
      </c>
      <c r="C13" s="231" t="s">
        <v>468</v>
      </c>
      <c r="D13" s="232">
        <v>47866</v>
      </c>
      <c r="E13" s="233">
        <f t="shared" si="0"/>
        <v>2335266</v>
      </c>
      <c r="F13" s="238"/>
      <c r="G13" s="234">
        <f t="shared" si="1"/>
        <v>1351213.3</v>
      </c>
      <c r="H13" s="234">
        <f t="shared" si="2"/>
        <v>984052.7</v>
      </c>
      <c r="I13" s="297"/>
    </row>
    <row r="14" spans="1:10" s="223" customFormat="1" ht="12.75" customHeight="1" x14ac:dyDescent="0.25">
      <c r="A14" s="230" t="s">
        <v>1593</v>
      </c>
      <c r="B14" s="177">
        <v>46293</v>
      </c>
      <c r="C14" s="231" t="s">
        <v>1594</v>
      </c>
      <c r="D14" s="233"/>
      <c r="E14" s="233">
        <f t="shared" si="0"/>
        <v>2335266</v>
      </c>
      <c r="F14" s="237">
        <v>380868.46</v>
      </c>
      <c r="G14" s="234">
        <f t="shared" si="1"/>
        <v>1732081.76</v>
      </c>
      <c r="H14" s="234">
        <f t="shared" si="2"/>
        <v>603184.24</v>
      </c>
      <c r="I14" s="297">
        <f>I12+11779.44</f>
        <v>53569.540000000008</v>
      </c>
    </row>
    <row r="15" spans="1:10" s="223" customFormat="1" ht="12.75" customHeight="1" x14ac:dyDescent="0.25">
      <c r="A15" s="230"/>
      <c r="B15" s="177"/>
      <c r="C15" s="231"/>
      <c r="D15" s="233"/>
      <c r="E15" s="233">
        <f t="shared" si="0"/>
        <v>2335266</v>
      </c>
      <c r="F15" s="238"/>
      <c r="G15" s="234">
        <f t="shared" si="1"/>
        <v>1732081.76</v>
      </c>
      <c r="H15" s="234">
        <f t="shared" si="2"/>
        <v>603184.24</v>
      </c>
      <c r="I15" s="297"/>
    </row>
    <row r="16" spans="1:10" s="223" customFormat="1" ht="12.75" customHeight="1" x14ac:dyDescent="0.25">
      <c r="A16" s="230"/>
      <c r="B16" s="177"/>
      <c r="C16" s="231"/>
      <c r="D16" s="233"/>
      <c r="E16" s="233">
        <f t="shared" si="0"/>
        <v>2335266</v>
      </c>
      <c r="F16" s="238"/>
      <c r="G16" s="234">
        <f t="shared" si="1"/>
        <v>1732081.76</v>
      </c>
      <c r="H16" s="234">
        <f t="shared" si="2"/>
        <v>603184.24</v>
      </c>
      <c r="I16" s="297"/>
    </row>
    <row r="17" spans="1:9" s="223" customFormat="1" ht="12.75" customHeight="1" x14ac:dyDescent="0.25">
      <c r="A17" s="230"/>
      <c r="B17" s="177"/>
      <c r="C17" s="231"/>
      <c r="D17" s="233"/>
      <c r="E17" s="233">
        <f t="shared" si="0"/>
        <v>2335266</v>
      </c>
      <c r="F17" s="238"/>
      <c r="G17" s="234">
        <f t="shared" si="1"/>
        <v>1732081.76</v>
      </c>
      <c r="H17" s="234">
        <f t="shared" si="2"/>
        <v>603184.24</v>
      </c>
      <c r="I17" s="297"/>
    </row>
    <row r="18" spans="1:9" s="223" customFormat="1" ht="12.75" customHeight="1" x14ac:dyDescent="0.25">
      <c r="A18" s="230"/>
      <c r="B18" s="177"/>
      <c r="C18" s="231"/>
      <c r="D18" s="233"/>
      <c r="E18" s="233">
        <f t="shared" si="0"/>
        <v>2335266</v>
      </c>
      <c r="F18" s="238"/>
      <c r="G18" s="234">
        <f t="shared" si="1"/>
        <v>1732081.76</v>
      </c>
      <c r="H18" s="234">
        <f t="shared" si="2"/>
        <v>603184.24</v>
      </c>
      <c r="I18" s="297"/>
    </row>
    <row r="19" spans="1:9" s="223" customFormat="1" ht="12.75" customHeight="1" x14ac:dyDescent="0.25">
      <c r="A19" s="230"/>
      <c r="B19" s="177"/>
      <c r="C19" s="231"/>
      <c r="D19" s="233"/>
      <c r="E19" s="233">
        <f t="shared" si="0"/>
        <v>2335266</v>
      </c>
      <c r="F19" s="234"/>
      <c r="G19" s="234">
        <f t="shared" si="1"/>
        <v>1732081.76</v>
      </c>
      <c r="H19" s="234">
        <f t="shared" si="2"/>
        <v>603184.24</v>
      </c>
      <c r="I19" s="297"/>
    </row>
    <row r="20" spans="1:9" s="223" customFormat="1" ht="12.75" customHeight="1" x14ac:dyDescent="0.25">
      <c r="A20" s="230"/>
      <c r="B20" s="177"/>
      <c r="C20" s="231"/>
      <c r="D20" s="233"/>
      <c r="E20" s="233">
        <f t="shared" si="0"/>
        <v>2335266</v>
      </c>
      <c r="F20" s="234"/>
      <c r="G20" s="234">
        <f t="shared" si="1"/>
        <v>1732081.76</v>
      </c>
      <c r="H20" s="234">
        <f t="shared" si="2"/>
        <v>603184.24</v>
      </c>
      <c r="I20" s="297"/>
    </row>
    <row r="21" spans="1:9" s="223" customFormat="1" ht="12.75" customHeight="1" x14ac:dyDescent="0.25">
      <c r="A21" s="230"/>
      <c r="B21" s="177"/>
      <c r="C21" s="239"/>
      <c r="D21" s="233"/>
      <c r="E21" s="233">
        <f t="shared" si="0"/>
        <v>2335266</v>
      </c>
      <c r="F21" s="234"/>
      <c r="G21" s="234">
        <f t="shared" si="1"/>
        <v>1732081.76</v>
      </c>
      <c r="H21" s="234">
        <f t="shared" si="2"/>
        <v>603184.24</v>
      </c>
      <c r="I21" s="297"/>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2335266</v>
      </c>
      <c r="E23" s="245"/>
      <c r="F23" s="245">
        <f>SUM(F9:F22)</f>
        <v>1732081.76</v>
      </c>
      <c r="G23" s="245"/>
      <c r="H23" s="245">
        <f>D23-F23</f>
        <v>603184.24</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c r="D26" s="234"/>
      <c r="E26" s="234"/>
      <c r="F26" s="234"/>
      <c r="G26" s="234"/>
      <c r="H26" s="234"/>
      <c r="I26" s="235"/>
    </row>
    <row r="27" spans="1:9" s="223" customFormat="1" ht="12.75" customHeight="1" x14ac:dyDescent="0.25">
      <c r="A27" s="230"/>
      <c r="B27" s="231"/>
      <c r="C27" s="240"/>
      <c r="D27" s="234"/>
      <c r="E27" s="234"/>
      <c r="F27" s="234"/>
      <c r="G27" s="234"/>
      <c r="H27" s="234"/>
      <c r="I27" s="235"/>
    </row>
    <row r="28" spans="1:9" s="223" customFormat="1" ht="12.75" customHeight="1" x14ac:dyDescent="0.25">
      <c r="A28" s="230"/>
      <c r="B28" s="231"/>
      <c r="C28" s="253"/>
      <c r="D28" s="270"/>
      <c r="E28" s="270"/>
      <c r="F28" s="270"/>
      <c r="G28" s="270"/>
      <c r="H28" s="234"/>
      <c r="I28" s="235"/>
    </row>
    <row r="29" spans="1:9" s="223" customFormat="1" ht="12.75" customHeight="1" x14ac:dyDescent="0.25">
      <c r="A29" s="230"/>
      <c r="B29" s="231"/>
      <c r="C29" s="253"/>
      <c r="D29" s="270"/>
      <c r="E29" s="270"/>
      <c r="F29" s="270"/>
      <c r="G29" s="270"/>
      <c r="H29" s="234"/>
      <c r="I29" s="235"/>
    </row>
    <row r="30" spans="1:9" s="223" customFormat="1" ht="12.75" customHeight="1" x14ac:dyDescent="0.25">
      <c r="A30" s="230"/>
      <c r="B30" s="231"/>
      <c r="C30" s="255"/>
      <c r="D30" s="271"/>
      <c r="E30" s="271"/>
      <c r="F30" s="271"/>
      <c r="G30" s="271"/>
      <c r="H30" s="271"/>
      <c r="I30" s="235"/>
    </row>
    <row r="31" spans="1:9" s="223" customFormat="1" ht="12.75" customHeight="1" x14ac:dyDescent="0.25"/>
  </sheetData>
  <conditionalFormatting sqref="I9:I23">
    <cfRule type="cellIs" dxfId="59" priority="1" operator="greaterThan">
      <formula>$H$23</formula>
    </cfRule>
  </conditionalFormatting>
  <pageMargins left="0.25" right="0.25" top="0.95" bottom="0.75" header="0.09" footer="0.3"/>
  <pageSetup scale="6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12E98-88B6-407C-A361-BA650B9915A2}">
  <sheetPr>
    <pageSetUpPr fitToPage="1"/>
  </sheetPr>
  <dimension ref="A1:I30"/>
  <sheetViews>
    <sheetView zoomScaleNormal="100" workbookViewId="0">
      <selection activeCell="F17" sqref="F1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#9483.00'!B1</f>
        <v>DVA IVH Dack and Malloy Building Roof Replacements</v>
      </c>
      <c r="B1" s="3"/>
      <c r="C1" s="4"/>
      <c r="D1" s="4"/>
      <c r="E1" s="4"/>
      <c r="F1" s="28"/>
      <c r="G1" s="28"/>
      <c r="H1" s="29"/>
      <c r="I1" s="29"/>
    </row>
    <row r="2" spans="1:9" ht="15.75" x14ac:dyDescent="0.25">
      <c r="A2" s="6" t="str">
        <f>'RECAP #9483.00'!B2</f>
        <v>Project # 9483.00</v>
      </c>
      <c r="B2" s="5"/>
      <c r="C2" s="4"/>
      <c r="D2" s="4"/>
      <c r="E2" s="4"/>
      <c r="F2" s="28"/>
      <c r="G2" s="28"/>
      <c r="H2" s="29"/>
      <c r="I2" s="29"/>
    </row>
    <row r="3" spans="1:9" ht="15.75" x14ac:dyDescent="0.25">
      <c r="A3" s="7" t="str">
        <f>'RECAP #9483.00'!B3</f>
        <v>Program code 948300</v>
      </c>
      <c r="B3" s="5"/>
      <c r="C3" s="4"/>
      <c r="D3" s="8" t="str">
        <f>'RECAP #9483.00'!E3</f>
        <v>Major Program 4D02</v>
      </c>
      <c r="E3" s="4"/>
      <c r="F3" s="28"/>
      <c r="G3" s="28"/>
      <c r="H3" s="29"/>
      <c r="I3" s="29"/>
    </row>
    <row r="4" spans="1:9" ht="15.75" x14ac:dyDescent="0.25">
      <c r="A4" s="30" t="s">
        <v>893</v>
      </c>
      <c r="B4" s="31"/>
      <c r="C4" s="32"/>
      <c r="D4" s="33" t="s">
        <v>105</v>
      </c>
      <c r="E4" s="28"/>
      <c r="F4" s="28"/>
      <c r="G4" s="28"/>
      <c r="H4" s="29"/>
      <c r="I4" s="29"/>
    </row>
    <row r="5" spans="1:9" ht="15.75" x14ac:dyDescent="0.25">
      <c r="A5" s="34" t="s">
        <v>104</v>
      </c>
      <c r="B5" s="35"/>
      <c r="C5" s="36"/>
      <c r="D5" s="37" t="s">
        <v>106</v>
      </c>
      <c r="E5" s="38"/>
      <c r="F5" s="39"/>
      <c r="G5" s="39"/>
      <c r="H5" s="35"/>
      <c r="I5" s="29"/>
    </row>
    <row r="6" spans="1:9" ht="15.75" x14ac:dyDescent="0.25">
      <c r="A6" s="11" t="str">
        <f>'RECAP #9483.00'!B6</f>
        <v>Project Manager - Brad T.</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928</v>
      </c>
      <c r="B9" s="177">
        <v>46164</v>
      </c>
      <c r="C9" s="231" t="s">
        <v>109</v>
      </c>
      <c r="D9" s="232">
        <v>267340.14</v>
      </c>
      <c r="E9" s="233">
        <f>D9</f>
        <v>267340.14</v>
      </c>
      <c r="F9" s="234"/>
      <c r="G9" s="234"/>
      <c r="H9" s="234">
        <f>E9</f>
        <v>267340.14</v>
      </c>
      <c r="I9" s="235"/>
    </row>
    <row r="10" spans="1:9" s="223" customFormat="1" ht="12.75" customHeight="1" x14ac:dyDescent="0.25">
      <c r="A10" s="230" t="s">
        <v>1149</v>
      </c>
      <c r="B10" s="236">
        <v>46209</v>
      </c>
      <c r="C10" s="231" t="s">
        <v>1172</v>
      </c>
      <c r="D10" s="233"/>
      <c r="E10" s="233">
        <f t="shared" ref="E10:E21" si="0">E9+D10</f>
        <v>267340.14</v>
      </c>
      <c r="F10" s="237">
        <v>23227.119999999999</v>
      </c>
      <c r="G10" s="234">
        <f t="shared" ref="G10:G21" si="1">G9+F10</f>
        <v>23227.119999999999</v>
      </c>
      <c r="H10" s="234">
        <f t="shared" ref="H10:H21" si="2">H9-F10+D10</f>
        <v>244113.02000000002</v>
      </c>
      <c r="I10" s="235"/>
    </row>
    <row r="11" spans="1:9" s="223" customFormat="1" ht="12.75" customHeight="1" x14ac:dyDescent="0.25">
      <c r="A11" s="328" t="s">
        <v>1242</v>
      </c>
      <c r="B11" s="329">
        <v>46216</v>
      </c>
      <c r="C11" s="330" t="s">
        <v>1243</v>
      </c>
      <c r="D11" s="331"/>
      <c r="E11" s="331">
        <f t="shared" si="0"/>
        <v>267340.14</v>
      </c>
      <c r="F11" s="338">
        <v>20274.259999999998</v>
      </c>
      <c r="G11" s="332">
        <f t="shared" si="1"/>
        <v>43501.38</v>
      </c>
      <c r="H11" s="332">
        <f t="shared" si="2"/>
        <v>223838.76</v>
      </c>
      <c r="I11" s="334" t="s">
        <v>1285</v>
      </c>
    </row>
    <row r="12" spans="1:9" s="223" customFormat="1" ht="12.75" customHeight="1" x14ac:dyDescent="0.25">
      <c r="A12" s="230" t="s">
        <v>1291</v>
      </c>
      <c r="B12" s="177">
        <v>46225</v>
      </c>
      <c r="C12" s="231" t="s">
        <v>1286</v>
      </c>
      <c r="D12" s="232">
        <v>0</v>
      </c>
      <c r="E12" s="233">
        <f t="shared" si="0"/>
        <v>267340.14</v>
      </c>
      <c r="F12" s="237"/>
      <c r="G12" s="234">
        <f t="shared" si="1"/>
        <v>43501.38</v>
      </c>
      <c r="H12" s="234">
        <f t="shared" si="2"/>
        <v>223838.76</v>
      </c>
      <c r="I12" s="235"/>
    </row>
    <row r="13" spans="1:9" s="223" customFormat="1" ht="12.75" customHeight="1" x14ac:dyDescent="0.25">
      <c r="A13" s="230" t="s">
        <v>1447</v>
      </c>
      <c r="B13" s="177">
        <v>46251</v>
      </c>
      <c r="C13" s="231" t="s">
        <v>1448</v>
      </c>
      <c r="D13" s="233"/>
      <c r="E13" s="233">
        <f t="shared" si="0"/>
        <v>267340.14</v>
      </c>
      <c r="F13" s="237">
        <v>18540.39</v>
      </c>
      <c r="G13" s="234">
        <f t="shared" si="1"/>
        <v>62041.77</v>
      </c>
      <c r="H13" s="234">
        <f t="shared" si="2"/>
        <v>205298.37</v>
      </c>
      <c r="I13" s="235"/>
    </row>
    <row r="14" spans="1:9" s="223" customFormat="1" ht="12.75" customHeight="1" x14ac:dyDescent="0.25">
      <c r="A14" s="230" t="s">
        <v>1554</v>
      </c>
      <c r="B14" s="177">
        <v>46281</v>
      </c>
      <c r="C14" s="231" t="s">
        <v>1555</v>
      </c>
      <c r="D14" s="233"/>
      <c r="E14" s="233">
        <f t="shared" si="0"/>
        <v>267340.14</v>
      </c>
      <c r="F14" s="237">
        <v>51766.8</v>
      </c>
      <c r="G14" s="234">
        <f t="shared" si="1"/>
        <v>113808.57</v>
      </c>
      <c r="H14" s="234">
        <f t="shared" si="2"/>
        <v>153531.57</v>
      </c>
      <c r="I14" s="235"/>
    </row>
    <row r="15" spans="1:9" s="223" customFormat="1" ht="12.75" customHeight="1" x14ac:dyDescent="0.25">
      <c r="A15" s="230"/>
      <c r="B15" s="177"/>
      <c r="C15" s="231"/>
      <c r="D15" s="233"/>
      <c r="E15" s="233">
        <f t="shared" si="0"/>
        <v>267340.14</v>
      </c>
      <c r="F15" s="237"/>
      <c r="G15" s="234">
        <f t="shared" si="1"/>
        <v>113808.57</v>
      </c>
      <c r="H15" s="234">
        <f t="shared" si="2"/>
        <v>153531.57</v>
      </c>
      <c r="I15" s="235"/>
    </row>
    <row r="16" spans="1:9" s="223" customFormat="1" ht="12.75" customHeight="1" x14ac:dyDescent="0.25">
      <c r="A16" s="230"/>
      <c r="B16" s="177"/>
      <c r="C16" s="231"/>
      <c r="D16" s="233"/>
      <c r="E16" s="233">
        <f t="shared" si="0"/>
        <v>267340.14</v>
      </c>
      <c r="F16" s="237"/>
      <c r="G16" s="234">
        <f t="shared" si="1"/>
        <v>113808.57</v>
      </c>
      <c r="H16" s="234">
        <f t="shared" si="2"/>
        <v>153531.57</v>
      </c>
      <c r="I16" s="235"/>
    </row>
    <row r="17" spans="1:9" s="223" customFormat="1" ht="12.75" customHeight="1" x14ac:dyDescent="0.25">
      <c r="A17" s="230"/>
      <c r="B17" s="177"/>
      <c r="C17" s="231"/>
      <c r="D17" s="233"/>
      <c r="E17" s="233">
        <f t="shared" si="0"/>
        <v>267340.14</v>
      </c>
      <c r="F17" s="238"/>
      <c r="G17" s="234">
        <f t="shared" si="1"/>
        <v>113808.57</v>
      </c>
      <c r="H17" s="234">
        <f t="shared" si="2"/>
        <v>153531.57</v>
      </c>
      <c r="I17" s="235"/>
    </row>
    <row r="18" spans="1:9" s="223" customFormat="1" ht="12.75" customHeight="1" x14ac:dyDescent="0.25">
      <c r="A18" s="230"/>
      <c r="B18" s="177"/>
      <c r="C18" s="231"/>
      <c r="D18" s="233"/>
      <c r="E18" s="233">
        <f t="shared" si="0"/>
        <v>267340.14</v>
      </c>
      <c r="F18" s="238"/>
      <c r="G18" s="234">
        <f t="shared" si="1"/>
        <v>113808.57</v>
      </c>
      <c r="H18" s="234">
        <f t="shared" si="2"/>
        <v>153531.57</v>
      </c>
      <c r="I18" s="235"/>
    </row>
    <row r="19" spans="1:9" s="223" customFormat="1" ht="12.75" customHeight="1" x14ac:dyDescent="0.25">
      <c r="A19" s="230"/>
      <c r="B19" s="177"/>
      <c r="C19" s="231"/>
      <c r="D19" s="233"/>
      <c r="E19" s="233">
        <f t="shared" si="0"/>
        <v>267340.14</v>
      </c>
      <c r="F19" s="234"/>
      <c r="G19" s="234">
        <f t="shared" si="1"/>
        <v>113808.57</v>
      </c>
      <c r="H19" s="234">
        <f t="shared" si="2"/>
        <v>153531.57</v>
      </c>
      <c r="I19" s="235"/>
    </row>
    <row r="20" spans="1:9" s="223" customFormat="1" ht="12.75" customHeight="1" x14ac:dyDescent="0.25">
      <c r="A20" s="230"/>
      <c r="B20" s="177"/>
      <c r="C20" s="231"/>
      <c r="D20" s="233"/>
      <c r="E20" s="233">
        <f t="shared" si="0"/>
        <v>267340.14</v>
      </c>
      <c r="F20" s="234"/>
      <c r="G20" s="234">
        <f t="shared" si="1"/>
        <v>113808.57</v>
      </c>
      <c r="H20" s="234">
        <f t="shared" si="2"/>
        <v>153531.57</v>
      </c>
      <c r="I20" s="235"/>
    </row>
    <row r="21" spans="1:9" s="223" customFormat="1" ht="12.75" customHeight="1" x14ac:dyDescent="0.25">
      <c r="A21" s="230"/>
      <c r="B21" s="177"/>
      <c r="C21" s="239"/>
      <c r="D21" s="233"/>
      <c r="E21" s="233">
        <f t="shared" si="0"/>
        <v>267340.14</v>
      </c>
      <c r="F21" s="234"/>
      <c r="G21" s="234">
        <f t="shared" si="1"/>
        <v>113808.57</v>
      </c>
      <c r="H21" s="234">
        <f t="shared" si="2"/>
        <v>153531.57</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267340.14</v>
      </c>
      <c r="E23" s="245"/>
      <c r="F23" s="245">
        <f>SUM(F9:F22)</f>
        <v>113808.57</v>
      </c>
      <c r="G23" s="245"/>
      <c r="H23" s="245">
        <f>D23-F23</f>
        <v>153531.57</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164692.14000000001</v>
      </c>
      <c r="E26" s="254"/>
      <c r="F26" s="254">
        <f>13923.02+15029.96+13273.61+14635.4</f>
        <v>56861.99</v>
      </c>
      <c r="G26" s="254"/>
      <c r="H26" s="254">
        <f>D26-F26</f>
        <v>107830.15000000002</v>
      </c>
      <c r="I26" s="235"/>
    </row>
    <row r="27" spans="1:9" s="223" customFormat="1" ht="12.75" customHeight="1" x14ac:dyDescent="0.25">
      <c r="A27" s="230"/>
      <c r="B27" s="231"/>
      <c r="C27" s="253" t="s">
        <v>111</v>
      </c>
      <c r="D27" s="254">
        <v>11152</v>
      </c>
      <c r="E27" s="254"/>
      <c r="F27" s="254">
        <f>154.5+669.5+691.98+533</f>
        <v>2048.98</v>
      </c>
      <c r="G27" s="254"/>
      <c r="H27" s="254">
        <f>D27-F27</f>
        <v>9103.02</v>
      </c>
      <c r="I27" s="235"/>
    </row>
    <row r="28" spans="1:9" s="223" customFormat="1" ht="12.75" customHeight="1" x14ac:dyDescent="0.25">
      <c r="A28" s="230"/>
      <c r="B28" s="231"/>
      <c r="C28" s="253" t="s">
        <v>637</v>
      </c>
      <c r="D28" s="254">
        <v>91496</v>
      </c>
      <c r="E28" s="254"/>
      <c r="F28" s="254">
        <f>9149.6+4574.8+4574.8+36598.4</f>
        <v>54897.600000000006</v>
      </c>
      <c r="G28" s="254"/>
      <c r="H28" s="254">
        <f>D28-F28</f>
        <v>36598.399999999994</v>
      </c>
      <c r="I28" s="235"/>
    </row>
    <row r="29" spans="1:9" s="223" customFormat="1" ht="12.75" customHeight="1" thickBot="1" x14ac:dyDescent="0.3">
      <c r="A29" s="230"/>
      <c r="B29" s="231"/>
      <c r="C29" s="255" t="s">
        <v>67</v>
      </c>
      <c r="D29" s="256">
        <f>SUM(D26:D28)</f>
        <v>267340.14</v>
      </c>
      <c r="E29" s="257"/>
      <c r="F29" s="256">
        <f>SUM(F26:F28)</f>
        <v>113808.57</v>
      </c>
      <c r="G29" s="257"/>
      <c r="H29" s="256">
        <f>SUM(H26:H28)</f>
        <v>153531.57</v>
      </c>
      <c r="I29" s="235"/>
    </row>
    <row r="30" spans="1:9" s="223" customFormat="1" ht="12.75" customHeight="1" thickTop="1" x14ac:dyDescent="0.25"/>
  </sheetData>
  <conditionalFormatting sqref="I8:I10 I12:I23">
    <cfRule type="cellIs" dxfId="58"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66213-09BD-4D31-84F8-D965BC19C2CF}">
  <sheetPr codeName="Sheet175">
    <pageSetUpPr fitToPage="1"/>
  </sheetPr>
  <dimension ref="A1:G20"/>
  <sheetViews>
    <sheetView zoomScaleNormal="100" workbookViewId="0">
      <selection activeCell="B23" sqref="B23"/>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74</v>
      </c>
      <c r="C1" s="3"/>
      <c r="D1" s="4"/>
      <c r="E1" s="4"/>
      <c r="F1" s="4"/>
      <c r="G1" s="4"/>
    </row>
    <row r="2" spans="1:7" ht="15.75" x14ac:dyDescent="0.25">
      <c r="A2" s="1"/>
      <c r="B2" s="6" t="s">
        <v>80</v>
      </c>
      <c r="C2" s="5"/>
      <c r="D2" s="4"/>
      <c r="E2" s="4"/>
      <c r="F2" s="4"/>
      <c r="G2" s="4"/>
    </row>
    <row r="3" spans="1:7" ht="15.75" x14ac:dyDescent="0.25">
      <c r="A3" s="1"/>
      <c r="B3" s="7" t="s">
        <v>81</v>
      </c>
      <c r="C3" s="5"/>
      <c r="D3" s="4"/>
      <c r="E3" s="8" t="s">
        <v>82</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78</v>
      </c>
      <c r="C6" s="12"/>
      <c r="D6" s="13" t="s">
        <v>2</v>
      </c>
      <c r="E6" s="4"/>
      <c r="F6" s="4"/>
      <c r="G6" s="4"/>
    </row>
    <row r="7" spans="1:7" ht="40.5" customHeight="1" thickBot="1" x14ac:dyDescent="0.3">
      <c r="A7" s="1"/>
      <c r="B7" s="14" t="s">
        <v>2</v>
      </c>
      <c r="C7" s="15" t="s">
        <v>3</v>
      </c>
      <c r="D7" s="16" t="s">
        <v>4</v>
      </c>
      <c r="E7" s="17" t="s">
        <v>5</v>
      </c>
      <c r="F7" s="18" t="s">
        <v>6</v>
      </c>
      <c r="G7" s="18" t="s">
        <v>7</v>
      </c>
    </row>
    <row r="8" spans="1:7" ht="28.35" customHeight="1" x14ac:dyDescent="0.25">
      <c r="A8" s="1"/>
      <c r="B8" s="1" t="s">
        <v>8</v>
      </c>
      <c r="C8" s="19">
        <f>FINANCIAL!G15</f>
        <v>475000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73" t="s">
        <v>250</v>
      </c>
      <c r="B10" s="247" t="s">
        <v>103</v>
      </c>
      <c r="C10" s="248"/>
      <c r="D10" s="251">
        <f>'#9484.00 DCI Group'!D23</f>
        <v>17210.759999999998</v>
      </c>
      <c r="E10" s="251">
        <f>'#9484.00 DCI Group'!F23</f>
        <v>17210.760000000002</v>
      </c>
      <c r="F10" s="251">
        <f>'#9484.00 DCI Group'!H23</f>
        <v>0</v>
      </c>
      <c r="G10" s="250"/>
    </row>
    <row r="11" spans="1:7" s="223" customFormat="1" ht="12.75" customHeight="1" x14ac:dyDescent="0.25">
      <c r="A11" s="246"/>
      <c r="B11" s="247" t="s">
        <v>10</v>
      </c>
      <c r="C11" s="248"/>
      <c r="D11" s="251">
        <f>'#9484.00 PM TIME'!E43</f>
        <v>20000</v>
      </c>
      <c r="E11" s="251">
        <f>'#9484.00 PM TIME'!G43</f>
        <v>15002.179999999998</v>
      </c>
      <c r="F11" s="251">
        <f>'#9484.00 PM TIME'!I43</f>
        <v>4997.8200000000015</v>
      </c>
      <c r="G11" s="250"/>
    </row>
    <row r="12" spans="1:7" s="223" customFormat="1" ht="12.75" customHeight="1" x14ac:dyDescent="0.25">
      <c r="A12" s="246"/>
      <c r="B12" s="247" t="s">
        <v>11</v>
      </c>
      <c r="C12" s="249"/>
      <c r="D12" s="252">
        <f>'#9484.00 Misc'!G22</f>
        <v>1456.08</v>
      </c>
      <c r="E12" s="252">
        <f>'#9484.00 Misc'!G22</f>
        <v>1456.08</v>
      </c>
      <c r="F12" s="251">
        <f>D12-E12</f>
        <v>0</v>
      </c>
      <c r="G12" s="250"/>
    </row>
    <row r="13" spans="1:7" s="223" customFormat="1" ht="14.25" customHeight="1" x14ac:dyDescent="0.25">
      <c r="A13" s="246"/>
      <c r="B13" s="247" t="s">
        <v>114</v>
      </c>
      <c r="C13" s="249"/>
      <c r="D13" s="252">
        <f>'#9484.00 OPN Architects'!D24</f>
        <v>68920</v>
      </c>
      <c r="E13" s="252">
        <f>'#9484.00 OPN Architects'!F24</f>
        <v>68514.900000000009</v>
      </c>
      <c r="F13" s="251">
        <f>'#9484.00 OPN Architects'!H24</f>
        <v>405.09999999999127</v>
      </c>
      <c r="G13" s="250"/>
    </row>
    <row r="14" spans="1:7" s="223" customFormat="1" ht="14.25" customHeight="1" x14ac:dyDescent="0.25">
      <c r="A14" s="246"/>
      <c r="B14" s="247" t="s">
        <v>384</v>
      </c>
      <c r="C14" s="249"/>
      <c r="D14" s="252">
        <f>'#9484.00 GTG Construction'!D23</f>
        <v>85952.23</v>
      </c>
      <c r="E14" s="252">
        <f>'#9484.00 GTG Construction'!F23</f>
        <v>76048</v>
      </c>
      <c r="F14" s="251">
        <f>'#9484.00 GTG Construction'!H23</f>
        <v>9904.2299999999959</v>
      </c>
      <c r="G14" s="250"/>
    </row>
    <row r="15" spans="1:7" s="223" customFormat="1" ht="14.25" customHeight="1" x14ac:dyDescent="0.25">
      <c r="A15" s="246"/>
      <c r="B15" s="247" t="s">
        <v>412</v>
      </c>
      <c r="C15" s="249"/>
      <c r="D15" s="252">
        <f>'#9484.00 Schumacher Elevator'!D23</f>
        <v>113444</v>
      </c>
      <c r="E15" s="252">
        <f>'#9484.00 Schumacher Elevator'!F23</f>
        <v>108842.73</v>
      </c>
      <c r="F15" s="251">
        <f>'#9484.00 Schumacher Elevator'!H23</f>
        <v>4601.2700000000041</v>
      </c>
      <c r="G15" s="250"/>
    </row>
    <row r="16" spans="1:7" s="223" customFormat="1" ht="14.25" customHeight="1" x14ac:dyDescent="0.25">
      <c r="A16" s="246"/>
      <c r="B16" s="247" t="s">
        <v>526</v>
      </c>
      <c r="C16" s="249"/>
      <c r="D16" s="252">
        <f>'#9484.00 DCI Group (2)'!D28</f>
        <v>74210.77</v>
      </c>
      <c r="E16" s="252">
        <f>'#9484.00 DCI Group (2)'!F28</f>
        <v>51463.24</v>
      </c>
      <c r="F16" s="251">
        <f>'#9484.00 DCI Group (2)'!H28</f>
        <v>22747.53000000001</v>
      </c>
      <c r="G16" s="250"/>
    </row>
    <row r="17" spans="1:7" s="223" customFormat="1" ht="14.25" customHeight="1" x14ac:dyDescent="0.25">
      <c r="A17" s="273" t="s">
        <v>250</v>
      </c>
      <c r="B17" s="247" t="s">
        <v>1032</v>
      </c>
      <c r="C17" s="249"/>
      <c r="D17" s="252">
        <f>'#9484.00 J.Pettiecord'!D23</f>
        <v>21246.71</v>
      </c>
      <c r="E17" s="252">
        <f>'#9484.00 J.Pettiecord'!F23</f>
        <v>21246.71</v>
      </c>
      <c r="F17" s="251">
        <f>'#9484.00 J.Pettiecord'!H23</f>
        <v>0</v>
      </c>
      <c r="G17" s="250"/>
    </row>
    <row r="18" spans="1:7" s="223" customFormat="1" ht="12.75" customHeight="1" x14ac:dyDescent="0.25">
      <c r="A18" s="246"/>
      <c r="B18" s="247"/>
      <c r="C18" s="249"/>
      <c r="D18" s="252"/>
      <c r="E18" s="252"/>
      <c r="F18" s="251"/>
      <c r="G18" s="250"/>
    </row>
    <row r="19" spans="1:7" ht="24" customHeight="1" thickBot="1" x14ac:dyDescent="0.3">
      <c r="A19" s="25"/>
      <c r="B19" s="26" t="s">
        <v>12</v>
      </c>
      <c r="C19" s="27">
        <f>SUM(C8:C18)</f>
        <v>475000</v>
      </c>
      <c r="D19" s="27">
        <f>SUM(D8:D18)</f>
        <v>402440.55000000005</v>
      </c>
      <c r="E19" s="27">
        <f>SUM(E8:E18)</f>
        <v>359784.60000000003</v>
      </c>
      <c r="F19" s="27">
        <f>SUM(D19-E19)</f>
        <v>42655.950000000012</v>
      </c>
      <c r="G19" s="27">
        <f>C8-D19</f>
        <v>72559.449999999953</v>
      </c>
    </row>
    <row r="20" spans="1:7" ht="15" customHeight="1" thickTop="1" x14ac:dyDescent="0.25"/>
  </sheetData>
  <pageMargins left="0.25" right="0.25" top="1.2012499999999999"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71C09-B22E-424F-8DDE-193BE8E67B71}">
  <sheetPr codeName="Sheet176">
    <tabColor rgb="FF0070C0"/>
    <pageSetUpPr fitToPage="1"/>
  </sheetPr>
  <dimension ref="A1:I29"/>
  <sheetViews>
    <sheetView zoomScaleNormal="100" workbookViewId="0">
      <selection activeCell="P25" sqref="P25"/>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2.42578125" style="274" customWidth="1"/>
    <col min="9" max="9" width="6.42578125" style="274" bestFit="1"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#9484.00'!B1</f>
        <v>ILEA JOH Hydraulic Elevator Replacement</v>
      </c>
      <c r="B1" s="30"/>
      <c r="C1" s="153"/>
      <c r="D1" s="153"/>
      <c r="E1" s="153"/>
      <c r="F1" s="156"/>
      <c r="G1" s="156"/>
      <c r="H1" s="179"/>
      <c r="I1" s="179"/>
    </row>
    <row r="2" spans="1:9" ht="15.75" x14ac:dyDescent="0.25">
      <c r="A2" s="31" t="str">
        <f>'RECAP #9484.00'!B2</f>
        <v>Project # 9484.00</v>
      </c>
      <c r="B2" s="150"/>
      <c r="C2" s="153"/>
      <c r="D2" s="153"/>
      <c r="E2" s="153"/>
      <c r="F2" s="156"/>
      <c r="G2" s="156"/>
      <c r="H2" s="179"/>
      <c r="I2" s="179"/>
    </row>
    <row r="3" spans="1:9" ht="15.75" x14ac:dyDescent="0.25">
      <c r="A3" s="154" t="str">
        <f>'RECAP #9484.00'!B3</f>
        <v>Program code 948400</v>
      </c>
      <c r="B3" s="150"/>
      <c r="C3" s="153"/>
      <c r="D3" s="155" t="str">
        <f>'RECAP #9484.00'!E3</f>
        <v>Major Program 4D03</v>
      </c>
      <c r="E3" s="153"/>
      <c r="F3" s="156"/>
      <c r="G3" s="156"/>
      <c r="H3" s="179"/>
      <c r="I3" s="179"/>
    </row>
    <row r="4" spans="1:9" ht="15.75" x14ac:dyDescent="0.25">
      <c r="A4" s="30" t="s">
        <v>103</v>
      </c>
      <c r="B4" s="31"/>
      <c r="C4" s="179"/>
      <c r="D4" s="180" t="s">
        <v>105</v>
      </c>
      <c r="E4" s="156"/>
      <c r="F4" s="156"/>
      <c r="G4" s="156"/>
      <c r="H4" s="179"/>
      <c r="I4" s="179"/>
    </row>
    <row r="5" spans="1:9" ht="15.75" x14ac:dyDescent="0.25">
      <c r="A5" s="181" t="s">
        <v>104</v>
      </c>
      <c r="B5" s="179"/>
      <c r="C5" s="182"/>
      <c r="D5" s="37" t="s">
        <v>106</v>
      </c>
      <c r="E5" s="42"/>
      <c r="F5" s="156"/>
      <c r="G5" s="156"/>
      <c r="H5" s="179"/>
      <c r="I5" s="179"/>
    </row>
    <row r="6" spans="1:9" ht="15.75" x14ac:dyDescent="0.25">
      <c r="A6" s="31" t="str">
        <f>'RECAP #9484.00'!B6</f>
        <v>Project Manager - Brad T.</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108</v>
      </c>
      <c r="B9" s="276">
        <v>45912</v>
      </c>
      <c r="C9" s="277" t="s">
        <v>109</v>
      </c>
      <c r="D9" s="278">
        <v>18125.32</v>
      </c>
      <c r="E9" s="279">
        <f>D9</f>
        <v>18125.32</v>
      </c>
      <c r="F9" s="280"/>
      <c r="G9" s="280"/>
      <c r="H9" s="280">
        <f>E9</f>
        <v>18125.32</v>
      </c>
      <c r="I9" s="281"/>
    </row>
    <row r="10" spans="1:9" s="282" customFormat="1" ht="12.75" customHeight="1" x14ac:dyDescent="0.25">
      <c r="A10" s="275" t="s">
        <v>126</v>
      </c>
      <c r="B10" s="283">
        <v>45923</v>
      </c>
      <c r="C10" s="277" t="s">
        <v>127</v>
      </c>
      <c r="D10" s="279"/>
      <c r="E10" s="279">
        <f t="shared" ref="E10:E21" si="0">E9+D10</f>
        <v>18125.32</v>
      </c>
      <c r="F10" s="284">
        <v>2093.64</v>
      </c>
      <c r="G10" s="280">
        <f t="shared" ref="G10:G21" si="1">G9+F10</f>
        <v>2093.64</v>
      </c>
      <c r="H10" s="280">
        <f t="shared" ref="H10:H21" si="2">H9-F10+D10</f>
        <v>16031.68</v>
      </c>
      <c r="I10" s="281"/>
    </row>
    <row r="11" spans="1:9" s="282" customFormat="1" ht="12.75" customHeight="1" x14ac:dyDescent="0.25">
      <c r="A11" s="275" t="s">
        <v>266</v>
      </c>
      <c r="B11" s="276">
        <v>45938</v>
      </c>
      <c r="C11" s="277" t="s">
        <v>267</v>
      </c>
      <c r="D11" s="279"/>
      <c r="E11" s="279">
        <f t="shared" si="0"/>
        <v>18125.32</v>
      </c>
      <c r="F11" s="284">
        <v>2180.88</v>
      </c>
      <c r="G11" s="280">
        <f t="shared" si="1"/>
        <v>4274.5200000000004</v>
      </c>
      <c r="H11" s="280">
        <f t="shared" si="2"/>
        <v>13850.8</v>
      </c>
      <c r="I11" s="281"/>
    </row>
    <row r="12" spans="1:9" s="282" customFormat="1" ht="12.75" customHeight="1" x14ac:dyDescent="0.25">
      <c r="A12" s="275" t="s">
        <v>319</v>
      </c>
      <c r="B12" s="276">
        <v>45979</v>
      </c>
      <c r="C12" s="277" t="s">
        <v>320</v>
      </c>
      <c r="D12" s="279"/>
      <c r="E12" s="279">
        <f t="shared" si="0"/>
        <v>18125.32</v>
      </c>
      <c r="F12" s="284">
        <v>3208.58</v>
      </c>
      <c r="G12" s="280">
        <f t="shared" si="1"/>
        <v>7483.1</v>
      </c>
      <c r="H12" s="280">
        <f t="shared" si="2"/>
        <v>10642.22</v>
      </c>
      <c r="I12" s="281"/>
    </row>
    <row r="13" spans="1:9" s="282" customFormat="1" ht="12.75" customHeight="1" x14ac:dyDescent="0.25">
      <c r="A13" s="275" t="s">
        <v>370</v>
      </c>
      <c r="B13" s="276">
        <v>46013</v>
      </c>
      <c r="C13" s="277" t="s">
        <v>371</v>
      </c>
      <c r="D13" s="279"/>
      <c r="E13" s="279">
        <f t="shared" si="0"/>
        <v>18125.32</v>
      </c>
      <c r="F13" s="284">
        <v>6703.07</v>
      </c>
      <c r="G13" s="280">
        <f t="shared" si="1"/>
        <v>14186.17</v>
      </c>
      <c r="H13" s="280">
        <f t="shared" si="2"/>
        <v>3939.1499999999996</v>
      </c>
      <c r="I13" s="281"/>
    </row>
    <row r="14" spans="1:9" s="282" customFormat="1" ht="12.75" customHeight="1" x14ac:dyDescent="0.25">
      <c r="A14" s="275" t="s">
        <v>442</v>
      </c>
      <c r="B14" s="276">
        <v>46043</v>
      </c>
      <c r="C14" s="277" t="s">
        <v>443</v>
      </c>
      <c r="D14" s="285">
        <v>-914.56</v>
      </c>
      <c r="E14" s="279">
        <f t="shared" si="0"/>
        <v>17210.759999999998</v>
      </c>
      <c r="F14" s="284">
        <v>3024.59</v>
      </c>
      <c r="G14" s="280">
        <f t="shared" si="1"/>
        <v>17210.760000000002</v>
      </c>
      <c r="H14" s="280">
        <f t="shared" si="2"/>
        <v>0</v>
      </c>
      <c r="I14" s="281"/>
    </row>
    <row r="15" spans="1:9" s="282" customFormat="1" ht="12.75" customHeight="1" x14ac:dyDescent="0.25">
      <c r="A15" s="275"/>
      <c r="B15" s="276"/>
      <c r="C15" s="277"/>
      <c r="D15" s="279"/>
      <c r="E15" s="279">
        <f t="shared" si="0"/>
        <v>17210.759999999998</v>
      </c>
      <c r="F15" s="284"/>
      <c r="G15" s="280">
        <f t="shared" si="1"/>
        <v>17210.760000000002</v>
      </c>
      <c r="H15" s="280">
        <f t="shared" si="2"/>
        <v>0</v>
      </c>
      <c r="I15" s="281"/>
    </row>
    <row r="16" spans="1:9" s="282" customFormat="1" ht="12.75" customHeight="1" x14ac:dyDescent="0.25">
      <c r="A16" s="275"/>
      <c r="B16" s="276"/>
      <c r="C16" s="277"/>
      <c r="D16" s="279"/>
      <c r="E16" s="279">
        <f t="shared" si="0"/>
        <v>17210.759999999998</v>
      </c>
      <c r="F16" s="284"/>
      <c r="G16" s="280">
        <f t="shared" si="1"/>
        <v>17210.760000000002</v>
      </c>
      <c r="H16" s="280">
        <f t="shared" si="2"/>
        <v>0</v>
      </c>
      <c r="I16" s="281"/>
    </row>
    <row r="17" spans="1:9" s="282" customFormat="1" ht="12.75" customHeight="1" x14ac:dyDescent="0.25">
      <c r="A17" s="275"/>
      <c r="B17" s="276"/>
      <c r="C17" s="277"/>
      <c r="D17" s="279"/>
      <c r="E17" s="279">
        <f t="shared" si="0"/>
        <v>17210.759999999998</v>
      </c>
      <c r="F17" s="284"/>
      <c r="G17" s="280">
        <f t="shared" si="1"/>
        <v>17210.760000000002</v>
      </c>
      <c r="H17" s="280">
        <f t="shared" si="2"/>
        <v>0</v>
      </c>
      <c r="I17" s="281"/>
    </row>
    <row r="18" spans="1:9" s="282" customFormat="1" ht="12.75" customHeight="1" x14ac:dyDescent="0.25">
      <c r="A18" s="275"/>
      <c r="B18" s="276"/>
      <c r="C18" s="277"/>
      <c r="D18" s="279"/>
      <c r="E18" s="279">
        <f t="shared" si="0"/>
        <v>17210.759999999998</v>
      </c>
      <c r="F18" s="284"/>
      <c r="G18" s="280">
        <f t="shared" si="1"/>
        <v>17210.760000000002</v>
      </c>
      <c r="H18" s="280">
        <f t="shared" si="2"/>
        <v>0</v>
      </c>
      <c r="I18" s="281"/>
    </row>
    <row r="19" spans="1:9" s="282" customFormat="1" ht="12.75" customHeight="1" x14ac:dyDescent="0.25">
      <c r="A19" s="275"/>
      <c r="B19" s="276"/>
      <c r="C19" s="277"/>
      <c r="D19" s="279"/>
      <c r="E19" s="279">
        <f t="shared" si="0"/>
        <v>17210.759999999998</v>
      </c>
      <c r="F19" s="280"/>
      <c r="G19" s="280">
        <f t="shared" si="1"/>
        <v>17210.760000000002</v>
      </c>
      <c r="H19" s="280">
        <f t="shared" si="2"/>
        <v>0</v>
      </c>
      <c r="I19" s="281"/>
    </row>
    <row r="20" spans="1:9" s="282" customFormat="1" ht="12.75" customHeight="1" x14ac:dyDescent="0.25">
      <c r="A20" s="275"/>
      <c r="B20" s="276"/>
      <c r="C20" s="277"/>
      <c r="D20" s="279"/>
      <c r="E20" s="279">
        <f t="shared" si="0"/>
        <v>17210.759999999998</v>
      </c>
      <c r="F20" s="280"/>
      <c r="G20" s="280">
        <f t="shared" si="1"/>
        <v>17210.760000000002</v>
      </c>
      <c r="H20" s="280">
        <f t="shared" si="2"/>
        <v>0</v>
      </c>
      <c r="I20" s="281"/>
    </row>
    <row r="21" spans="1:9" s="282" customFormat="1" ht="12.75" customHeight="1" x14ac:dyDescent="0.25">
      <c r="A21" s="275"/>
      <c r="B21" s="276"/>
      <c r="C21" s="286"/>
      <c r="D21" s="279"/>
      <c r="E21" s="279">
        <f t="shared" si="0"/>
        <v>17210.759999999998</v>
      </c>
      <c r="F21" s="280"/>
      <c r="G21" s="280">
        <f t="shared" si="1"/>
        <v>17210.760000000002</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17210.759999999998</v>
      </c>
      <c r="E23" s="290"/>
      <c r="F23" s="290">
        <f>SUM(F9:F22)</f>
        <v>17210.760000000002</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f>16125.32-10.56</f>
        <v>16114.76</v>
      </c>
      <c r="E26" s="292"/>
      <c r="F26" s="292">
        <f>2093.64+2180.88+3208.58+5607.07+3024.59</f>
        <v>16114.76</v>
      </c>
      <c r="G26" s="292"/>
      <c r="H26" s="292">
        <f>D26-F26</f>
        <v>0</v>
      </c>
      <c r="I26" s="281"/>
    </row>
    <row r="27" spans="1:9" s="282" customFormat="1" ht="12.75" customHeight="1" x14ac:dyDescent="0.25">
      <c r="A27" s="275"/>
      <c r="B27" s="277"/>
      <c r="C27" s="287" t="s">
        <v>111</v>
      </c>
      <c r="D27" s="292">
        <f>2000-904</f>
        <v>1096</v>
      </c>
      <c r="E27" s="292"/>
      <c r="F27" s="292">
        <f>1096</f>
        <v>1096</v>
      </c>
      <c r="G27" s="292"/>
      <c r="H27" s="292">
        <f>D27-F27</f>
        <v>0</v>
      </c>
      <c r="I27" s="281"/>
    </row>
    <row r="28" spans="1:9" s="282" customFormat="1" ht="12.75" customHeight="1" thickBot="1" x14ac:dyDescent="0.3">
      <c r="A28" s="275"/>
      <c r="B28" s="277"/>
      <c r="C28" s="293" t="s">
        <v>67</v>
      </c>
      <c r="D28" s="290">
        <f>SUM(D26:D27)</f>
        <v>17210.760000000002</v>
      </c>
      <c r="E28" s="294"/>
      <c r="F28" s="290">
        <f>SUM(F26:F27)</f>
        <v>17210.760000000002</v>
      </c>
      <c r="G28" s="294"/>
      <c r="H28" s="290">
        <f>SUM(H26:H27)</f>
        <v>0</v>
      </c>
      <c r="I28" s="281"/>
    </row>
    <row r="29" spans="1:9" s="282" customFormat="1" ht="12.75" customHeight="1" thickTop="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2786-6298-4399-BB48-5E5531EFC162}">
  <sheetPr codeName="Sheet177">
    <pageSetUpPr fitToPage="1"/>
  </sheetPr>
  <dimension ref="A1:J44"/>
  <sheetViews>
    <sheetView topLeftCell="A13" zoomScaleNormal="100" workbookViewId="0">
      <selection activeCell="F46" sqref="F46"/>
    </sheetView>
  </sheetViews>
  <sheetFormatPr defaultColWidth="11.42578125" defaultRowHeight="15" customHeight="1" x14ac:dyDescent="0.25"/>
  <cols>
    <col min="1" max="1" width="24.5703125" customWidth="1"/>
    <col min="2" max="3" width="9.42578125" customWidth="1"/>
    <col min="4" max="4" width="42.42578125" customWidth="1"/>
    <col min="5" max="5" width="17.140625" customWidth="1"/>
    <col min="6" max="6" width="13.5703125" customWidth="1"/>
    <col min="7" max="7" width="12.42578125" customWidth="1"/>
    <col min="8" max="8" width="10.5703125" customWidth="1"/>
    <col min="9" max="9" width="12.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#9484.00'!B1</f>
        <v>ILEA JOH Hydraulic Elevator Replacement</v>
      </c>
      <c r="B1" s="3"/>
      <c r="C1" s="3"/>
      <c r="D1" s="4"/>
      <c r="E1" s="4"/>
      <c r="F1" s="4"/>
      <c r="G1" s="28"/>
      <c r="H1" s="28"/>
      <c r="I1" s="29"/>
      <c r="J1" s="29"/>
    </row>
    <row r="2" spans="1:10" ht="15.75" x14ac:dyDescent="0.25">
      <c r="A2" s="6" t="str">
        <f>'RECAP #9484.00'!B2</f>
        <v>Project # 9484.00</v>
      </c>
      <c r="B2" s="5"/>
      <c r="C2" s="5"/>
      <c r="D2" s="4"/>
      <c r="E2" s="4"/>
      <c r="F2" s="4"/>
      <c r="G2" s="28"/>
      <c r="H2" s="28"/>
      <c r="I2" s="29"/>
      <c r="J2" s="29"/>
    </row>
    <row r="3" spans="1:10" ht="15.75" x14ac:dyDescent="0.25">
      <c r="A3" s="7" t="str">
        <f>'RECAP #9484.00'!B3</f>
        <v>Program code 948400</v>
      </c>
      <c r="B3" s="5"/>
      <c r="C3" s="5"/>
      <c r="D3" s="4"/>
      <c r="E3" s="8" t="str">
        <f>'RECAP #9484.00'!E3</f>
        <v>Major Program 4D03</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84</v>
      </c>
      <c r="F6" s="42"/>
      <c r="G6" s="43"/>
      <c r="H6" s="39"/>
      <c r="I6" s="35"/>
      <c r="J6" s="29"/>
    </row>
    <row r="7" spans="1:10" ht="15.75" x14ac:dyDescent="0.25">
      <c r="A7" s="11" t="str">
        <f>'RECAP #9484.00'!B6</f>
        <v>Project Manager - Brad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v>20000</v>
      </c>
      <c r="F9" s="233">
        <f>E9</f>
        <v>20000</v>
      </c>
      <c r="G9" s="234"/>
      <c r="H9" s="234"/>
      <c r="I9" s="234">
        <f>F9</f>
        <v>20000</v>
      </c>
      <c r="J9" s="235"/>
    </row>
    <row r="10" spans="1:10" s="223" customFormat="1" ht="12.75" customHeight="1" x14ac:dyDescent="0.25">
      <c r="A10" s="176" t="s">
        <v>87</v>
      </c>
      <c r="B10" s="177">
        <v>45876</v>
      </c>
      <c r="C10" s="178">
        <v>2507</v>
      </c>
      <c r="D10" s="148" t="s">
        <v>88</v>
      </c>
      <c r="E10" s="233"/>
      <c r="F10" s="233">
        <f t="shared" ref="F10:F41" si="0">F9+E10</f>
        <v>20000</v>
      </c>
      <c r="G10" s="237">
        <f>19.58+28.31</f>
        <v>47.89</v>
      </c>
      <c r="H10" s="234">
        <f t="shared" ref="H10:H41" si="1">H9+G10</f>
        <v>47.89</v>
      </c>
      <c r="I10" s="234">
        <f t="shared" ref="I10:I41" si="2">I9-G10+E10</f>
        <v>19952.11</v>
      </c>
      <c r="J10" s="235"/>
    </row>
    <row r="11" spans="1:10" s="223" customFormat="1" ht="12.75" customHeight="1" x14ac:dyDescent="0.25">
      <c r="A11" s="176" t="s">
        <v>87</v>
      </c>
      <c r="B11" s="177">
        <v>45876</v>
      </c>
      <c r="C11" s="178">
        <v>9500</v>
      </c>
      <c r="D11" s="149" t="s">
        <v>89</v>
      </c>
      <c r="E11" s="233"/>
      <c r="F11" s="233">
        <f t="shared" si="0"/>
        <v>20000</v>
      </c>
      <c r="G11" s="237">
        <f>35+497.2</f>
        <v>532.20000000000005</v>
      </c>
      <c r="H11" s="234">
        <f t="shared" si="1"/>
        <v>580.09</v>
      </c>
      <c r="I11" s="234">
        <f t="shared" si="2"/>
        <v>19419.91</v>
      </c>
      <c r="J11" s="235"/>
    </row>
    <row r="12" spans="1:10" s="223" customFormat="1" ht="12.75" customHeight="1" x14ac:dyDescent="0.25">
      <c r="A12" s="176" t="s">
        <v>123</v>
      </c>
      <c r="B12" s="177">
        <v>45908</v>
      </c>
      <c r="C12" s="178">
        <v>2507</v>
      </c>
      <c r="D12" s="148" t="s">
        <v>124</v>
      </c>
      <c r="E12" s="233"/>
      <c r="F12" s="233">
        <f t="shared" si="0"/>
        <v>20000</v>
      </c>
      <c r="G12" s="237">
        <v>105.15</v>
      </c>
      <c r="H12" s="234">
        <f t="shared" si="1"/>
        <v>685.24</v>
      </c>
      <c r="I12" s="234">
        <f t="shared" si="2"/>
        <v>19314.759999999998</v>
      </c>
      <c r="J12" s="235"/>
    </row>
    <row r="13" spans="1:10" s="223" customFormat="1" ht="12.75" customHeight="1" x14ac:dyDescent="0.25">
      <c r="A13" s="176" t="s">
        <v>123</v>
      </c>
      <c r="B13" s="177">
        <v>45908</v>
      </c>
      <c r="C13" s="178">
        <v>9500</v>
      </c>
      <c r="D13" s="149" t="s">
        <v>125</v>
      </c>
      <c r="E13" s="233"/>
      <c r="F13" s="233">
        <f t="shared" si="0"/>
        <v>20000</v>
      </c>
      <c r="G13" s="237">
        <v>820.1</v>
      </c>
      <c r="H13" s="234">
        <f t="shared" si="1"/>
        <v>1505.3400000000001</v>
      </c>
      <c r="I13" s="234">
        <f t="shared" si="2"/>
        <v>18494.66</v>
      </c>
      <c r="J13" s="235"/>
    </row>
    <row r="14" spans="1:10" s="223" customFormat="1" ht="12.75" customHeight="1" x14ac:dyDescent="0.25">
      <c r="A14" s="176" t="s">
        <v>260</v>
      </c>
      <c r="B14" s="177">
        <v>45937</v>
      </c>
      <c r="C14" s="178" t="s">
        <v>261</v>
      </c>
      <c r="D14" s="148" t="s">
        <v>262</v>
      </c>
      <c r="E14" s="233"/>
      <c r="F14" s="233">
        <f t="shared" si="0"/>
        <v>20000</v>
      </c>
      <c r="G14" s="237">
        <v>154.88</v>
      </c>
      <c r="H14" s="234">
        <f t="shared" si="1"/>
        <v>1660.2200000000003</v>
      </c>
      <c r="I14" s="234">
        <f t="shared" si="2"/>
        <v>18339.78</v>
      </c>
      <c r="J14" s="235"/>
    </row>
    <row r="15" spans="1:10" s="223" customFormat="1" ht="12.75" customHeight="1" x14ac:dyDescent="0.25">
      <c r="A15" s="176" t="s">
        <v>260</v>
      </c>
      <c r="B15" s="177">
        <v>45937</v>
      </c>
      <c r="C15" s="178">
        <v>9500</v>
      </c>
      <c r="D15" s="149" t="s">
        <v>263</v>
      </c>
      <c r="E15" s="233"/>
      <c r="F15" s="233">
        <f t="shared" si="0"/>
        <v>20000</v>
      </c>
      <c r="G15" s="237">
        <v>808.3</v>
      </c>
      <c r="H15" s="234">
        <f t="shared" si="1"/>
        <v>2468.5200000000004</v>
      </c>
      <c r="I15" s="234">
        <f t="shared" si="2"/>
        <v>17531.48</v>
      </c>
      <c r="J15" s="235"/>
    </row>
    <row r="16" spans="1:10" s="223" customFormat="1" ht="12.75" customHeight="1" x14ac:dyDescent="0.25">
      <c r="A16" s="176" t="s">
        <v>314</v>
      </c>
      <c r="B16" s="177">
        <v>45968</v>
      </c>
      <c r="C16" s="178" t="s">
        <v>261</v>
      </c>
      <c r="D16" s="148" t="s">
        <v>315</v>
      </c>
      <c r="E16" s="233"/>
      <c r="F16" s="233">
        <f t="shared" si="0"/>
        <v>20000</v>
      </c>
      <c r="G16" s="237">
        <v>71.84</v>
      </c>
      <c r="H16" s="234">
        <f t="shared" si="1"/>
        <v>2540.3600000000006</v>
      </c>
      <c r="I16" s="234">
        <f t="shared" si="2"/>
        <v>17459.64</v>
      </c>
      <c r="J16" s="235"/>
    </row>
    <row r="17" spans="1:10" s="223" customFormat="1" ht="12.75" customHeight="1" x14ac:dyDescent="0.25">
      <c r="A17" s="176" t="s">
        <v>314</v>
      </c>
      <c r="B17" s="177">
        <v>45968</v>
      </c>
      <c r="C17" s="178">
        <v>9500</v>
      </c>
      <c r="D17" s="149" t="s">
        <v>316</v>
      </c>
      <c r="E17" s="233"/>
      <c r="F17" s="233">
        <f t="shared" si="0"/>
        <v>20000</v>
      </c>
      <c r="G17" s="237">
        <v>712.1</v>
      </c>
      <c r="H17" s="234">
        <f t="shared" si="1"/>
        <v>3252.4600000000005</v>
      </c>
      <c r="I17" s="234">
        <f t="shared" si="2"/>
        <v>16747.54</v>
      </c>
      <c r="J17" s="235"/>
    </row>
    <row r="18" spans="1:10" s="223" customFormat="1" ht="12.75" customHeight="1" x14ac:dyDescent="0.2">
      <c r="A18" s="70" t="s">
        <v>364</v>
      </c>
      <c r="B18" s="50">
        <v>45996</v>
      </c>
      <c r="C18" s="53" t="s">
        <v>261</v>
      </c>
      <c r="D18" s="144" t="s">
        <v>365</v>
      </c>
      <c r="E18" s="233"/>
      <c r="F18" s="233">
        <f t="shared" si="0"/>
        <v>20000</v>
      </c>
      <c r="G18" s="237">
        <v>105.54</v>
      </c>
      <c r="H18" s="234">
        <f t="shared" si="1"/>
        <v>3358.0000000000005</v>
      </c>
      <c r="I18" s="234">
        <f t="shared" si="2"/>
        <v>16642</v>
      </c>
      <c r="J18" s="235"/>
    </row>
    <row r="19" spans="1:10" s="223" customFormat="1" ht="12.75" customHeight="1" x14ac:dyDescent="0.2">
      <c r="A19" s="70" t="s">
        <v>364</v>
      </c>
      <c r="B19" s="50">
        <v>45996</v>
      </c>
      <c r="C19" s="268">
        <v>9500</v>
      </c>
      <c r="D19" s="66" t="s">
        <v>366</v>
      </c>
      <c r="E19" s="233"/>
      <c r="F19" s="233">
        <f t="shared" si="0"/>
        <v>20000</v>
      </c>
      <c r="G19" s="237">
        <v>670.4</v>
      </c>
      <c r="H19" s="234">
        <f t="shared" si="1"/>
        <v>4028.4000000000005</v>
      </c>
      <c r="I19" s="234">
        <f t="shared" si="2"/>
        <v>15971.6</v>
      </c>
      <c r="J19" s="235"/>
    </row>
    <row r="20" spans="1:10" s="223" customFormat="1" ht="12.75" customHeight="1" x14ac:dyDescent="0.2">
      <c r="A20" s="70" t="s">
        <v>423</v>
      </c>
      <c r="B20" s="50">
        <v>46030</v>
      </c>
      <c r="C20" s="53" t="s">
        <v>261</v>
      </c>
      <c r="D20" s="144" t="s">
        <v>424</v>
      </c>
      <c r="E20" s="233"/>
      <c r="F20" s="233">
        <f t="shared" si="0"/>
        <v>20000</v>
      </c>
      <c r="G20" s="237">
        <v>128.69</v>
      </c>
      <c r="H20" s="234">
        <f t="shared" si="1"/>
        <v>4157.09</v>
      </c>
      <c r="I20" s="234">
        <f t="shared" si="2"/>
        <v>15842.91</v>
      </c>
      <c r="J20" s="235"/>
    </row>
    <row r="21" spans="1:10" s="223" customFormat="1" ht="12.75" customHeight="1" x14ac:dyDescent="0.2">
      <c r="A21" s="70" t="s">
        <v>423</v>
      </c>
      <c r="B21" s="50">
        <v>46030</v>
      </c>
      <c r="C21" s="268">
        <v>9500</v>
      </c>
      <c r="D21" s="66" t="s">
        <v>425</v>
      </c>
      <c r="E21" s="233"/>
      <c r="F21" s="233">
        <f t="shared" si="0"/>
        <v>20000</v>
      </c>
      <c r="G21" s="237">
        <v>1465.3</v>
      </c>
      <c r="H21" s="234">
        <f t="shared" si="1"/>
        <v>5622.39</v>
      </c>
      <c r="I21" s="234">
        <f t="shared" si="2"/>
        <v>14377.61</v>
      </c>
      <c r="J21" s="235"/>
    </row>
    <row r="22" spans="1:10" s="223" customFormat="1" ht="12.75" customHeight="1" x14ac:dyDescent="0.2">
      <c r="A22" s="70" t="s">
        <v>548</v>
      </c>
      <c r="B22" s="50">
        <v>46062</v>
      </c>
      <c r="C22" s="53" t="s">
        <v>261</v>
      </c>
      <c r="D22" s="144" t="s">
        <v>549</v>
      </c>
      <c r="E22" s="233"/>
      <c r="F22" s="233">
        <f t="shared" si="0"/>
        <v>20000</v>
      </c>
      <c r="G22" s="237">
        <v>104.43</v>
      </c>
      <c r="H22" s="234">
        <f t="shared" si="1"/>
        <v>5726.8200000000006</v>
      </c>
      <c r="I22" s="234">
        <f t="shared" si="2"/>
        <v>14273.18</v>
      </c>
      <c r="J22" s="235"/>
    </row>
    <row r="23" spans="1:10" s="223" customFormat="1" ht="12.75" customHeight="1" x14ac:dyDescent="0.2">
      <c r="A23" s="70" t="s">
        <v>548</v>
      </c>
      <c r="B23" s="50">
        <v>46062</v>
      </c>
      <c r="C23" s="268">
        <v>9500</v>
      </c>
      <c r="D23" s="66" t="s">
        <v>550</v>
      </c>
      <c r="E23" s="233"/>
      <c r="F23" s="233">
        <f t="shared" si="0"/>
        <v>20000</v>
      </c>
      <c r="G23" s="237">
        <v>1295.3</v>
      </c>
      <c r="H23" s="234">
        <f t="shared" si="1"/>
        <v>7022.1200000000008</v>
      </c>
      <c r="I23" s="234">
        <f t="shared" si="2"/>
        <v>12977.880000000001</v>
      </c>
      <c r="J23" s="235"/>
    </row>
    <row r="24" spans="1:10" s="223" customFormat="1" ht="12.75" customHeight="1" x14ac:dyDescent="0.2">
      <c r="A24" s="70" t="s">
        <v>644</v>
      </c>
      <c r="B24" s="50">
        <v>46090</v>
      </c>
      <c r="C24" s="53" t="s">
        <v>261</v>
      </c>
      <c r="D24" s="144" t="s">
        <v>645</v>
      </c>
      <c r="E24" s="233"/>
      <c r="F24" s="233">
        <f t="shared" si="0"/>
        <v>20000</v>
      </c>
      <c r="G24" s="237">
        <v>75.260000000000005</v>
      </c>
      <c r="H24" s="234">
        <f t="shared" si="1"/>
        <v>7097.380000000001</v>
      </c>
      <c r="I24" s="234">
        <f t="shared" si="2"/>
        <v>12902.62</v>
      </c>
      <c r="J24" s="235"/>
    </row>
    <row r="25" spans="1:10" s="223" customFormat="1" ht="12.75" customHeight="1" x14ac:dyDescent="0.2">
      <c r="A25" s="70" t="s">
        <v>644</v>
      </c>
      <c r="B25" s="50">
        <v>46090</v>
      </c>
      <c r="C25" s="268">
        <v>9500</v>
      </c>
      <c r="D25" s="66" t="s">
        <v>646</v>
      </c>
      <c r="E25" s="233"/>
      <c r="F25" s="233">
        <f t="shared" si="0"/>
        <v>20000</v>
      </c>
      <c r="G25" s="237">
        <v>862.2</v>
      </c>
      <c r="H25" s="234">
        <f t="shared" si="1"/>
        <v>7959.5800000000008</v>
      </c>
      <c r="I25" s="234">
        <f t="shared" si="2"/>
        <v>12040.42</v>
      </c>
      <c r="J25" s="235"/>
    </row>
    <row r="26" spans="1:10" s="223" customFormat="1" ht="12.75" customHeight="1" x14ac:dyDescent="0.2">
      <c r="A26" s="70" t="s">
        <v>744</v>
      </c>
      <c r="B26" s="50">
        <v>46118</v>
      </c>
      <c r="C26" s="53" t="s">
        <v>261</v>
      </c>
      <c r="D26" s="144" t="s">
        <v>745</v>
      </c>
      <c r="E26" s="233"/>
      <c r="F26" s="233">
        <f t="shared" si="0"/>
        <v>20000</v>
      </c>
      <c r="G26" s="237">
        <v>93.15</v>
      </c>
      <c r="H26" s="234">
        <f t="shared" si="1"/>
        <v>8052.7300000000005</v>
      </c>
      <c r="I26" s="234">
        <f t="shared" si="2"/>
        <v>11947.27</v>
      </c>
      <c r="J26" s="235"/>
    </row>
    <row r="27" spans="1:10" s="223" customFormat="1" ht="12.75" customHeight="1" x14ac:dyDescent="0.2">
      <c r="A27" s="70" t="s">
        <v>744</v>
      </c>
      <c r="B27" s="50">
        <v>46118</v>
      </c>
      <c r="C27" s="268">
        <v>9500</v>
      </c>
      <c r="D27" s="66" t="s">
        <v>746</v>
      </c>
      <c r="E27" s="233"/>
      <c r="F27" s="233">
        <f t="shared" si="0"/>
        <v>20000</v>
      </c>
      <c r="G27" s="237">
        <v>756</v>
      </c>
      <c r="H27" s="234">
        <f t="shared" si="1"/>
        <v>8808.73</v>
      </c>
      <c r="I27" s="234">
        <f t="shared" si="2"/>
        <v>11191.27</v>
      </c>
      <c r="J27" s="235"/>
    </row>
    <row r="28" spans="1:10" s="223" customFormat="1" ht="12.75" customHeight="1" x14ac:dyDescent="0.2">
      <c r="A28" s="70" t="s">
        <v>869</v>
      </c>
      <c r="B28" s="50">
        <v>46149</v>
      </c>
      <c r="C28" s="53" t="s">
        <v>261</v>
      </c>
      <c r="D28" s="144" t="s">
        <v>870</v>
      </c>
      <c r="E28" s="233"/>
      <c r="F28" s="233">
        <f t="shared" si="0"/>
        <v>20000</v>
      </c>
      <c r="G28" s="237">
        <v>62.08</v>
      </c>
      <c r="H28" s="234">
        <f t="shared" si="1"/>
        <v>8870.81</v>
      </c>
      <c r="I28" s="234">
        <f t="shared" si="2"/>
        <v>11129.19</v>
      </c>
      <c r="J28" s="235"/>
    </row>
    <row r="29" spans="1:10" s="223" customFormat="1" ht="12.75" customHeight="1" x14ac:dyDescent="0.2">
      <c r="A29" s="70" t="s">
        <v>869</v>
      </c>
      <c r="B29" s="50">
        <v>46149</v>
      </c>
      <c r="C29" s="268">
        <v>9500</v>
      </c>
      <c r="D29" s="66" t="s">
        <v>871</v>
      </c>
      <c r="E29" s="233"/>
      <c r="F29" s="233">
        <f t="shared" si="0"/>
        <v>20000</v>
      </c>
      <c r="G29" s="237">
        <v>649.5</v>
      </c>
      <c r="H29" s="234">
        <f t="shared" si="1"/>
        <v>9520.31</v>
      </c>
      <c r="I29" s="234">
        <f t="shared" si="2"/>
        <v>10479.69</v>
      </c>
      <c r="J29" s="235"/>
    </row>
    <row r="30" spans="1:10" s="223" customFormat="1" ht="12.75" customHeight="1" x14ac:dyDescent="0.2">
      <c r="A30" s="70" t="s">
        <v>984</v>
      </c>
      <c r="B30" s="50">
        <v>46181</v>
      </c>
      <c r="C30" s="53" t="s">
        <v>261</v>
      </c>
      <c r="D30" s="144" t="s">
        <v>985</v>
      </c>
      <c r="E30" s="233"/>
      <c r="F30" s="233">
        <f t="shared" si="0"/>
        <v>20000</v>
      </c>
      <c r="G30" s="237">
        <v>63.47</v>
      </c>
      <c r="H30" s="234">
        <f t="shared" si="1"/>
        <v>9583.7799999999988</v>
      </c>
      <c r="I30" s="234">
        <f t="shared" si="2"/>
        <v>10416.220000000001</v>
      </c>
      <c r="J30" s="235"/>
    </row>
    <row r="31" spans="1:10" s="223" customFormat="1" ht="12.75" customHeight="1" x14ac:dyDescent="0.2">
      <c r="A31" s="70" t="s">
        <v>984</v>
      </c>
      <c r="B31" s="50">
        <v>46181</v>
      </c>
      <c r="C31" s="268">
        <v>9500</v>
      </c>
      <c r="D31" s="66" t="s">
        <v>986</v>
      </c>
      <c r="E31" s="233"/>
      <c r="F31" s="233">
        <f t="shared" si="0"/>
        <v>20000</v>
      </c>
      <c r="G31" s="237">
        <v>772.4</v>
      </c>
      <c r="H31" s="234">
        <f t="shared" si="1"/>
        <v>10356.179999999998</v>
      </c>
      <c r="I31" s="234">
        <f t="shared" si="2"/>
        <v>9643.8200000000015</v>
      </c>
      <c r="J31" s="235"/>
    </row>
    <row r="32" spans="1:10" s="223" customFormat="1" ht="12.75" customHeight="1" x14ac:dyDescent="0.2">
      <c r="A32" s="70" t="s">
        <v>1186</v>
      </c>
      <c r="B32" s="50">
        <v>46211</v>
      </c>
      <c r="C32" s="53" t="s">
        <v>261</v>
      </c>
      <c r="D32" s="144" t="s">
        <v>1187</v>
      </c>
      <c r="E32" s="233"/>
      <c r="F32" s="233">
        <f t="shared" si="0"/>
        <v>20000</v>
      </c>
      <c r="G32" s="237">
        <v>117.11</v>
      </c>
      <c r="H32" s="234">
        <f t="shared" si="1"/>
        <v>10473.289999999999</v>
      </c>
      <c r="I32" s="234">
        <f t="shared" si="2"/>
        <v>9526.7100000000009</v>
      </c>
      <c r="J32" s="235"/>
    </row>
    <row r="33" spans="1:10" s="223" customFormat="1" ht="12.75" customHeight="1" x14ac:dyDescent="0.2">
      <c r="A33" s="70" t="s">
        <v>1186</v>
      </c>
      <c r="B33" s="50">
        <v>46211</v>
      </c>
      <c r="C33" s="268">
        <v>9500</v>
      </c>
      <c r="D33" s="66" t="s">
        <v>1188</v>
      </c>
      <c r="E33" s="233"/>
      <c r="F33" s="233">
        <f t="shared" si="0"/>
        <v>20000</v>
      </c>
      <c r="G33" s="237">
        <v>1347.3</v>
      </c>
      <c r="H33" s="234">
        <f t="shared" si="1"/>
        <v>11820.589999999998</v>
      </c>
      <c r="I33" s="234">
        <f t="shared" si="2"/>
        <v>8179.4100000000008</v>
      </c>
      <c r="J33" s="235"/>
    </row>
    <row r="34" spans="1:10" s="223" customFormat="1" ht="12.75" customHeight="1" x14ac:dyDescent="0.2">
      <c r="A34" s="70" t="s">
        <v>1265</v>
      </c>
      <c r="B34" s="50">
        <v>46218</v>
      </c>
      <c r="C34" s="53" t="s">
        <v>261</v>
      </c>
      <c r="D34" s="144" t="s">
        <v>1266</v>
      </c>
      <c r="E34" s="233"/>
      <c r="F34" s="233">
        <f t="shared" si="0"/>
        <v>20000</v>
      </c>
      <c r="G34" s="237">
        <v>47.17</v>
      </c>
      <c r="H34" s="234">
        <f t="shared" si="1"/>
        <v>11867.759999999998</v>
      </c>
      <c r="I34" s="234">
        <f t="shared" si="2"/>
        <v>8132.2400000000007</v>
      </c>
      <c r="J34" s="235"/>
    </row>
    <row r="35" spans="1:10" s="223" customFormat="1" ht="12.75" customHeight="1" x14ac:dyDescent="0.2">
      <c r="A35" s="70" t="s">
        <v>1436</v>
      </c>
      <c r="B35" s="365">
        <v>46241</v>
      </c>
      <c r="C35" s="53" t="s">
        <v>261</v>
      </c>
      <c r="D35" s="144" t="s">
        <v>1437</v>
      </c>
      <c r="E35" s="233"/>
      <c r="F35" s="233">
        <f t="shared" si="0"/>
        <v>20000</v>
      </c>
      <c r="G35" s="237">
        <v>135.27000000000001</v>
      </c>
      <c r="H35" s="234">
        <f t="shared" si="1"/>
        <v>12003.029999999999</v>
      </c>
      <c r="I35" s="234">
        <f t="shared" si="2"/>
        <v>7996.97</v>
      </c>
      <c r="J35" s="235"/>
    </row>
    <row r="36" spans="1:10" s="223" customFormat="1" ht="12.75" customHeight="1" x14ac:dyDescent="0.2">
      <c r="A36" s="70" t="s">
        <v>1436</v>
      </c>
      <c r="B36" s="365">
        <v>46241</v>
      </c>
      <c r="C36" s="268">
        <v>9500</v>
      </c>
      <c r="D36" s="66" t="s">
        <v>1438</v>
      </c>
      <c r="E36" s="233"/>
      <c r="F36" s="233">
        <f t="shared" si="0"/>
        <v>20000</v>
      </c>
      <c r="G36" s="237">
        <v>1454.5</v>
      </c>
      <c r="H36" s="234">
        <f t="shared" si="1"/>
        <v>13457.529999999999</v>
      </c>
      <c r="I36" s="234">
        <f t="shared" si="2"/>
        <v>6542.47</v>
      </c>
      <c r="J36" s="235"/>
    </row>
    <row r="37" spans="1:10" s="223" customFormat="1" ht="12.75" customHeight="1" x14ac:dyDescent="0.2">
      <c r="A37" s="70" t="s">
        <v>1531</v>
      </c>
      <c r="B37" s="365">
        <v>46272</v>
      </c>
      <c r="C37" s="53" t="s">
        <v>261</v>
      </c>
      <c r="D37" s="144" t="s">
        <v>1532</v>
      </c>
      <c r="E37" s="233"/>
      <c r="F37" s="233">
        <f t="shared" si="0"/>
        <v>20000</v>
      </c>
      <c r="G37" s="237">
        <v>143.65</v>
      </c>
      <c r="H37" s="234">
        <f t="shared" si="1"/>
        <v>13601.179999999998</v>
      </c>
      <c r="I37" s="234">
        <f t="shared" si="2"/>
        <v>6398.8200000000006</v>
      </c>
      <c r="J37" s="235"/>
    </row>
    <row r="38" spans="1:10" s="223" customFormat="1" ht="12.75" customHeight="1" x14ac:dyDescent="0.2">
      <c r="A38" s="70" t="s">
        <v>1531</v>
      </c>
      <c r="B38" s="365">
        <v>46272</v>
      </c>
      <c r="C38" s="268">
        <v>9500</v>
      </c>
      <c r="D38" s="66" t="s">
        <v>1533</v>
      </c>
      <c r="E38" s="233"/>
      <c r="F38" s="233">
        <f t="shared" si="0"/>
        <v>20000</v>
      </c>
      <c r="G38" s="237">
        <v>1401</v>
      </c>
      <c r="H38" s="234">
        <f t="shared" si="1"/>
        <v>15002.179999999998</v>
      </c>
      <c r="I38" s="234">
        <f t="shared" si="2"/>
        <v>4997.8200000000006</v>
      </c>
      <c r="J38" s="235"/>
    </row>
    <row r="39" spans="1:10" s="223" customFormat="1" ht="12.75" customHeight="1" x14ac:dyDescent="0.2">
      <c r="A39" s="70"/>
      <c r="B39" s="365"/>
      <c r="C39" s="268"/>
      <c r="D39" s="66"/>
      <c r="E39" s="233"/>
      <c r="F39" s="233">
        <f t="shared" si="0"/>
        <v>20000</v>
      </c>
      <c r="G39" s="238"/>
      <c r="H39" s="234">
        <f t="shared" si="1"/>
        <v>15002.179999999998</v>
      </c>
      <c r="I39" s="234">
        <f t="shared" si="2"/>
        <v>4997.8200000000006</v>
      </c>
      <c r="J39" s="235"/>
    </row>
    <row r="40" spans="1:10" s="223" customFormat="1" ht="12.75" customHeight="1" x14ac:dyDescent="0.2">
      <c r="A40" s="70"/>
      <c r="B40" s="365"/>
      <c r="C40" s="268"/>
      <c r="D40" s="66"/>
      <c r="E40" s="233"/>
      <c r="F40" s="233">
        <f t="shared" si="0"/>
        <v>20000</v>
      </c>
      <c r="G40" s="238"/>
      <c r="H40" s="234">
        <f t="shared" si="1"/>
        <v>15002.179999999998</v>
      </c>
      <c r="I40" s="234">
        <f t="shared" si="2"/>
        <v>4997.8200000000006</v>
      </c>
      <c r="J40" s="235"/>
    </row>
    <row r="41" spans="1:10" s="223" customFormat="1" ht="12.75" customHeight="1" x14ac:dyDescent="0.2">
      <c r="A41" s="70"/>
      <c r="B41" s="365"/>
      <c r="C41" s="268"/>
      <c r="D41" s="66"/>
      <c r="E41" s="233"/>
      <c r="F41" s="233">
        <f t="shared" si="0"/>
        <v>20000</v>
      </c>
      <c r="G41" s="238"/>
      <c r="H41" s="234">
        <f t="shared" si="1"/>
        <v>15002.179999999998</v>
      </c>
      <c r="I41" s="234">
        <f t="shared" si="2"/>
        <v>4997.8200000000006</v>
      </c>
      <c r="J41" s="235"/>
    </row>
    <row r="42" spans="1:10" s="223" customFormat="1" ht="12.75" customHeight="1" x14ac:dyDescent="0.25">
      <c r="A42" s="230"/>
      <c r="B42" s="231"/>
      <c r="C42" s="178"/>
      <c r="D42" s="240"/>
      <c r="E42" s="234"/>
      <c r="F42" s="234"/>
      <c r="G42" s="234"/>
      <c r="H42" s="234"/>
      <c r="I42" s="234"/>
      <c r="J42" s="235"/>
    </row>
    <row r="43" spans="1:10" s="223" customFormat="1" ht="12.75" customHeight="1" thickBot="1" x14ac:dyDescent="0.3">
      <c r="A43" s="230"/>
      <c r="B43" s="243"/>
      <c r="C43" s="178"/>
      <c r="D43" s="244" t="s">
        <v>24</v>
      </c>
      <c r="E43" s="245">
        <f>SUM(E9:E42)</f>
        <v>20000</v>
      </c>
      <c r="F43" s="245"/>
      <c r="G43" s="245">
        <f>SUM(G9:G42)</f>
        <v>15002.179999999998</v>
      </c>
      <c r="H43" s="245"/>
      <c r="I43" s="245">
        <f>E43-G43</f>
        <v>4997.8200000000015</v>
      </c>
      <c r="J43" s="235"/>
    </row>
    <row r="44" spans="1:10" s="223" customFormat="1" ht="12.75" customHeight="1" thickTop="1" x14ac:dyDescent="0.25"/>
  </sheetData>
  <pageMargins left="0.25" right="0.25" top="0.95" bottom="0.75" header="0.09" footer="0.3"/>
  <pageSetup scale="62"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4597A-6E53-47D4-9CE4-09E4FB820458}">
  <sheetPr codeName="Sheet178">
    <pageSetUpPr fitToPage="1"/>
  </sheetPr>
  <dimension ref="A1:H23"/>
  <sheetViews>
    <sheetView zoomScaleNormal="100" workbookViewId="0">
      <selection activeCell="J22" sqref="J22:J2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6" customWidth="1"/>
    <col min="6" max="6" width="16"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#9484.00'!B1</f>
        <v>ILEA JOH Hydraulic Elevator Replacement</v>
      </c>
      <c r="B1" s="3"/>
      <c r="C1" s="3"/>
      <c r="D1" s="3"/>
      <c r="E1" s="4"/>
      <c r="F1" s="4"/>
      <c r="G1" s="4"/>
      <c r="H1" s="28"/>
    </row>
    <row r="2" spans="1:8" ht="15.75" x14ac:dyDescent="0.25">
      <c r="A2" s="6" t="str">
        <f>'RECAP #9484.00'!B2</f>
        <v>Project # 9484.00</v>
      </c>
      <c r="B2" s="5"/>
      <c r="C2" s="5"/>
      <c r="D2" s="5"/>
      <c r="E2" s="4"/>
      <c r="F2" s="4"/>
      <c r="G2" s="4"/>
      <c r="H2" s="28"/>
    </row>
    <row r="3" spans="1:8" ht="15.75" x14ac:dyDescent="0.25">
      <c r="A3" s="7" t="str">
        <f>'RECAP #9484.00'!B3</f>
        <v>Program code 948400</v>
      </c>
      <c r="B3" s="5"/>
      <c r="C3" s="5"/>
      <c r="D3" s="5"/>
      <c r="E3" s="8" t="str">
        <f>'RECAP #9484.00'!E3</f>
        <v>Major Program 4D03</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292</v>
      </c>
      <c r="F6" s="35"/>
      <c r="G6" s="38"/>
      <c r="H6" s="39"/>
    </row>
    <row r="7" spans="1:8" ht="15.75" x14ac:dyDescent="0.25">
      <c r="A7" s="11" t="str">
        <f>'RECAP #9484.00'!B6</f>
        <v>Project Manager - Brad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367</v>
      </c>
      <c r="B9" s="177">
        <v>46013</v>
      </c>
      <c r="C9" s="241" t="s">
        <v>361</v>
      </c>
      <c r="D9" s="241" t="s">
        <v>362</v>
      </c>
      <c r="E9" s="38" t="s">
        <v>368</v>
      </c>
      <c r="F9" s="259" t="s">
        <v>369</v>
      </c>
      <c r="G9" s="237">
        <v>223.08</v>
      </c>
      <c r="H9" s="260">
        <f>G9</f>
        <v>223.08</v>
      </c>
    </row>
    <row r="10" spans="1:8" s="223" customFormat="1" ht="12.75" customHeight="1" x14ac:dyDescent="0.25">
      <c r="A10" s="176" t="s">
        <v>1393</v>
      </c>
      <c r="B10" s="177">
        <v>46238</v>
      </c>
      <c r="C10" s="241" t="s">
        <v>361</v>
      </c>
      <c r="D10" s="241" t="s">
        <v>362</v>
      </c>
      <c r="E10" s="258" t="s">
        <v>1392</v>
      </c>
      <c r="F10" s="272" t="s">
        <v>1391</v>
      </c>
      <c r="G10" s="237">
        <v>1233</v>
      </c>
      <c r="H10" s="260">
        <f>H9+G10</f>
        <v>1456.08</v>
      </c>
    </row>
    <row r="11" spans="1:8" s="223" customFormat="1" ht="12.75" customHeight="1" x14ac:dyDescent="0.25">
      <c r="A11" s="241"/>
      <c r="B11" s="177"/>
      <c r="C11" s="177"/>
      <c r="D11" s="177"/>
      <c r="E11" s="258"/>
      <c r="F11" s="252"/>
      <c r="G11" s="260"/>
      <c r="H11" s="260">
        <f t="shared" ref="H11:H20" si="0">H10+G11</f>
        <v>1456.08</v>
      </c>
    </row>
    <row r="12" spans="1:8" s="223" customFormat="1" ht="12.75" customHeight="1" x14ac:dyDescent="0.25">
      <c r="A12" s="241" t="s">
        <v>2</v>
      </c>
      <c r="B12" s="177" t="s">
        <v>2</v>
      </c>
      <c r="C12" s="177"/>
      <c r="D12" s="177"/>
      <c r="E12" s="258" t="s">
        <v>2</v>
      </c>
      <c r="F12" s="252"/>
      <c r="G12" s="260"/>
      <c r="H12" s="260">
        <f t="shared" si="0"/>
        <v>1456.08</v>
      </c>
    </row>
    <row r="13" spans="1:8" s="223" customFormat="1" ht="12.75" customHeight="1" x14ac:dyDescent="0.25">
      <c r="A13" s="241" t="s">
        <v>2</v>
      </c>
      <c r="B13" s="177" t="s">
        <v>2</v>
      </c>
      <c r="C13" s="177"/>
      <c r="D13" s="177"/>
      <c r="E13" s="258" t="s">
        <v>2</v>
      </c>
      <c r="F13" s="252"/>
      <c r="G13" s="260"/>
      <c r="H13" s="260">
        <f t="shared" si="0"/>
        <v>1456.08</v>
      </c>
    </row>
    <row r="14" spans="1:8" s="223" customFormat="1" ht="12.75" customHeight="1" x14ac:dyDescent="0.25">
      <c r="A14" s="241"/>
      <c r="B14" s="177"/>
      <c r="C14" s="177"/>
      <c r="D14" s="177"/>
      <c r="E14" s="258"/>
      <c r="F14" s="252"/>
      <c r="G14" s="260"/>
      <c r="H14" s="260">
        <f t="shared" si="0"/>
        <v>1456.08</v>
      </c>
    </row>
    <row r="15" spans="1:8" s="223" customFormat="1" ht="12.75" customHeight="1" x14ac:dyDescent="0.25">
      <c r="A15" s="241"/>
      <c r="B15" s="177"/>
      <c r="C15" s="177"/>
      <c r="D15" s="177"/>
      <c r="E15" s="261"/>
      <c r="F15" s="252"/>
      <c r="G15" s="260"/>
      <c r="H15" s="260">
        <f t="shared" si="0"/>
        <v>1456.08</v>
      </c>
    </row>
    <row r="16" spans="1:8" s="223" customFormat="1" ht="12.75" customHeight="1" x14ac:dyDescent="0.25">
      <c r="A16" s="241"/>
      <c r="B16" s="177"/>
      <c r="C16" s="177"/>
      <c r="D16" s="177"/>
      <c r="E16" s="258"/>
      <c r="F16" s="252"/>
      <c r="G16" s="260"/>
      <c r="H16" s="260">
        <f t="shared" si="0"/>
        <v>1456.08</v>
      </c>
    </row>
    <row r="17" spans="1:8" s="223" customFormat="1" ht="12.75" customHeight="1" x14ac:dyDescent="0.25">
      <c r="A17" s="230"/>
      <c r="B17" s="177"/>
      <c r="C17" s="177"/>
      <c r="D17" s="177"/>
      <c r="E17" s="258"/>
      <c r="F17" s="252"/>
      <c r="G17" s="260"/>
      <c r="H17" s="260">
        <f t="shared" si="0"/>
        <v>1456.08</v>
      </c>
    </row>
    <row r="18" spans="1:8" s="223" customFormat="1" ht="12.75" customHeight="1" x14ac:dyDescent="0.25">
      <c r="A18" s="230"/>
      <c r="B18" s="177"/>
      <c r="C18" s="177"/>
      <c r="D18" s="177"/>
      <c r="E18" s="258"/>
      <c r="F18" s="252"/>
      <c r="G18" s="260"/>
      <c r="H18" s="260">
        <f t="shared" si="0"/>
        <v>1456.08</v>
      </c>
    </row>
    <row r="19" spans="1:8" s="223" customFormat="1" ht="12.75" customHeight="1" x14ac:dyDescent="0.25">
      <c r="A19" s="230"/>
      <c r="B19" s="177"/>
      <c r="C19" s="177"/>
      <c r="D19" s="177"/>
      <c r="E19" s="258"/>
      <c r="F19" s="252"/>
      <c r="G19" s="260"/>
      <c r="H19" s="260">
        <f t="shared" si="0"/>
        <v>1456.08</v>
      </c>
    </row>
    <row r="20" spans="1:8" s="223" customFormat="1" ht="12.75" customHeight="1" x14ac:dyDescent="0.25">
      <c r="A20" s="230"/>
      <c r="B20" s="177"/>
      <c r="C20" s="177"/>
      <c r="D20" s="177"/>
      <c r="E20" s="258"/>
      <c r="F20" s="252"/>
      <c r="G20" s="260"/>
      <c r="H20" s="260">
        <f t="shared" si="0"/>
        <v>1456.08</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1456.08</v>
      </c>
      <c r="H22" s="265"/>
    </row>
    <row r="23" spans="1:8" s="223" customFormat="1" ht="12.75" customHeight="1" thickTop="1" x14ac:dyDescent="0.25"/>
  </sheetData>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EF0EF-552A-452E-A634-3678AE144A83}">
  <sheetPr>
    <pageSetUpPr fitToPage="1"/>
  </sheetPr>
  <dimension ref="A1:I32"/>
  <sheetViews>
    <sheetView topLeftCell="A6" zoomScaleNormal="100" workbookViewId="0">
      <selection activeCell="F21" sqref="F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#9484.00'!B1</f>
        <v>ILEA JOH Hydraulic Elevator Replacement</v>
      </c>
      <c r="B1" s="3"/>
      <c r="C1" s="4"/>
      <c r="D1" s="4"/>
      <c r="E1" s="4"/>
      <c r="F1" s="28"/>
      <c r="G1" s="28"/>
      <c r="H1" s="29"/>
      <c r="I1" s="29"/>
    </row>
    <row r="2" spans="1:9" ht="15.75" x14ac:dyDescent="0.25">
      <c r="A2" s="6" t="str">
        <f>'RECAP #9484.00'!B2</f>
        <v>Project # 9484.00</v>
      </c>
      <c r="B2" s="5"/>
      <c r="C2" s="4"/>
      <c r="D2" s="4"/>
      <c r="E2" s="4"/>
      <c r="F2" s="28"/>
      <c r="G2" s="28"/>
      <c r="H2" s="29"/>
      <c r="I2" s="29"/>
    </row>
    <row r="3" spans="1:9" ht="15.75" x14ac:dyDescent="0.25">
      <c r="A3" s="7" t="str">
        <f>'RECAP #9484.00'!B3</f>
        <v>Program code 948400</v>
      </c>
      <c r="B3" s="5"/>
      <c r="C3" s="4"/>
      <c r="D3" s="8" t="str">
        <f>'RECAP #9484.00'!E3</f>
        <v>Major Program 4D03</v>
      </c>
      <c r="E3" s="4"/>
      <c r="F3" s="28"/>
      <c r="G3" s="28"/>
      <c r="H3" s="29"/>
      <c r="I3" s="29"/>
    </row>
    <row r="4" spans="1:9" ht="15.75" x14ac:dyDescent="0.25">
      <c r="A4" s="30" t="s">
        <v>114</v>
      </c>
      <c r="B4" s="31"/>
      <c r="C4" s="32"/>
      <c r="D4" s="33" t="s">
        <v>116</v>
      </c>
      <c r="E4" s="28"/>
      <c r="F4" s="28"/>
      <c r="G4" s="28"/>
      <c r="H4" s="29"/>
      <c r="I4" s="29"/>
    </row>
    <row r="5" spans="1:9" ht="15.75" x14ac:dyDescent="0.25">
      <c r="A5" s="34" t="s">
        <v>115</v>
      </c>
      <c r="B5" s="35"/>
      <c r="C5" s="36"/>
      <c r="D5" s="37" t="s">
        <v>117</v>
      </c>
      <c r="E5" s="38"/>
      <c r="F5" s="39"/>
      <c r="G5" s="39"/>
      <c r="H5" s="35"/>
      <c r="I5" s="29"/>
    </row>
    <row r="6" spans="1:9" ht="15.75" x14ac:dyDescent="0.25">
      <c r="A6" s="11" t="str">
        <f>'RECAP #9484.00'!B6</f>
        <v>Project Manager - Brad T.</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119</v>
      </c>
      <c r="B9" s="177">
        <v>45916</v>
      </c>
      <c r="C9" s="231" t="s">
        <v>109</v>
      </c>
      <c r="D9" s="232">
        <v>68920</v>
      </c>
      <c r="E9" s="233">
        <f>D9</f>
        <v>68920</v>
      </c>
      <c r="F9" s="234"/>
      <c r="G9" s="234"/>
      <c r="H9" s="234">
        <f>E9</f>
        <v>68920</v>
      </c>
      <c r="I9" s="235"/>
    </row>
    <row r="10" spans="1:9" s="223" customFormat="1" ht="12.75" customHeight="1" x14ac:dyDescent="0.25">
      <c r="A10" s="230" t="s">
        <v>310</v>
      </c>
      <c r="B10" s="236">
        <v>45966</v>
      </c>
      <c r="C10" s="231" t="s">
        <v>311</v>
      </c>
      <c r="D10" s="233"/>
      <c r="E10" s="233">
        <f t="shared" ref="E10:E22" si="0">E9+D10</f>
        <v>68920</v>
      </c>
      <c r="F10" s="237">
        <v>25500.400000000001</v>
      </c>
      <c r="G10" s="234">
        <f t="shared" ref="G10:G22" si="1">G9+F10</f>
        <v>25500.400000000001</v>
      </c>
      <c r="H10" s="234">
        <f t="shared" ref="H10:H22" si="2">H9-F10+D10</f>
        <v>43419.6</v>
      </c>
      <c r="I10" s="235"/>
    </row>
    <row r="11" spans="1:9" s="223" customFormat="1" ht="12.75" customHeight="1" x14ac:dyDescent="0.25">
      <c r="A11" s="230" t="s">
        <v>342</v>
      </c>
      <c r="B11" s="177">
        <v>45995</v>
      </c>
      <c r="C11" s="231" t="s">
        <v>343</v>
      </c>
      <c r="D11" s="233"/>
      <c r="E11" s="233">
        <f t="shared" si="0"/>
        <v>68920</v>
      </c>
      <c r="F11" s="237">
        <v>19297.599999999999</v>
      </c>
      <c r="G11" s="234">
        <f t="shared" si="1"/>
        <v>44798</v>
      </c>
      <c r="H11" s="234">
        <f t="shared" si="2"/>
        <v>24122</v>
      </c>
      <c r="I11" s="235"/>
    </row>
    <row r="12" spans="1:9" s="223" customFormat="1" ht="12.75" customHeight="1" x14ac:dyDescent="0.25">
      <c r="A12" s="230" t="s">
        <v>418</v>
      </c>
      <c r="B12" s="177">
        <v>46034</v>
      </c>
      <c r="C12" s="231" t="s">
        <v>419</v>
      </c>
      <c r="D12" s="233"/>
      <c r="E12" s="233">
        <f t="shared" si="0"/>
        <v>68920</v>
      </c>
      <c r="F12" s="237">
        <v>3446</v>
      </c>
      <c r="G12" s="234">
        <f t="shared" si="1"/>
        <v>48244</v>
      </c>
      <c r="H12" s="234">
        <f t="shared" si="2"/>
        <v>20676</v>
      </c>
      <c r="I12" s="235"/>
    </row>
    <row r="13" spans="1:9" s="223" customFormat="1" ht="12.75" customHeight="1" x14ac:dyDescent="0.25">
      <c r="A13" s="230" t="s">
        <v>553</v>
      </c>
      <c r="B13" s="177">
        <v>46065</v>
      </c>
      <c r="C13" s="231" t="s">
        <v>554</v>
      </c>
      <c r="D13" s="233"/>
      <c r="E13" s="233">
        <f t="shared" si="0"/>
        <v>68920</v>
      </c>
      <c r="F13" s="237">
        <v>3101.4</v>
      </c>
      <c r="G13" s="234">
        <f t="shared" si="1"/>
        <v>51345.4</v>
      </c>
      <c r="H13" s="234">
        <f t="shared" si="2"/>
        <v>17574.599999999999</v>
      </c>
      <c r="I13" s="235"/>
    </row>
    <row r="14" spans="1:9" s="223" customFormat="1" ht="12.75" customHeight="1" x14ac:dyDescent="0.25">
      <c r="A14" s="230" t="s">
        <v>642</v>
      </c>
      <c r="B14" s="177">
        <v>46091</v>
      </c>
      <c r="C14" s="231" t="s">
        <v>643</v>
      </c>
      <c r="D14" s="233"/>
      <c r="E14" s="233">
        <f t="shared" si="0"/>
        <v>68920</v>
      </c>
      <c r="F14" s="237">
        <v>3101.4</v>
      </c>
      <c r="G14" s="234">
        <f t="shared" si="1"/>
        <v>54446.8</v>
      </c>
      <c r="H14" s="234">
        <f t="shared" si="2"/>
        <v>14473.199999999999</v>
      </c>
      <c r="I14" s="235"/>
    </row>
    <row r="15" spans="1:9" s="223" customFormat="1" ht="12.75" customHeight="1" x14ac:dyDescent="0.25">
      <c r="A15" s="230" t="s">
        <v>740</v>
      </c>
      <c r="B15" s="177">
        <v>46115</v>
      </c>
      <c r="C15" s="231" t="s">
        <v>741</v>
      </c>
      <c r="D15" s="233"/>
      <c r="E15" s="233">
        <f t="shared" si="0"/>
        <v>68920</v>
      </c>
      <c r="F15" s="237">
        <v>3101.4</v>
      </c>
      <c r="G15" s="234">
        <f t="shared" si="1"/>
        <v>57548.200000000004</v>
      </c>
      <c r="H15" s="234">
        <f t="shared" si="2"/>
        <v>11371.8</v>
      </c>
      <c r="I15" s="235"/>
    </row>
    <row r="16" spans="1:9" s="223" customFormat="1" ht="12.75" customHeight="1" x14ac:dyDescent="0.25">
      <c r="A16" s="230" t="s">
        <v>861</v>
      </c>
      <c r="B16" s="177">
        <v>46154</v>
      </c>
      <c r="C16" s="231" t="s">
        <v>862</v>
      </c>
      <c r="D16" s="233"/>
      <c r="E16" s="233">
        <f t="shared" si="0"/>
        <v>68920</v>
      </c>
      <c r="F16" s="237">
        <v>3101.4</v>
      </c>
      <c r="G16" s="234">
        <f t="shared" si="1"/>
        <v>60649.600000000006</v>
      </c>
      <c r="H16" s="234">
        <f t="shared" si="2"/>
        <v>8270.4</v>
      </c>
      <c r="I16" s="235"/>
    </row>
    <row r="17" spans="1:9" s="223" customFormat="1" ht="12.75" customHeight="1" x14ac:dyDescent="0.25">
      <c r="A17" s="230" t="s">
        <v>968</v>
      </c>
      <c r="B17" s="177">
        <v>46176</v>
      </c>
      <c r="C17" s="231" t="s">
        <v>969</v>
      </c>
      <c r="D17" s="233"/>
      <c r="E17" s="233">
        <f t="shared" si="0"/>
        <v>68920</v>
      </c>
      <c r="F17" s="237">
        <v>3101.4</v>
      </c>
      <c r="G17" s="234">
        <f t="shared" si="1"/>
        <v>63751.000000000007</v>
      </c>
      <c r="H17" s="234">
        <f t="shared" si="2"/>
        <v>5169</v>
      </c>
      <c r="I17" s="235"/>
    </row>
    <row r="18" spans="1:9" s="223" customFormat="1" ht="12.75" customHeight="1" x14ac:dyDescent="0.25">
      <c r="A18" s="328" t="s">
        <v>1191</v>
      </c>
      <c r="B18" s="329">
        <v>46212</v>
      </c>
      <c r="C18" s="330" t="s">
        <v>1192</v>
      </c>
      <c r="D18" s="331"/>
      <c r="E18" s="331">
        <f t="shared" si="0"/>
        <v>68920</v>
      </c>
      <c r="F18" s="338">
        <v>3101.4</v>
      </c>
      <c r="G18" s="332">
        <f t="shared" si="1"/>
        <v>66852.400000000009</v>
      </c>
      <c r="H18" s="332">
        <f t="shared" si="2"/>
        <v>2067.6</v>
      </c>
      <c r="I18" s="334" t="s">
        <v>1285</v>
      </c>
    </row>
    <row r="19" spans="1:9" s="223" customFormat="1" ht="12.75" customHeight="1" x14ac:dyDescent="0.25">
      <c r="A19" s="230" t="s">
        <v>1295</v>
      </c>
      <c r="B19" s="177">
        <v>46225</v>
      </c>
      <c r="C19" s="231" t="s">
        <v>1286</v>
      </c>
      <c r="D19" s="232">
        <v>0</v>
      </c>
      <c r="E19" s="233">
        <f t="shared" si="0"/>
        <v>68920</v>
      </c>
      <c r="F19" s="234"/>
      <c r="G19" s="234">
        <f t="shared" si="1"/>
        <v>66852.400000000009</v>
      </c>
      <c r="H19" s="234">
        <f t="shared" si="2"/>
        <v>2067.6</v>
      </c>
      <c r="I19" s="235"/>
    </row>
    <row r="20" spans="1:9" s="223" customFormat="1" ht="12.75" customHeight="1" x14ac:dyDescent="0.25">
      <c r="A20" s="230" t="s">
        <v>1411</v>
      </c>
      <c r="B20" s="177">
        <v>46245</v>
      </c>
      <c r="C20" s="231" t="s">
        <v>1412</v>
      </c>
      <c r="D20" s="233"/>
      <c r="E20" s="233">
        <f t="shared" si="0"/>
        <v>68920</v>
      </c>
      <c r="F20" s="237">
        <v>1033.8</v>
      </c>
      <c r="G20" s="234">
        <f t="shared" si="1"/>
        <v>67886.200000000012</v>
      </c>
      <c r="H20" s="234">
        <f t="shared" si="2"/>
        <v>1033.8</v>
      </c>
      <c r="I20" s="235"/>
    </row>
    <row r="21" spans="1:9" s="223" customFormat="1" ht="12.75" customHeight="1" x14ac:dyDescent="0.25">
      <c r="A21" s="230" t="s">
        <v>1510</v>
      </c>
      <c r="B21" s="177">
        <v>46273</v>
      </c>
      <c r="C21" s="231" t="s">
        <v>1511</v>
      </c>
      <c r="D21" s="233"/>
      <c r="E21" s="233">
        <f t="shared" si="0"/>
        <v>68920</v>
      </c>
      <c r="F21" s="237">
        <v>628.70000000000005</v>
      </c>
      <c r="G21" s="234">
        <f t="shared" si="1"/>
        <v>68514.900000000009</v>
      </c>
      <c r="H21" s="234">
        <f t="shared" si="2"/>
        <v>405.09999999999991</v>
      </c>
      <c r="I21" s="235"/>
    </row>
    <row r="22" spans="1:9" s="223" customFormat="1" ht="12.75" customHeight="1" x14ac:dyDescent="0.25">
      <c r="A22" s="230"/>
      <c r="B22" s="177"/>
      <c r="C22" s="231"/>
      <c r="D22" s="233"/>
      <c r="E22" s="233">
        <f t="shared" si="0"/>
        <v>68920</v>
      </c>
      <c r="F22" s="238"/>
      <c r="G22" s="234">
        <f t="shared" si="1"/>
        <v>68514.900000000009</v>
      </c>
      <c r="H22" s="234">
        <f t="shared" si="2"/>
        <v>405.09999999999991</v>
      </c>
      <c r="I22" s="235"/>
    </row>
    <row r="23" spans="1:9" s="223" customFormat="1" ht="12.75" customHeight="1" x14ac:dyDescent="0.25">
      <c r="A23" s="230"/>
      <c r="B23" s="231"/>
      <c r="C23" s="240"/>
      <c r="D23" s="234"/>
      <c r="E23" s="234"/>
      <c r="F23" s="234"/>
      <c r="G23" s="234"/>
      <c r="H23" s="234"/>
      <c r="I23" s="235"/>
    </row>
    <row r="24" spans="1:9" s="223" customFormat="1" ht="12.75" customHeight="1" thickBot="1" x14ac:dyDescent="0.3">
      <c r="A24" s="230"/>
      <c r="B24" s="243"/>
      <c r="C24" s="244" t="s">
        <v>24</v>
      </c>
      <c r="D24" s="245">
        <f>SUM(D9:D23)</f>
        <v>68920</v>
      </c>
      <c r="E24" s="245"/>
      <c r="F24" s="245">
        <f>SUM(F9:F23)</f>
        <v>68514.900000000009</v>
      </c>
      <c r="G24" s="245"/>
      <c r="H24" s="245">
        <f>D24-F24</f>
        <v>405.09999999999127</v>
      </c>
      <c r="I24" s="235"/>
    </row>
    <row r="25" spans="1:9" s="223" customFormat="1" ht="12.75" customHeight="1" thickTop="1" x14ac:dyDescent="0.25">
      <c r="A25" s="230"/>
      <c r="B25" s="231"/>
      <c r="C25" s="240"/>
      <c r="D25" s="234"/>
      <c r="E25" s="234"/>
      <c r="F25" s="234"/>
      <c r="G25" s="234"/>
      <c r="H25" s="234"/>
      <c r="I25" s="235"/>
    </row>
    <row r="26" spans="1:9" s="223" customFormat="1" ht="12.75" customHeight="1" x14ac:dyDescent="0.25">
      <c r="A26" s="230"/>
      <c r="B26" s="231"/>
      <c r="C26" s="240"/>
      <c r="D26" s="234"/>
      <c r="E26" s="234"/>
      <c r="F26" s="234"/>
      <c r="G26" s="234"/>
      <c r="H26" s="234"/>
      <c r="I26" s="235"/>
    </row>
    <row r="27" spans="1:9" s="223" customFormat="1" ht="12.75" customHeight="1" x14ac:dyDescent="0.25">
      <c r="A27" s="230"/>
      <c r="B27" s="231"/>
      <c r="C27" s="240" t="s">
        <v>120</v>
      </c>
      <c r="D27" s="234">
        <v>17435</v>
      </c>
      <c r="E27" s="234"/>
      <c r="F27" s="234">
        <f>17435</f>
        <v>17435</v>
      </c>
      <c r="G27" s="234"/>
      <c r="H27" s="234">
        <f>D27-F27</f>
        <v>0</v>
      </c>
      <c r="I27" s="235"/>
    </row>
    <row r="28" spans="1:9" s="223" customFormat="1" ht="12.75" customHeight="1" x14ac:dyDescent="0.25">
      <c r="A28" s="230"/>
      <c r="B28" s="231"/>
      <c r="C28" s="240" t="s">
        <v>121</v>
      </c>
      <c r="D28" s="234">
        <v>28010</v>
      </c>
      <c r="E28" s="234"/>
      <c r="F28" s="234">
        <f>8065.4+19297.6+647</f>
        <v>28010</v>
      </c>
      <c r="G28" s="234"/>
      <c r="H28" s="234">
        <f>D28-F28</f>
        <v>0</v>
      </c>
      <c r="I28" s="235"/>
    </row>
    <row r="29" spans="1:9" s="223" customFormat="1" ht="12.75" customHeight="1" x14ac:dyDescent="0.25">
      <c r="A29" s="230"/>
      <c r="B29" s="231"/>
      <c r="C29" s="253" t="s">
        <v>839</v>
      </c>
      <c r="D29" s="234">
        <v>3220</v>
      </c>
      <c r="E29" s="254"/>
      <c r="F29" s="254">
        <f>2799+421</f>
        <v>3220</v>
      </c>
      <c r="G29" s="254"/>
      <c r="H29" s="234">
        <f>D29-F29</f>
        <v>0</v>
      </c>
      <c r="I29" s="235"/>
    </row>
    <row r="30" spans="1:9" s="223" customFormat="1" ht="12.75" customHeight="1" x14ac:dyDescent="0.25">
      <c r="A30" s="230"/>
      <c r="B30" s="231"/>
      <c r="C30" s="253" t="s">
        <v>122</v>
      </c>
      <c r="D30" s="234">
        <v>20255</v>
      </c>
      <c r="E30" s="254"/>
      <c r="F30" s="254">
        <f>2680.4+3101.4+3101.4+3101.4+3101.4+3101.4+1033.8+628.7</f>
        <v>19849.900000000001</v>
      </c>
      <c r="G30" s="254"/>
      <c r="H30" s="234">
        <f>D30-F30</f>
        <v>405.09999999999854</v>
      </c>
      <c r="I30" s="235"/>
    </row>
    <row r="31" spans="1:9" s="223" customFormat="1" ht="12.75" customHeight="1" thickBot="1" x14ac:dyDescent="0.3">
      <c r="A31" s="230"/>
      <c r="B31" s="231"/>
      <c r="C31" s="255" t="s">
        <v>67</v>
      </c>
      <c r="D31" s="256">
        <f>SUM(D27:D30)</f>
        <v>68920</v>
      </c>
      <c r="E31" s="257"/>
      <c r="F31" s="256">
        <f>SUM(F27:F30)</f>
        <v>68514.899999999994</v>
      </c>
      <c r="G31" s="257"/>
      <c r="H31" s="256">
        <f>SUM(H27:H30)</f>
        <v>405.09999999999854</v>
      </c>
      <c r="I31" s="235"/>
    </row>
    <row r="32" spans="1:9" s="223" customFormat="1" ht="12.75" customHeight="1" thickTop="1" x14ac:dyDescent="0.25"/>
  </sheetData>
  <conditionalFormatting sqref="I8:I17 I19:I24">
    <cfRule type="cellIs" dxfId="57" priority="1" operator="greaterThan">
      <formula>$H$24</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DF936-8906-4D9C-A5E8-A9B208A19415}">
  <sheetPr>
    <pageSetUpPr fitToPage="1"/>
  </sheetPr>
  <dimension ref="A1:J31"/>
  <sheetViews>
    <sheetView zoomScaleNormal="100" workbookViewId="0">
      <selection activeCell="K26" sqref="K26:K2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13.140625"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#9484.00'!B1</f>
        <v>ILEA JOH Hydraulic Elevator Replacement</v>
      </c>
      <c r="B1" s="3"/>
      <c r="C1" s="4"/>
      <c r="D1" s="4"/>
      <c r="E1" s="4"/>
      <c r="F1" s="28"/>
      <c r="G1" s="28"/>
      <c r="H1" s="29"/>
      <c r="I1" s="29"/>
    </row>
    <row r="2" spans="1:10" ht="15.75" x14ac:dyDescent="0.25">
      <c r="A2" s="6" t="str">
        <f>'RECAP #9484.00'!B2</f>
        <v>Project # 9484.00</v>
      </c>
      <c r="B2" s="5"/>
      <c r="C2" s="4"/>
      <c r="D2" s="4"/>
      <c r="E2" s="4"/>
      <c r="F2" s="28"/>
      <c r="G2" s="28"/>
      <c r="H2" s="29"/>
      <c r="I2" s="29"/>
    </row>
    <row r="3" spans="1:10" ht="15.75" x14ac:dyDescent="0.25">
      <c r="A3" s="7" t="str">
        <f>'RECAP #9484.00'!B3</f>
        <v>Program code 948400</v>
      </c>
      <c r="B3" s="5"/>
      <c r="C3" s="4"/>
      <c r="D3" s="8" t="str">
        <f>'RECAP #9484.00'!E3</f>
        <v>Major Program 4D03</v>
      </c>
      <c r="E3" s="4"/>
      <c r="F3" s="28"/>
      <c r="G3" s="28"/>
      <c r="H3" s="29"/>
      <c r="I3" s="29"/>
    </row>
    <row r="4" spans="1:10" ht="15.75" x14ac:dyDescent="0.25">
      <c r="A4" s="30" t="s">
        <v>384</v>
      </c>
      <c r="B4" s="31"/>
      <c r="C4" s="32"/>
      <c r="D4" s="33" t="s">
        <v>385</v>
      </c>
      <c r="E4" s="28"/>
      <c r="F4" s="28"/>
      <c r="G4" s="28"/>
      <c r="H4" s="29"/>
      <c r="I4" s="29"/>
    </row>
    <row r="5" spans="1:10" ht="15.75" x14ac:dyDescent="0.25">
      <c r="A5" s="34" t="s">
        <v>104</v>
      </c>
      <c r="B5" s="35"/>
      <c r="C5" s="36"/>
      <c r="D5" s="37" t="s">
        <v>117</v>
      </c>
      <c r="E5" s="38"/>
      <c r="F5" s="39"/>
      <c r="G5" s="39"/>
      <c r="H5" s="35"/>
      <c r="I5" s="29"/>
    </row>
    <row r="6" spans="1:10" ht="15.75" x14ac:dyDescent="0.25">
      <c r="A6" s="11" t="str">
        <f>'RECAP #9484.00'!B6</f>
        <v>Project Manager - Brad T.</v>
      </c>
      <c r="B6" s="11"/>
      <c r="C6" s="40"/>
      <c r="D6" s="41" t="s">
        <v>386</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89" t="s">
        <v>529</v>
      </c>
    </row>
    <row r="9" spans="1:10" s="223" customFormat="1" ht="12.75" customHeight="1" x14ac:dyDescent="0.25">
      <c r="A9" s="230" t="s">
        <v>387</v>
      </c>
      <c r="B9" s="177">
        <v>46020</v>
      </c>
      <c r="C9" s="231" t="s">
        <v>109</v>
      </c>
      <c r="D9" s="232">
        <v>82600</v>
      </c>
      <c r="E9" s="233">
        <f>D9</f>
        <v>82600</v>
      </c>
      <c r="F9" s="234"/>
      <c r="G9" s="234"/>
      <c r="H9" s="234">
        <f>E9</f>
        <v>82600</v>
      </c>
      <c r="I9" s="235"/>
    </row>
    <row r="10" spans="1:10" s="223" customFormat="1" ht="12.75" customHeight="1" x14ac:dyDescent="0.25">
      <c r="A10" s="230" t="s">
        <v>528</v>
      </c>
      <c r="B10" s="236">
        <v>46056</v>
      </c>
      <c r="C10" s="231" t="s">
        <v>530</v>
      </c>
      <c r="D10" s="233"/>
      <c r="E10" s="233">
        <f t="shared" ref="E10:E21" si="0">E9+D10</f>
        <v>82600</v>
      </c>
      <c r="F10" s="237">
        <v>3880</v>
      </c>
      <c r="G10" s="234">
        <f t="shared" ref="G10:G21" si="1">G9+F10</f>
        <v>3880</v>
      </c>
      <c r="H10" s="234">
        <f t="shared" ref="H10:H21" si="2">H9-F10+D10</f>
        <v>78720</v>
      </c>
      <c r="I10" s="297">
        <v>120</v>
      </c>
    </row>
    <row r="11" spans="1:10" s="223" customFormat="1" ht="12.75" customHeight="1" x14ac:dyDescent="0.25">
      <c r="A11" s="230" t="s">
        <v>710</v>
      </c>
      <c r="B11" s="177">
        <v>46105</v>
      </c>
      <c r="C11" s="231" t="s">
        <v>711</v>
      </c>
      <c r="D11" s="233"/>
      <c r="E11" s="233">
        <f t="shared" si="0"/>
        <v>82600</v>
      </c>
      <c r="F11" s="237">
        <v>485</v>
      </c>
      <c r="G11" s="234">
        <f t="shared" si="1"/>
        <v>4365</v>
      </c>
      <c r="H11" s="234">
        <f t="shared" si="2"/>
        <v>78235</v>
      </c>
      <c r="I11" s="297">
        <f>I10+15</f>
        <v>135</v>
      </c>
    </row>
    <row r="12" spans="1:10" s="223" customFormat="1" ht="12.75" customHeight="1" x14ac:dyDescent="0.25">
      <c r="A12" s="230" t="s">
        <v>715</v>
      </c>
      <c r="B12" s="177">
        <v>46107</v>
      </c>
      <c r="C12" s="231" t="s">
        <v>716</v>
      </c>
      <c r="D12" s="233"/>
      <c r="E12" s="233">
        <f t="shared" si="0"/>
        <v>82600</v>
      </c>
      <c r="F12" s="237">
        <v>970</v>
      </c>
      <c r="G12" s="234">
        <f t="shared" si="1"/>
        <v>5335</v>
      </c>
      <c r="H12" s="234">
        <f t="shared" si="2"/>
        <v>77265</v>
      </c>
      <c r="I12" s="297">
        <f>I11+30</f>
        <v>165</v>
      </c>
    </row>
    <row r="13" spans="1:10" s="223" customFormat="1" ht="12.75" customHeight="1" x14ac:dyDescent="0.25">
      <c r="A13" s="230" t="s">
        <v>387</v>
      </c>
      <c r="B13" s="177">
        <v>46198</v>
      </c>
      <c r="C13" s="231" t="s">
        <v>468</v>
      </c>
      <c r="D13" s="232">
        <v>3352.23</v>
      </c>
      <c r="E13" s="233">
        <f t="shared" si="0"/>
        <v>85952.23</v>
      </c>
      <c r="F13" s="238"/>
      <c r="G13" s="234">
        <f t="shared" si="1"/>
        <v>5335</v>
      </c>
      <c r="H13" s="234">
        <f t="shared" si="2"/>
        <v>80617.23</v>
      </c>
      <c r="I13" s="235"/>
    </row>
    <row r="14" spans="1:10" s="223" customFormat="1" ht="12.75" customHeight="1" x14ac:dyDescent="0.25">
      <c r="A14" s="328" t="s">
        <v>1283</v>
      </c>
      <c r="B14" s="329">
        <v>46224</v>
      </c>
      <c r="C14" s="330" t="s">
        <v>1284</v>
      </c>
      <c r="D14" s="331"/>
      <c r="E14" s="331">
        <f t="shared" si="0"/>
        <v>85952.23</v>
      </c>
      <c r="F14" s="338">
        <v>41855.5</v>
      </c>
      <c r="G14" s="332">
        <f t="shared" si="1"/>
        <v>47190.5</v>
      </c>
      <c r="H14" s="332">
        <f t="shared" si="2"/>
        <v>38761.729999999996</v>
      </c>
      <c r="I14" s="336">
        <f>I12+1294.5</f>
        <v>1459.5</v>
      </c>
      <c r="J14" s="334" t="s">
        <v>1285</v>
      </c>
    </row>
    <row r="15" spans="1:10" s="223" customFormat="1" ht="12.75" customHeight="1" x14ac:dyDescent="0.25">
      <c r="A15" s="230" t="s">
        <v>1294</v>
      </c>
      <c r="B15" s="177">
        <v>46225</v>
      </c>
      <c r="C15" s="231" t="s">
        <v>1286</v>
      </c>
      <c r="D15" s="232">
        <v>0</v>
      </c>
      <c r="E15" s="233">
        <f t="shared" si="0"/>
        <v>85952.23</v>
      </c>
      <c r="F15" s="238"/>
      <c r="G15" s="234">
        <f t="shared" si="1"/>
        <v>47190.5</v>
      </c>
      <c r="H15" s="234">
        <f t="shared" si="2"/>
        <v>38761.729999999996</v>
      </c>
      <c r="I15" s="235"/>
    </row>
    <row r="16" spans="1:10" s="223" customFormat="1" ht="12.75" customHeight="1" x14ac:dyDescent="0.25">
      <c r="A16" s="230" t="s">
        <v>1498</v>
      </c>
      <c r="B16" s="177">
        <v>46268</v>
      </c>
      <c r="C16" s="231" t="s">
        <v>1499</v>
      </c>
      <c r="D16" s="233"/>
      <c r="E16" s="233">
        <f t="shared" si="0"/>
        <v>85952.23</v>
      </c>
      <c r="F16" s="237">
        <v>28857.5</v>
      </c>
      <c r="G16" s="234">
        <f t="shared" si="1"/>
        <v>76048</v>
      </c>
      <c r="H16" s="234">
        <f t="shared" si="2"/>
        <v>9904.2299999999959</v>
      </c>
      <c r="I16" s="297">
        <f>I14+892.5</f>
        <v>2352</v>
      </c>
    </row>
    <row r="17" spans="1:9" s="223" customFormat="1" ht="12.75" customHeight="1" x14ac:dyDescent="0.25">
      <c r="A17" s="230"/>
      <c r="B17" s="177"/>
      <c r="C17" s="231"/>
      <c r="D17" s="233"/>
      <c r="E17" s="233">
        <f t="shared" si="0"/>
        <v>85952.23</v>
      </c>
      <c r="F17" s="238"/>
      <c r="G17" s="234">
        <f t="shared" si="1"/>
        <v>76048</v>
      </c>
      <c r="H17" s="234">
        <f t="shared" si="2"/>
        <v>9904.2299999999959</v>
      </c>
      <c r="I17" s="235"/>
    </row>
    <row r="18" spans="1:9" s="223" customFormat="1" ht="12.75" customHeight="1" x14ac:dyDescent="0.25">
      <c r="A18" s="230"/>
      <c r="B18" s="177"/>
      <c r="C18" s="231"/>
      <c r="D18" s="233"/>
      <c r="E18" s="233">
        <f t="shared" si="0"/>
        <v>85952.23</v>
      </c>
      <c r="F18" s="238"/>
      <c r="G18" s="234">
        <f t="shared" si="1"/>
        <v>76048</v>
      </c>
      <c r="H18" s="234">
        <f t="shared" si="2"/>
        <v>9904.2299999999959</v>
      </c>
      <c r="I18" s="235"/>
    </row>
    <row r="19" spans="1:9" s="223" customFormat="1" ht="12.75" customHeight="1" x14ac:dyDescent="0.25">
      <c r="A19" s="230"/>
      <c r="B19" s="177"/>
      <c r="C19" s="231"/>
      <c r="D19" s="233"/>
      <c r="E19" s="233">
        <f t="shared" si="0"/>
        <v>85952.23</v>
      </c>
      <c r="F19" s="234"/>
      <c r="G19" s="234">
        <f t="shared" si="1"/>
        <v>76048</v>
      </c>
      <c r="H19" s="234">
        <f t="shared" si="2"/>
        <v>9904.2299999999959</v>
      </c>
      <c r="I19" s="235"/>
    </row>
    <row r="20" spans="1:9" s="223" customFormat="1" ht="12.75" customHeight="1" x14ac:dyDescent="0.25">
      <c r="A20" s="230"/>
      <c r="B20" s="177"/>
      <c r="C20" s="231"/>
      <c r="D20" s="233"/>
      <c r="E20" s="233">
        <f t="shared" si="0"/>
        <v>85952.23</v>
      </c>
      <c r="F20" s="234"/>
      <c r="G20" s="234">
        <f t="shared" si="1"/>
        <v>76048</v>
      </c>
      <c r="H20" s="234">
        <f t="shared" si="2"/>
        <v>9904.2299999999959</v>
      </c>
      <c r="I20" s="235"/>
    </row>
    <row r="21" spans="1:9" s="223" customFormat="1" ht="12.75" customHeight="1" x14ac:dyDescent="0.25">
      <c r="A21" s="230"/>
      <c r="B21" s="177"/>
      <c r="C21" s="239"/>
      <c r="D21" s="233"/>
      <c r="E21" s="233">
        <f t="shared" si="0"/>
        <v>85952.23</v>
      </c>
      <c r="F21" s="234"/>
      <c r="G21" s="234">
        <f t="shared" si="1"/>
        <v>76048</v>
      </c>
      <c r="H21" s="234">
        <f t="shared" si="2"/>
        <v>9904.2299999999959</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85952.23</v>
      </c>
      <c r="E23" s="245"/>
      <c r="F23" s="245">
        <f>SUM(F9:F22)</f>
        <v>76048</v>
      </c>
      <c r="G23" s="245"/>
      <c r="H23" s="245">
        <f>D23-F23</f>
        <v>9904.2299999999959</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c r="D26" s="234"/>
      <c r="E26" s="234"/>
      <c r="F26" s="234"/>
      <c r="G26" s="234"/>
      <c r="H26" s="234"/>
      <c r="I26" s="235"/>
    </row>
    <row r="27" spans="1:9" s="223" customFormat="1" ht="12.75" customHeight="1" x14ac:dyDescent="0.25">
      <c r="A27" s="275"/>
      <c r="B27" s="231"/>
      <c r="C27" s="240"/>
      <c r="D27" s="234"/>
      <c r="E27" s="234"/>
      <c r="F27" s="234"/>
      <c r="G27" s="234"/>
      <c r="H27" s="234"/>
      <c r="I27" s="235"/>
    </row>
    <row r="28" spans="1:9" s="223" customFormat="1" ht="12.75" customHeight="1" x14ac:dyDescent="0.25">
      <c r="A28" s="230"/>
      <c r="B28" s="231"/>
      <c r="C28" s="253"/>
      <c r="D28" s="234"/>
      <c r="E28" s="270"/>
      <c r="F28" s="270"/>
      <c r="G28" s="270"/>
      <c r="H28" s="234"/>
      <c r="I28" s="235"/>
    </row>
    <row r="29" spans="1:9" s="223" customFormat="1" ht="12.75" customHeight="1" x14ac:dyDescent="0.25">
      <c r="A29" s="230"/>
      <c r="B29" s="231"/>
      <c r="C29" s="253"/>
      <c r="D29" s="234"/>
      <c r="E29" s="270"/>
      <c r="F29" s="270"/>
      <c r="G29" s="270"/>
      <c r="H29" s="234"/>
      <c r="I29" s="235"/>
    </row>
    <row r="30" spans="1:9" s="223" customFormat="1" ht="12.75" customHeight="1" x14ac:dyDescent="0.25">
      <c r="A30" s="230"/>
      <c r="B30" s="231"/>
      <c r="C30" s="255"/>
      <c r="D30" s="271"/>
      <c r="E30" s="271"/>
      <c r="F30" s="271"/>
      <c r="G30" s="271"/>
      <c r="H30" s="271"/>
      <c r="I30" s="235"/>
    </row>
    <row r="31" spans="1:9" s="223" customFormat="1" ht="12.75" customHeight="1" x14ac:dyDescent="0.25"/>
  </sheetData>
  <conditionalFormatting sqref="I9:I23">
    <cfRule type="cellIs" dxfId="56" priority="1" operator="greaterThan">
      <formula>$H$23</formula>
    </cfRule>
  </conditionalFormatting>
  <pageMargins left="0.25" right="0.25" top="0.95" bottom="0.75" header="0.09" footer="0.3"/>
  <pageSetup scale="72"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71A62-8CCC-4456-A2A4-AEB2B6293914}">
  <sheetPr>
    <pageSetUpPr fitToPage="1"/>
  </sheetPr>
  <dimension ref="A1:J31"/>
  <sheetViews>
    <sheetView topLeftCell="A3" zoomScaleNormal="100" workbookViewId="0">
      <selection activeCell="L8" sqref="L8"/>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12.28515625" bestFit="1"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#9484.00'!B1</f>
        <v>ILEA JOH Hydraulic Elevator Replacement</v>
      </c>
      <c r="B1" s="3"/>
      <c r="C1" s="4"/>
      <c r="D1" s="4"/>
      <c r="E1" s="4"/>
      <c r="F1" s="28"/>
      <c r="G1" s="28"/>
      <c r="H1" s="29"/>
      <c r="I1" s="29"/>
    </row>
    <row r="2" spans="1:10" ht="15.75" x14ac:dyDescent="0.25">
      <c r="A2" s="6" t="str">
        <f>'RECAP #9484.00'!B2</f>
        <v>Project # 9484.00</v>
      </c>
      <c r="B2" s="5"/>
      <c r="C2" s="4"/>
      <c r="D2" s="4"/>
      <c r="E2" s="4"/>
      <c r="F2" s="28"/>
      <c r="G2" s="28"/>
      <c r="H2" s="29"/>
      <c r="I2" s="29"/>
    </row>
    <row r="3" spans="1:10" ht="15.75" x14ac:dyDescent="0.25">
      <c r="A3" s="7" t="str">
        <f>'RECAP #9484.00'!B3</f>
        <v>Program code 948400</v>
      </c>
      <c r="B3" s="5"/>
      <c r="C3" s="4"/>
      <c r="D3" s="8" t="str">
        <f>'RECAP #9484.00'!E3</f>
        <v>Major Program 4D03</v>
      </c>
      <c r="E3" s="4"/>
      <c r="F3" s="28"/>
      <c r="G3" s="28"/>
      <c r="H3" s="29"/>
      <c r="I3" s="29"/>
    </row>
    <row r="4" spans="1:10" ht="15.75" x14ac:dyDescent="0.25">
      <c r="A4" s="30" t="s">
        <v>412</v>
      </c>
      <c r="B4" s="31"/>
      <c r="C4" s="32"/>
      <c r="D4" s="33" t="s">
        <v>413</v>
      </c>
      <c r="E4" s="28"/>
      <c r="F4" s="28"/>
      <c r="G4" s="28"/>
      <c r="H4" s="29"/>
      <c r="I4" s="29"/>
    </row>
    <row r="5" spans="1:10" ht="15.75" x14ac:dyDescent="0.25">
      <c r="A5" s="34" t="s">
        <v>104</v>
      </c>
      <c r="B5" s="35"/>
      <c r="C5" s="36"/>
      <c r="D5" s="37" t="s">
        <v>414</v>
      </c>
      <c r="E5" s="38"/>
      <c r="F5" s="39"/>
      <c r="G5" s="39"/>
      <c r="H5" s="35"/>
      <c r="I5" s="29"/>
    </row>
    <row r="6" spans="1:10" ht="15.75" x14ac:dyDescent="0.25">
      <c r="A6" s="11" t="str">
        <f>'RECAP #9484.00'!B6</f>
        <v>Project Manager - Brad T.</v>
      </c>
      <c r="B6" s="11"/>
      <c r="C6" s="40"/>
      <c r="D6" s="41" t="s">
        <v>386</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89" t="s">
        <v>529</v>
      </c>
    </row>
    <row r="9" spans="1:10" s="223" customFormat="1" ht="12.75" customHeight="1" x14ac:dyDescent="0.25">
      <c r="A9" s="230" t="s">
        <v>415</v>
      </c>
      <c r="B9" s="177">
        <v>46031</v>
      </c>
      <c r="C9" s="231" t="s">
        <v>109</v>
      </c>
      <c r="D9" s="232">
        <v>123444</v>
      </c>
      <c r="E9" s="233">
        <f>D9</f>
        <v>123444</v>
      </c>
      <c r="F9" s="234"/>
      <c r="G9" s="234"/>
      <c r="H9" s="234">
        <f>E9</f>
        <v>123444</v>
      </c>
      <c r="I9" s="320"/>
    </row>
    <row r="10" spans="1:10" s="223" customFormat="1" ht="12.75" customHeight="1" x14ac:dyDescent="0.25">
      <c r="A10" s="230" t="s">
        <v>415</v>
      </c>
      <c r="B10" s="236">
        <v>46198</v>
      </c>
      <c r="C10" s="231" t="s">
        <v>1117</v>
      </c>
      <c r="D10" s="232">
        <v>0</v>
      </c>
      <c r="E10" s="233">
        <f t="shared" ref="E10:E21" si="0">E9+D10</f>
        <v>123444</v>
      </c>
      <c r="F10" s="237"/>
      <c r="G10" s="234">
        <f t="shared" ref="G10:G21" si="1">G9+F10</f>
        <v>0</v>
      </c>
      <c r="H10" s="234">
        <f t="shared" ref="H10:H21" si="2">H9-F10+D10</f>
        <v>123444</v>
      </c>
      <c r="I10" s="320"/>
    </row>
    <row r="11" spans="1:10" s="223" customFormat="1" ht="12.75" customHeight="1" x14ac:dyDescent="0.25">
      <c r="A11" s="328" t="s">
        <v>1247</v>
      </c>
      <c r="B11" s="329">
        <v>46218</v>
      </c>
      <c r="C11" s="330" t="s">
        <v>1248</v>
      </c>
      <c r="D11" s="331"/>
      <c r="E11" s="331">
        <f t="shared" si="0"/>
        <v>123444</v>
      </c>
      <c r="F11" s="338">
        <v>101663.86</v>
      </c>
      <c r="G11" s="332">
        <f t="shared" si="1"/>
        <v>101663.86</v>
      </c>
      <c r="H11" s="332">
        <f t="shared" si="2"/>
        <v>21780.14</v>
      </c>
      <c r="I11" s="337">
        <v>3144.24</v>
      </c>
      <c r="J11" s="334" t="s">
        <v>1285</v>
      </c>
    </row>
    <row r="12" spans="1:10" s="223" customFormat="1" ht="12.75" customHeight="1" x14ac:dyDescent="0.25">
      <c r="A12" s="230" t="s">
        <v>1293</v>
      </c>
      <c r="B12" s="177">
        <v>46225</v>
      </c>
      <c r="C12" s="231" t="s">
        <v>1286</v>
      </c>
      <c r="D12" s="232">
        <v>0</v>
      </c>
      <c r="E12" s="233">
        <f t="shared" si="0"/>
        <v>123444</v>
      </c>
      <c r="F12" s="238"/>
      <c r="G12" s="234">
        <f t="shared" si="1"/>
        <v>101663.86</v>
      </c>
      <c r="H12" s="234">
        <f t="shared" si="2"/>
        <v>21780.14</v>
      </c>
      <c r="I12" s="320"/>
    </row>
    <row r="13" spans="1:10" s="223" customFormat="1" ht="12.75" customHeight="1" x14ac:dyDescent="0.25">
      <c r="A13" s="230" t="s">
        <v>1293</v>
      </c>
      <c r="B13" s="177">
        <v>46268</v>
      </c>
      <c r="C13" s="231" t="s">
        <v>825</v>
      </c>
      <c r="D13" s="354">
        <v>-10000</v>
      </c>
      <c r="E13" s="233">
        <f t="shared" si="0"/>
        <v>113444</v>
      </c>
      <c r="F13" s="238"/>
      <c r="G13" s="234">
        <f t="shared" si="1"/>
        <v>101663.86</v>
      </c>
      <c r="H13" s="234">
        <f t="shared" si="2"/>
        <v>11780.14</v>
      </c>
      <c r="I13" s="320"/>
    </row>
    <row r="14" spans="1:10" s="223" customFormat="1" ht="12.75" customHeight="1" x14ac:dyDescent="0.25">
      <c r="A14" s="230" t="s">
        <v>1595</v>
      </c>
      <c r="B14" s="177">
        <v>46295</v>
      </c>
      <c r="C14" s="231" t="s">
        <v>1596</v>
      </c>
      <c r="D14" s="233"/>
      <c r="E14" s="233">
        <f t="shared" si="0"/>
        <v>113444</v>
      </c>
      <c r="F14" s="237">
        <v>7178.87</v>
      </c>
      <c r="G14" s="234">
        <f t="shared" si="1"/>
        <v>108842.73</v>
      </c>
      <c r="H14" s="234">
        <f t="shared" si="2"/>
        <v>4601.2699999999995</v>
      </c>
      <c r="I14" s="307">
        <f>I11+222.03</f>
        <v>3366.27</v>
      </c>
    </row>
    <row r="15" spans="1:10" s="223" customFormat="1" ht="12.75" customHeight="1" x14ac:dyDescent="0.25">
      <c r="A15" s="230"/>
      <c r="B15" s="177"/>
      <c r="C15" s="231"/>
      <c r="D15" s="233"/>
      <c r="E15" s="233">
        <f t="shared" si="0"/>
        <v>113444</v>
      </c>
      <c r="F15" s="238"/>
      <c r="G15" s="234">
        <f t="shared" si="1"/>
        <v>108842.73</v>
      </c>
      <c r="H15" s="234">
        <f t="shared" si="2"/>
        <v>4601.2699999999995</v>
      </c>
      <c r="I15" s="320"/>
    </row>
    <row r="16" spans="1:10" s="223" customFormat="1" ht="12.75" customHeight="1" x14ac:dyDescent="0.25">
      <c r="A16" s="230"/>
      <c r="B16" s="177"/>
      <c r="C16" s="231"/>
      <c r="D16" s="233"/>
      <c r="E16" s="233">
        <f t="shared" si="0"/>
        <v>113444</v>
      </c>
      <c r="F16" s="238"/>
      <c r="G16" s="234">
        <f t="shared" si="1"/>
        <v>108842.73</v>
      </c>
      <c r="H16" s="234">
        <f t="shared" si="2"/>
        <v>4601.2699999999995</v>
      </c>
      <c r="I16" s="320"/>
    </row>
    <row r="17" spans="1:9" s="223" customFormat="1" ht="12.75" customHeight="1" x14ac:dyDescent="0.25">
      <c r="A17" s="230"/>
      <c r="B17" s="177"/>
      <c r="C17" s="231"/>
      <c r="D17" s="233"/>
      <c r="E17" s="233">
        <f t="shared" si="0"/>
        <v>113444</v>
      </c>
      <c r="F17" s="238"/>
      <c r="G17" s="234">
        <f t="shared" si="1"/>
        <v>108842.73</v>
      </c>
      <c r="H17" s="234">
        <f t="shared" si="2"/>
        <v>4601.2699999999995</v>
      </c>
      <c r="I17" s="320"/>
    </row>
    <row r="18" spans="1:9" s="223" customFormat="1" ht="12.75" customHeight="1" x14ac:dyDescent="0.25">
      <c r="A18" s="230"/>
      <c r="B18" s="177"/>
      <c r="C18" s="231"/>
      <c r="D18" s="233"/>
      <c r="E18" s="233">
        <f t="shared" si="0"/>
        <v>113444</v>
      </c>
      <c r="F18" s="238"/>
      <c r="G18" s="234">
        <f t="shared" si="1"/>
        <v>108842.73</v>
      </c>
      <c r="H18" s="234">
        <f t="shared" si="2"/>
        <v>4601.2699999999995</v>
      </c>
      <c r="I18" s="320"/>
    </row>
    <row r="19" spans="1:9" s="223" customFormat="1" ht="12.75" customHeight="1" x14ac:dyDescent="0.25">
      <c r="A19" s="230"/>
      <c r="B19" s="177"/>
      <c r="C19" s="231"/>
      <c r="D19" s="233"/>
      <c r="E19" s="233">
        <f t="shared" si="0"/>
        <v>113444</v>
      </c>
      <c r="F19" s="234"/>
      <c r="G19" s="234">
        <f t="shared" si="1"/>
        <v>108842.73</v>
      </c>
      <c r="H19" s="234">
        <f t="shared" si="2"/>
        <v>4601.2699999999995</v>
      </c>
      <c r="I19" s="320"/>
    </row>
    <row r="20" spans="1:9" s="223" customFormat="1" ht="12.75" customHeight="1" x14ac:dyDescent="0.25">
      <c r="A20" s="230"/>
      <c r="B20" s="177"/>
      <c r="C20" s="231"/>
      <c r="D20" s="233"/>
      <c r="E20" s="233">
        <f t="shared" si="0"/>
        <v>113444</v>
      </c>
      <c r="F20" s="234"/>
      <c r="G20" s="234">
        <f t="shared" si="1"/>
        <v>108842.73</v>
      </c>
      <c r="H20" s="234">
        <f t="shared" si="2"/>
        <v>4601.2699999999995</v>
      </c>
      <c r="I20" s="320"/>
    </row>
    <row r="21" spans="1:9" s="223" customFormat="1" ht="12.75" customHeight="1" x14ac:dyDescent="0.25">
      <c r="A21" s="230"/>
      <c r="B21" s="177"/>
      <c r="C21" s="239"/>
      <c r="D21" s="233"/>
      <c r="E21" s="233">
        <f t="shared" si="0"/>
        <v>113444</v>
      </c>
      <c r="F21" s="234"/>
      <c r="G21" s="234">
        <f t="shared" si="1"/>
        <v>108842.73</v>
      </c>
      <c r="H21" s="234">
        <f t="shared" si="2"/>
        <v>4601.2699999999995</v>
      </c>
      <c r="I21" s="320"/>
    </row>
    <row r="22" spans="1:9" s="223" customFormat="1" ht="12.75" customHeight="1" x14ac:dyDescent="0.25">
      <c r="A22" s="230"/>
      <c r="B22" s="231"/>
      <c r="C22" s="240"/>
      <c r="D22" s="234"/>
      <c r="E22" s="234"/>
      <c r="F22" s="234"/>
      <c r="G22" s="234"/>
      <c r="H22" s="234"/>
      <c r="I22" s="320"/>
    </row>
    <row r="23" spans="1:9" s="223" customFormat="1" ht="12.75" customHeight="1" thickBot="1" x14ac:dyDescent="0.3">
      <c r="A23" s="230"/>
      <c r="B23" s="243"/>
      <c r="C23" s="244" t="s">
        <v>24</v>
      </c>
      <c r="D23" s="245">
        <f>SUM(D9:D22)</f>
        <v>113444</v>
      </c>
      <c r="E23" s="245"/>
      <c r="F23" s="245">
        <f>SUM(F9:F22)</f>
        <v>108842.73</v>
      </c>
      <c r="G23" s="245"/>
      <c r="H23" s="245">
        <f>D23-F23</f>
        <v>4601.2700000000041</v>
      </c>
      <c r="I23" s="32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c r="D26" s="234"/>
      <c r="E26" s="234"/>
      <c r="F26" s="234"/>
      <c r="G26" s="234"/>
      <c r="H26" s="234"/>
      <c r="I26" s="235"/>
    </row>
    <row r="27" spans="1:9" s="223" customFormat="1" ht="12.75" customHeight="1" x14ac:dyDescent="0.25">
      <c r="A27" s="230"/>
      <c r="B27" s="231"/>
      <c r="C27" s="240"/>
      <c r="D27" s="234"/>
      <c r="E27" s="234"/>
      <c r="F27" s="234"/>
      <c r="G27" s="234"/>
      <c r="H27" s="234"/>
      <c r="I27" s="235"/>
    </row>
    <row r="28" spans="1:9" s="223" customFormat="1" ht="12.75" customHeight="1" x14ac:dyDescent="0.25">
      <c r="A28" s="230"/>
      <c r="B28" s="231"/>
      <c r="C28" s="253"/>
      <c r="D28" s="234"/>
      <c r="E28" s="270"/>
      <c r="F28" s="270"/>
      <c r="G28" s="270"/>
      <c r="H28" s="234"/>
      <c r="I28" s="235"/>
    </row>
    <row r="29" spans="1:9" s="223" customFormat="1" ht="12.75" customHeight="1" x14ac:dyDescent="0.25">
      <c r="A29" s="230"/>
      <c r="B29" s="231"/>
      <c r="C29" s="253"/>
      <c r="D29" s="234"/>
      <c r="E29" s="270"/>
      <c r="F29" s="270"/>
      <c r="G29" s="270"/>
      <c r="H29" s="234"/>
      <c r="I29" s="235"/>
    </row>
    <row r="30" spans="1:9" s="223" customFormat="1" ht="12.75" customHeight="1" x14ac:dyDescent="0.25">
      <c r="A30" s="230"/>
      <c r="B30" s="231"/>
      <c r="C30" s="255"/>
      <c r="D30" s="271"/>
      <c r="E30" s="271"/>
      <c r="F30" s="271"/>
      <c r="G30" s="271"/>
      <c r="H30" s="271"/>
      <c r="I30" s="235"/>
    </row>
    <row r="31" spans="1:9" s="223" customFormat="1" ht="12.75" customHeight="1" x14ac:dyDescent="0.25"/>
  </sheetData>
  <conditionalFormatting sqref="I9:I22">
    <cfRule type="cellIs" dxfId="55" priority="1" operator="greaterThan">
      <formula>$H$23</formula>
    </cfRule>
  </conditionalFormatting>
  <pageMargins left="0.25" right="0.25" top="0.95" bottom="0.75" header="0.09" footer="0.3"/>
  <pageSetup scale="72"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A60FC-72CC-471D-918D-F1CCF482DFA9}">
  <sheetPr>
    <pageSetUpPr fitToPage="1"/>
  </sheetPr>
  <dimension ref="A1:N31"/>
  <sheetViews>
    <sheetView topLeftCell="A3" zoomScaleNormal="100" workbookViewId="0">
      <selection activeCell="M29" sqref="M29:N29"/>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4" ht="24.75" customHeight="1" x14ac:dyDescent="0.25">
      <c r="A1" s="2" t="str">
        <f>'RECAP #9484.00'!B1</f>
        <v>ILEA JOH Hydraulic Elevator Replacement</v>
      </c>
      <c r="B1" s="3"/>
      <c r="C1" s="4"/>
      <c r="D1" s="4"/>
      <c r="E1" s="4"/>
      <c r="F1" s="28"/>
      <c r="G1" s="28"/>
      <c r="H1" s="29"/>
      <c r="I1" s="29"/>
    </row>
    <row r="2" spans="1:14" ht="15.75" x14ac:dyDescent="0.25">
      <c r="A2" s="6" t="str">
        <f>'RECAP #9484.00'!B2</f>
        <v>Project # 9484.00</v>
      </c>
      <c r="B2" s="5"/>
      <c r="C2" s="4"/>
      <c r="D2" s="4"/>
      <c r="E2" s="4"/>
      <c r="F2" s="28"/>
      <c r="G2" s="28"/>
      <c r="H2" s="29"/>
      <c r="I2" s="29"/>
    </row>
    <row r="3" spans="1:14" ht="15.75" x14ac:dyDescent="0.25">
      <c r="A3" s="7" t="str">
        <f>'RECAP #9484.00'!B3</f>
        <v>Program code 948400</v>
      </c>
      <c r="B3" s="5"/>
      <c r="C3" s="4"/>
      <c r="D3" s="8" t="str">
        <f>'RECAP #9484.00'!E3</f>
        <v>Major Program 4D03</v>
      </c>
      <c r="E3" s="4"/>
      <c r="F3" s="28"/>
      <c r="G3" s="28"/>
      <c r="H3" s="29"/>
      <c r="I3" s="29"/>
    </row>
    <row r="4" spans="1:14" ht="15.75" x14ac:dyDescent="0.25">
      <c r="A4" s="30" t="s">
        <v>103</v>
      </c>
      <c r="B4" s="31"/>
      <c r="C4" s="32"/>
      <c r="D4" s="33" t="s">
        <v>105</v>
      </c>
      <c r="E4" s="28"/>
      <c r="F4" s="28"/>
      <c r="G4" s="28"/>
      <c r="H4" s="29"/>
      <c r="I4" s="29"/>
    </row>
    <row r="5" spans="1:14" ht="15.75" x14ac:dyDescent="0.25">
      <c r="A5" s="34" t="s">
        <v>104</v>
      </c>
      <c r="B5" s="35"/>
      <c r="C5" s="36"/>
      <c r="D5" s="37" t="s">
        <v>106</v>
      </c>
      <c r="E5" s="38"/>
      <c r="F5" s="39"/>
      <c r="G5" s="39"/>
      <c r="H5" s="35"/>
      <c r="I5" s="29"/>
    </row>
    <row r="6" spans="1:14" ht="15.75" x14ac:dyDescent="0.25">
      <c r="A6" s="11" t="str">
        <f>'RECAP #9484.00'!B6</f>
        <v>Project Manager - Brad T.</v>
      </c>
      <c r="B6" s="11"/>
      <c r="C6" s="40"/>
      <c r="D6" s="41" t="s">
        <v>107</v>
      </c>
      <c r="E6" s="42"/>
      <c r="F6" s="43"/>
      <c r="G6" s="39"/>
      <c r="H6" s="35"/>
      <c r="I6" s="29"/>
    </row>
    <row r="7" spans="1:14" ht="15.75" x14ac:dyDescent="0.25">
      <c r="A7" s="29"/>
      <c r="B7" s="44"/>
      <c r="C7" s="44"/>
      <c r="D7" s="29"/>
      <c r="E7" s="43"/>
      <c r="F7" s="43"/>
      <c r="G7" s="39"/>
      <c r="H7" s="35"/>
      <c r="I7" s="29" t="s">
        <v>2</v>
      </c>
    </row>
    <row r="8" spans="1:14" ht="32.25" thickBot="1" x14ac:dyDescent="0.3">
      <c r="A8" s="45" t="s">
        <v>16</v>
      </c>
      <c r="B8" s="46" t="s">
        <v>17</v>
      </c>
      <c r="C8" s="47" t="s">
        <v>18</v>
      </c>
      <c r="D8" s="48" t="s">
        <v>19</v>
      </c>
      <c r="E8" s="48" t="s">
        <v>20</v>
      </c>
      <c r="F8" s="48" t="s">
        <v>21</v>
      </c>
      <c r="G8" s="48" t="s">
        <v>22</v>
      </c>
      <c r="H8" s="48" t="s">
        <v>23</v>
      </c>
      <c r="I8" s="29"/>
    </row>
    <row r="9" spans="1:14" s="223" customFormat="1" ht="12.75" customHeight="1" x14ac:dyDescent="0.25">
      <c r="A9" s="230" t="s">
        <v>527</v>
      </c>
      <c r="B9" s="177">
        <v>46055</v>
      </c>
      <c r="C9" s="231" t="s">
        <v>109</v>
      </c>
      <c r="D9" s="232">
        <v>74210.77</v>
      </c>
      <c r="E9" s="233">
        <f>D9</f>
        <v>74210.77</v>
      </c>
      <c r="F9" s="234"/>
      <c r="G9" s="234"/>
      <c r="H9" s="234">
        <f>E9</f>
        <v>74210.77</v>
      </c>
      <c r="I9" s="235"/>
    </row>
    <row r="10" spans="1:14" s="223" customFormat="1" ht="12.75" customHeight="1" x14ac:dyDescent="0.25">
      <c r="A10" s="230" t="s">
        <v>708</v>
      </c>
      <c r="B10" s="236">
        <v>46105</v>
      </c>
      <c r="C10" s="231" t="s">
        <v>709</v>
      </c>
      <c r="D10" s="233"/>
      <c r="E10" s="233">
        <f t="shared" ref="E10:E21" si="0">E9+D10</f>
        <v>74210.77</v>
      </c>
      <c r="F10" s="237">
        <v>4451.88</v>
      </c>
      <c r="G10" s="234">
        <f t="shared" ref="G10:G21" si="1">G9+F10</f>
        <v>4451.88</v>
      </c>
      <c r="H10" s="234">
        <f t="shared" ref="H10:H21" si="2">H9-F10+D10</f>
        <v>69758.89</v>
      </c>
      <c r="I10" s="235"/>
    </row>
    <row r="11" spans="1:14" s="223" customFormat="1" ht="12.75" customHeight="1" x14ac:dyDescent="0.25">
      <c r="A11" s="230" t="s">
        <v>784</v>
      </c>
      <c r="B11" s="177">
        <v>46127</v>
      </c>
      <c r="C11" s="231" t="s">
        <v>785</v>
      </c>
      <c r="D11" s="233"/>
      <c r="E11" s="233">
        <f t="shared" si="0"/>
        <v>74210.77</v>
      </c>
      <c r="F11" s="237">
        <v>2027.2</v>
      </c>
      <c r="G11" s="234">
        <f t="shared" si="1"/>
        <v>6479.08</v>
      </c>
      <c r="H11" s="234">
        <f t="shared" si="2"/>
        <v>67731.69</v>
      </c>
      <c r="I11" s="235"/>
      <c r="N11" s="238"/>
    </row>
    <row r="12" spans="1:14" s="223" customFormat="1" ht="12.75" customHeight="1" x14ac:dyDescent="0.25">
      <c r="A12" s="230" t="s">
        <v>863</v>
      </c>
      <c r="B12" s="177">
        <v>46154</v>
      </c>
      <c r="C12" s="231" t="s">
        <v>864</v>
      </c>
      <c r="D12" s="233"/>
      <c r="E12" s="233">
        <f t="shared" si="0"/>
        <v>74210.77</v>
      </c>
      <c r="F12" s="237">
        <v>3804.32</v>
      </c>
      <c r="G12" s="234">
        <f t="shared" si="1"/>
        <v>10283.4</v>
      </c>
      <c r="H12" s="234">
        <f t="shared" si="2"/>
        <v>63927.37</v>
      </c>
      <c r="I12" s="235"/>
    </row>
    <row r="13" spans="1:14" s="223" customFormat="1" ht="12.75" customHeight="1" x14ac:dyDescent="0.25">
      <c r="A13" s="230" t="s">
        <v>1012</v>
      </c>
      <c r="B13" s="177">
        <v>46188</v>
      </c>
      <c r="C13" s="231" t="s">
        <v>1015</v>
      </c>
      <c r="D13" s="233"/>
      <c r="E13" s="233">
        <f t="shared" si="0"/>
        <v>74210.77</v>
      </c>
      <c r="F13" s="237">
        <v>6525.17</v>
      </c>
      <c r="G13" s="234">
        <f t="shared" si="1"/>
        <v>16808.57</v>
      </c>
      <c r="H13" s="234">
        <f t="shared" si="2"/>
        <v>57402.200000000004</v>
      </c>
      <c r="I13" s="235"/>
    </row>
    <row r="14" spans="1:14" s="223" customFormat="1" ht="12.75" customHeight="1" x14ac:dyDescent="0.25">
      <c r="A14" s="230" t="s">
        <v>1196</v>
      </c>
      <c r="B14" s="177">
        <v>46213</v>
      </c>
      <c r="C14" s="231" t="s">
        <v>1197</v>
      </c>
      <c r="D14" s="233"/>
      <c r="E14" s="233">
        <f t="shared" si="0"/>
        <v>74210.77</v>
      </c>
      <c r="F14" s="237">
        <v>12558.13</v>
      </c>
      <c r="G14" s="234">
        <f t="shared" si="1"/>
        <v>29366.699999999997</v>
      </c>
      <c r="H14" s="234">
        <f t="shared" si="2"/>
        <v>44844.070000000007</v>
      </c>
      <c r="I14" s="235"/>
    </row>
    <row r="15" spans="1:14" s="223" customFormat="1" ht="12.75" customHeight="1" x14ac:dyDescent="0.25">
      <c r="A15" s="328" t="s">
        <v>1262</v>
      </c>
      <c r="B15" s="329">
        <v>46218</v>
      </c>
      <c r="C15" s="330" t="s">
        <v>1263</v>
      </c>
      <c r="D15" s="331"/>
      <c r="E15" s="331">
        <f t="shared" si="0"/>
        <v>74210.77</v>
      </c>
      <c r="F15" s="338">
        <v>1489.41</v>
      </c>
      <c r="G15" s="332">
        <f t="shared" si="1"/>
        <v>30856.109999999997</v>
      </c>
      <c r="H15" s="332">
        <f t="shared" si="2"/>
        <v>43354.66</v>
      </c>
      <c r="I15" s="334" t="s">
        <v>1285</v>
      </c>
    </row>
    <row r="16" spans="1:14" s="223" customFormat="1" ht="12.75" customHeight="1" x14ac:dyDescent="0.25">
      <c r="A16" s="230" t="s">
        <v>1292</v>
      </c>
      <c r="B16" s="177">
        <v>46225</v>
      </c>
      <c r="C16" s="231" t="s">
        <v>1286</v>
      </c>
      <c r="D16" s="232">
        <v>0</v>
      </c>
      <c r="E16" s="233">
        <f t="shared" si="0"/>
        <v>74210.77</v>
      </c>
      <c r="F16" s="238"/>
      <c r="G16" s="234">
        <f t="shared" si="1"/>
        <v>30856.109999999997</v>
      </c>
      <c r="H16" s="234">
        <f t="shared" si="2"/>
        <v>43354.66</v>
      </c>
      <c r="I16" s="235"/>
    </row>
    <row r="17" spans="1:9" s="223" customFormat="1" ht="12.75" customHeight="1" x14ac:dyDescent="0.25">
      <c r="A17" s="230" t="s">
        <v>1415</v>
      </c>
      <c r="B17" s="177">
        <v>46246</v>
      </c>
      <c r="C17" s="231" t="s">
        <v>1421</v>
      </c>
      <c r="D17" s="233"/>
      <c r="E17" s="233">
        <f t="shared" si="0"/>
        <v>74210.77</v>
      </c>
      <c r="F17" s="237">
        <v>13368.78</v>
      </c>
      <c r="G17" s="234">
        <f t="shared" si="1"/>
        <v>44224.89</v>
      </c>
      <c r="H17" s="234">
        <f t="shared" si="2"/>
        <v>29985.880000000005</v>
      </c>
      <c r="I17" s="235"/>
    </row>
    <row r="18" spans="1:9" s="223" customFormat="1" ht="12.75" customHeight="1" x14ac:dyDescent="0.25">
      <c r="A18" s="230" t="s">
        <v>1512</v>
      </c>
      <c r="B18" s="177">
        <v>46273</v>
      </c>
      <c r="C18" s="231" t="s">
        <v>1513</v>
      </c>
      <c r="D18" s="233"/>
      <c r="E18" s="233">
        <f t="shared" si="0"/>
        <v>74210.77</v>
      </c>
      <c r="F18" s="237">
        <v>7238.35</v>
      </c>
      <c r="G18" s="234">
        <f t="shared" si="1"/>
        <v>51463.24</v>
      </c>
      <c r="H18" s="234">
        <f t="shared" si="2"/>
        <v>22747.530000000006</v>
      </c>
      <c r="I18" s="235"/>
    </row>
    <row r="19" spans="1:9" s="223" customFormat="1" ht="12.75" customHeight="1" x14ac:dyDescent="0.25">
      <c r="A19" s="230"/>
      <c r="B19" s="177"/>
      <c r="C19" s="231"/>
      <c r="D19" s="233"/>
      <c r="E19" s="233">
        <f t="shared" si="0"/>
        <v>74210.77</v>
      </c>
      <c r="F19" s="234"/>
      <c r="G19" s="234">
        <f t="shared" si="1"/>
        <v>51463.24</v>
      </c>
      <c r="H19" s="234">
        <f t="shared" si="2"/>
        <v>22747.530000000006</v>
      </c>
      <c r="I19" s="235"/>
    </row>
    <row r="20" spans="1:9" s="223" customFormat="1" ht="12.75" customHeight="1" x14ac:dyDescent="0.25">
      <c r="A20" s="230"/>
      <c r="B20" s="177"/>
      <c r="C20" s="231"/>
      <c r="D20" s="233"/>
      <c r="E20" s="233">
        <f t="shared" si="0"/>
        <v>74210.77</v>
      </c>
      <c r="F20" s="234"/>
      <c r="G20" s="234">
        <f t="shared" si="1"/>
        <v>51463.24</v>
      </c>
      <c r="H20" s="234">
        <f t="shared" si="2"/>
        <v>22747.530000000006</v>
      </c>
      <c r="I20" s="235"/>
    </row>
    <row r="21" spans="1:9" s="223" customFormat="1" ht="12.75" customHeight="1" x14ac:dyDescent="0.25">
      <c r="A21" s="230"/>
      <c r="B21" s="177"/>
      <c r="C21" s="239"/>
      <c r="D21" s="233"/>
      <c r="E21" s="233">
        <f t="shared" si="0"/>
        <v>74210.77</v>
      </c>
      <c r="F21" s="234"/>
      <c r="G21" s="234">
        <f t="shared" si="1"/>
        <v>51463.24</v>
      </c>
      <c r="H21" s="234">
        <f t="shared" si="2"/>
        <v>22747.530000000006</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74210.77</v>
      </c>
      <c r="E23" s="245"/>
      <c r="F23" s="245">
        <f>SUM(F9:F22)</f>
        <v>51463.24</v>
      </c>
      <c r="G23" s="245"/>
      <c r="H23" s="245">
        <f>D23-F23</f>
        <v>22747.530000000006</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t="s">
        <v>110</v>
      </c>
      <c r="D26" s="234">
        <v>69210.77</v>
      </c>
      <c r="E26" s="234"/>
      <c r="F26" s="234">
        <f>4451.88+2027.2+3804.32+6525.17+12558.13+13368.78+7238.35</f>
        <v>49973.829999999994</v>
      </c>
      <c r="G26" s="234"/>
      <c r="H26" s="234">
        <f>D26-F26</f>
        <v>19236.94000000001</v>
      </c>
      <c r="I26" s="235"/>
    </row>
    <row r="27" spans="1:9" s="223" customFormat="1" ht="12.75" customHeight="1" x14ac:dyDescent="0.25">
      <c r="A27" s="230"/>
      <c r="B27" s="231"/>
      <c r="C27" s="240" t="s">
        <v>111</v>
      </c>
      <c r="D27" s="234">
        <v>5000</v>
      </c>
      <c r="E27" s="234"/>
      <c r="F27" s="234">
        <f>1489.41</f>
        <v>1489.41</v>
      </c>
      <c r="G27" s="234"/>
      <c r="H27" s="234">
        <f>D27-F27</f>
        <v>3510.59</v>
      </c>
      <c r="I27" s="235"/>
    </row>
    <row r="28" spans="1:9" s="223" customFormat="1" ht="12.75" customHeight="1" thickBot="1" x14ac:dyDescent="0.3">
      <c r="A28" s="230"/>
      <c r="B28" s="231"/>
      <c r="C28" s="263" t="s">
        <v>67</v>
      </c>
      <c r="D28" s="245">
        <f>SUM(D26:D27)</f>
        <v>74210.77</v>
      </c>
      <c r="E28" s="296"/>
      <c r="F28" s="245">
        <f>SUM(F26:F27)</f>
        <v>51463.24</v>
      </c>
      <c r="G28" s="296"/>
      <c r="H28" s="245">
        <f>SUM(H26:H27)</f>
        <v>22747.53000000001</v>
      </c>
      <c r="I28" s="258"/>
    </row>
    <row r="29" spans="1:9" s="223" customFormat="1" ht="12.75" customHeight="1" thickTop="1" x14ac:dyDescent="0.25">
      <c r="A29" s="230"/>
      <c r="B29" s="231"/>
      <c r="C29" s="253"/>
      <c r="D29" s="234"/>
      <c r="E29" s="270"/>
      <c r="F29" s="270"/>
      <c r="G29" s="270"/>
      <c r="H29" s="234"/>
      <c r="I29" s="235"/>
    </row>
    <row r="30" spans="1:9" s="223" customFormat="1" ht="12.75" customHeight="1" x14ac:dyDescent="0.25">
      <c r="A30" s="230"/>
      <c r="B30" s="231"/>
      <c r="C30" s="255"/>
      <c r="D30" s="271"/>
      <c r="E30" s="271"/>
      <c r="F30" s="271"/>
      <c r="G30" s="271"/>
      <c r="H30" s="271"/>
      <c r="I30" s="235"/>
    </row>
    <row r="31" spans="1:9" s="223" customFormat="1" ht="12.75" customHeight="1" x14ac:dyDescent="0.25"/>
  </sheetData>
  <conditionalFormatting sqref="I8:I14 I16:I23">
    <cfRule type="cellIs" dxfId="54"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6C5E6-CA64-4562-B472-D12C68912F7E}">
  <sheetPr>
    <tabColor rgb="FF0070C0"/>
    <pageSetUpPr fitToPage="1"/>
  </sheetPr>
  <dimension ref="A1:I32"/>
  <sheetViews>
    <sheetView zoomScaleNormal="100" workbookViewId="0">
      <selection activeCell="B13" sqref="B13:D13"/>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2.42578125" style="274"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#9484.00'!B1</f>
        <v>ILEA JOH Hydraulic Elevator Replacement</v>
      </c>
      <c r="B1" s="30"/>
      <c r="C1" s="153"/>
      <c r="D1" s="153"/>
      <c r="E1" s="153"/>
      <c r="F1" s="156"/>
      <c r="G1" s="156"/>
      <c r="H1" s="179"/>
      <c r="I1" s="179"/>
    </row>
    <row r="2" spans="1:9" ht="15.75" x14ac:dyDescent="0.25">
      <c r="A2" s="31" t="str">
        <f>'RECAP #9484.00'!B2</f>
        <v>Project # 9484.00</v>
      </c>
      <c r="B2" s="150"/>
      <c r="C2" s="153"/>
      <c r="D2" s="153"/>
      <c r="E2" s="153"/>
      <c r="F2" s="156"/>
      <c r="G2" s="156"/>
      <c r="H2" s="179"/>
      <c r="I2" s="179"/>
    </row>
    <row r="3" spans="1:9" ht="15.75" x14ac:dyDescent="0.25">
      <c r="A3" s="154" t="str">
        <f>'RECAP #9484.00'!B3</f>
        <v>Program code 948400</v>
      </c>
      <c r="B3" s="150"/>
      <c r="C3" s="153"/>
      <c r="D3" s="155" t="str">
        <f>'RECAP #9484.00'!E3</f>
        <v>Major Program 4D03</v>
      </c>
      <c r="E3" s="153"/>
      <c r="F3" s="156"/>
      <c r="G3" s="156"/>
      <c r="H3" s="179"/>
      <c r="I3" s="179"/>
    </row>
    <row r="4" spans="1:9" ht="15.75" x14ac:dyDescent="0.25">
      <c r="A4" s="30" t="s">
        <v>1032</v>
      </c>
      <c r="B4" s="31"/>
      <c r="C4" s="179"/>
      <c r="D4" s="180" t="s">
        <v>1033</v>
      </c>
      <c r="E4" s="156"/>
      <c r="F4" s="156"/>
      <c r="G4" s="156"/>
      <c r="H4" s="179"/>
      <c r="I4" s="179"/>
    </row>
    <row r="5" spans="1:9" ht="15.75" x14ac:dyDescent="0.25">
      <c r="A5" s="181" t="s">
        <v>104</v>
      </c>
      <c r="B5" s="179"/>
      <c r="C5" s="182"/>
      <c r="D5" s="37" t="s">
        <v>276</v>
      </c>
      <c r="E5" s="42"/>
      <c r="F5" s="156"/>
      <c r="G5" s="156"/>
      <c r="H5" s="179"/>
      <c r="I5" s="179"/>
    </row>
    <row r="6" spans="1:9" ht="15.75" x14ac:dyDescent="0.25">
      <c r="A6" s="31" t="str">
        <f>'RECAP #9484.00'!B6</f>
        <v>Project Manager - Brad T.</v>
      </c>
      <c r="B6" s="31"/>
      <c r="C6" s="183"/>
      <c r="D6" s="184" t="s">
        <v>287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1034</v>
      </c>
      <c r="B9" s="276">
        <v>46189</v>
      </c>
      <c r="C9" s="277" t="s">
        <v>109</v>
      </c>
      <c r="D9" s="278">
        <v>21960</v>
      </c>
      <c r="E9" s="279">
        <f>D9</f>
        <v>21960</v>
      </c>
      <c r="F9" s="280"/>
      <c r="G9" s="280"/>
      <c r="H9" s="280">
        <f>E9</f>
        <v>21960</v>
      </c>
      <c r="I9" s="281"/>
    </row>
    <row r="10" spans="1:9" s="282" customFormat="1" ht="12.75" customHeight="1" x14ac:dyDescent="0.25">
      <c r="A10" s="275" t="s">
        <v>1236</v>
      </c>
      <c r="B10" s="283">
        <v>46216</v>
      </c>
      <c r="C10" s="277" t="s">
        <v>1237</v>
      </c>
      <c r="D10" s="285">
        <v>-713.29</v>
      </c>
      <c r="E10" s="279">
        <f t="shared" ref="E10:E21" si="0">E9+D10</f>
        <v>21246.71</v>
      </c>
      <c r="F10" s="284">
        <v>21246.71</v>
      </c>
      <c r="G10" s="280">
        <f t="shared" ref="G10:G21" si="1">G9+F10</f>
        <v>21246.71</v>
      </c>
      <c r="H10" s="280">
        <f t="shared" ref="H10:H21" si="2">H9-F10+D10</f>
        <v>9.0949470177292824E-13</v>
      </c>
      <c r="I10" s="281"/>
    </row>
    <row r="11" spans="1:9" s="282" customFormat="1" ht="12.75" customHeight="1" x14ac:dyDescent="0.25">
      <c r="A11" s="275"/>
      <c r="B11" s="276"/>
      <c r="C11" s="277"/>
      <c r="D11" s="279"/>
      <c r="E11" s="279">
        <f t="shared" si="0"/>
        <v>21246.71</v>
      </c>
      <c r="F11" s="284"/>
      <c r="G11" s="280">
        <f t="shared" si="1"/>
        <v>21246.71</v>
      </c>
      <c r="H11" s="280">
        <f t="shared" si="2"/>
        <v>9.0949470177292824E-13</v>
      </c>
      <c r="I11" s="281"/>
    </row>
    <row r="12" spans="1:9" s="282" customFormat="1" ht="12.75" customHeight="1" x14ac:dyDescent="0.25">
      <c r="A12" s="275"/>
      <c r="B12" s="276"/>
      <c r="C12" s="277"/>
      <c r="D12" s="279"/>
      <c r="E12" s="279">
        <f t="shared" si="0"/>
        <v>21246.71</v>
      </c>
      <c r="F12" s="284"/>
      <c r="G12" s="280">
        <f t="shared" si="1"/>
        <v>21246.71</v>
      </c>
      <c r="H12" s="280">
        <f t="shared" si="2"/>
        <v>9.0949470177292824E-13</v>
      </c>
      <c r="I12" s="281"/>
    </row>
    <row r="13" spans="1:9" s="282" customFormat="1" ht="12.75" customHeight="1" x14ac:dyDescent="0.25">
      <c r="A13" s="275"/>
      <c r="B13" s="276"/>
      <c r="C13" s="277"/>
      <c r="D13" s="279"/>
      <c r="E13" s="279">
        <f t="shared" si="0"/>
        <v>21246.71</v>
      </c>
      <c r="F13" s="284"/>
      <c r="G13" s="280">
        <f t="shared" si="1"/>
        <v>21246.71</v>
      </c>
      <c r="H13" s="280">
        <f t="shared" si="2"/>
        <v>9.0949470177292824E-13</v>
      </c>
      <c r="I13" s="281"/>
    </row>
    <row r="14" spans="1:9" s="282" customFormat="1" ht="12.75" customHeight="1" x14ac:dyDescent="0.25">
      <c r="A14" s="275"/>
      <c r="B14" s="276"/>
      <c r="C14" s="277"/>
      <c r="D14" s="279"/>
      <c r="E14" s="279">
        <f t="shared" si="0"/>
        <v>21246.71</v>
      </c>
      <c r="F14" s="280"/>
      <c r="G14" s="280">
        <f t="shared" si="1"/>
        <v>21246.71</v>
      </c>
      <c r="H14" s="280">
        <f t="shared" si="2"/>
        <v>9.0949470177292824E-13</v>
      </c>
      <c r="I14" s="281"/>
    </row>
    <row r="15" spans="1:9" s="282" customFormat="1" ht="12.75" customHeight="1" x14ac:dyDescent="0.25">
      <c r="A15" s="275"/>
      <c r="B15" s="276"/>
      <c r="C15" s="277"/>
      <c r="D15" s="279"/>
      <c r="E15" s="279">
        <f t="shared" si="0"/>
        <v>21246.71</v>
      </c>
      <c r="F15" s="284"/>
      <c r="G15" s="280">
        <f t="shared" si="1"/>
        <v>21246.71</v>
      </c>
      <c r="H15" s="280">
        <f t="shared" si="2"/>
        <v>9.0949470177292824E-13</v>
      </c>
      <c r="I15" s="281"/>
    </row>
    <row r="16" spans="1:9" s="282" customFormat="1" ht="12.75" customHeight="1" x14ac:dyDescent="0.25">
      <c r="A16" s="275"/>
      <c r="B16" s="276"/>
      <c r="C16" s="277"/>
      <c r="D16" s="279"/>
      <c r="E16" s="279">
        <f t="shared" si="0"/>
        <v>21246.71</v>
      </c>
      <c r="F16" s="284"/>
      <c r="G16" s="280">
        <f t="shared" si="1"/>
        <v>21246.71</v>
      </c>
      <c r="H16" s="280">
        <f t="shared" si="2"/>
        <v>9.0949470177292824E-13</v>
      </c>
      <c r="I16" s="281"/>
    </row>
    <row r="17" spans="1:9" s="282" customFormat="1" ht="12.75" customHeight="1" x14ac:dyDescent="0.25">
      <c r="A17" s="275"/>
      <c r="B17" s="276"/>
      <c r="C17" s="277"/>
      <c r="D17" s="279"/>
      <c r="E17" s="279">
        <f t="shared" si="0"/>
        <v>21246.71</v>
      </c>
      <c r="F17" s="284"/>
      <c r="G17" s="280">
        <f t="shared" si="1"/>
        <v>21246.71</v>
      </c>
      <c r="H17" s="280">
        <f t="shared" si="2"/>
        <v>9.0949470177292824E-13</v>
      </c>
      <c r="I17" s="281"/>
    </row>
    <row r="18" spans="1:9" s="282" customFormat="1" ht="12.75" customHeight="1" x14ac:dyDescent="0.25">
      <c r="A18" s="275"/>
      <c r="B18" s="276"/>
      <c r="C18" s="277"/>
      <c r="D18" s="279"/>
      <c r="E18" s="279">
        <f t="shared" si="0"/>
        <v>21246.71</v>
      </c>
      <c r="F18" s="284"/>
      <c r="G18" s="280">
        <f t="shared" si="1"/>
        <v>21246.71</v>
      </c>
      <c r="H18" s="280">
        <f t="shared" si="2"/>
        <v>9.0949470177292824E-13</v>
      </c>
      <c r="I18" s="281"/>
    </row>
    <row r="19" spans="1:9" s="282" customFormat="1" ht="12.75" customHeight="1" x14ac:dyDescent="0.25">
      <c r="A19" s="275"/>
      <c r="B19" s="276"/>
      <c r="C19" s="277"/>
      <c r="D19" s="279"/>
      <c r="E19" s="279">
        <f t="shared" si="0"/>
        <v>21246.71</v>
      </c>
      <c r="F19" s="280"/>
      <c r="G19" s="280">
        <f t="shared" si="1"/>
        <v>21246.71</v>
      </c>
      <c r="H19" s="280">
        <f t="shared" si="2"/>
        <v>9.0949470177292824E-13</v>
      </c>
      <c r="I19" s="281"/>
    </row>
    <row r="20" spans="1:9" s="282" customFormat="1" ht="12.75" customHeight="1" x14ac:dyDescent="0.25">
      <c r="A20" s="275"/>
      <c r="B20" s="276"/>
      <c r="C20" s="277"/>
      <c r="D20" s="279"/>
      <c r="E20" s="279">
        <f t="shared" si="0"/>
        <v>21246.71</v>
      </c>
      <c r="F20" s="280"/>
      <c r="G20" s="280">
        <f t="shared" si="1"/>
        <v>21246.71</v>
      </c>
      <c r="H20" s="280">
        <f t="shared" si="2"/>
        <v>9.0949470177292824E-13</v>
      </c>
      <c r="I20" s="281"/>
    </row>
    <row r="21" spans="1:9" s="282" customFormat="1" ht="12.75" customHeight="1" x14ac:dyDescent="0.25">
      <c r="A21" s="275"/>
      <c r="B21" s="276"/>
      <c r="C21" s="286"/>
      <c r="D21" s="279"/>
      <c r="E21" s="279">
        <f t="shared" si="0"/>
        <v>21246.71</v>
      </c>
      <c r="F21" s="280"/>
      <c r="G21" s="280">
        <f t="shared" si="1"/>
        <v>21246.71</v>
      </c>
      <c r="H21" s="280">
        <f t="shared" si="2"/>
        <v>9.0949470177292824E-13</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21246.71</v>
      </c>
      <c r="E23" s="290"/>
      <c r="F23" s="290">
        <f>SUM(F9:F22)</f>
        <v>21246.71</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1035</v>
      </c>
      <c r="D26" s="280">
        <v>20500</v>
      </c>
      <c r="E26" s="280"/>
      <c r="F26" s="280">
        <f>20500</f>
        <v>20500</v>
      </c>
      <c r="G26" s="280"/>
      <c r="H26" s="280">
        <f>D26-F26</f>
        <v>0</v>
      </c>
      <c r="I26" s="281"/>
    </row>
    <row r="27" spans="1:9" s="282" customFormat="1" ht="12.75" customHeight="1" x14ac:dyDescent="0.25">
      <c r="A27" s="275"/>
      <c r="B27" s="277"/>
      <c r="C27" s="287" t="s">
        <v>1036</v>
      </c>
      <c r="D27" s="280">
        <v>250</v>
      </c>
      <c r="E27" s="280"/>
      <c r="F27" s="280">
        <f>250</f>
        <v>250</v>
      </c>
      <c r="G27" s="280"/>
      <c r="H27" s="280">
        <f t="shared" ref="H27:H28" si="3">D27-F27</f>
        <v>0</v>
      </c>
      <c r="I27" s="281"/>
    </row>
    <row r="28" spans="1:9" s="282" customFormat="1" ht="12.75" customHeight="1" x14ac:dyDescent="0.25">
      <c r="A28" s="275"/>
      <c r="B28" s="277"/>
      <c r="C28" s="287" t="s">
        <v>1037</v>
      </c>
      <c r="D28" s="280">
        <f>1210-713.29</f>
        <v>496.71000000000004</v>
      </c>
      <c r="E28" s="280"/>
      <c r="F28" s="280">
        <f>496.71</f>
        <v>496.71</v>
      </c>
      <c r="G28" s="280"/>
      <c r="H28" s="280">
        <f t="shared" si="3"/>
        <v>0</v>
      </c>
      <c r="I28" s="281"/>
    </row>
    <row r="29" spans="1:9" s="282" customFormat="1" ht="12.75" customHeight="1" thickBot="1" x14ac:dyDescent="0.3">
      <c r="A29" s="275"/>
      <c r="B29" s="277"/>
      <c r="C29" s="293" t="s">
        <v>67</v>
      </c>
      <c r="D29" s="290">
        <f>SUM(D26:D28)</f>
        <v>21246.71</v>
      </c>
      <c r="E29" s="294"/>
      <c r="F29" s="290">
        <f>SUM(F26:F28)</f>
        <v>21246.71</v>
      </c>
      <c r="G29" s="294"/>
      <c r="H29" s="290">
        <f>SUM(H26:H28)</f>
        <v>0</v>
      </c>
      <c r="I29" s="281"/>
    </row>
    <row r="30" spans="1:9" s="282" customFormat="1" ht="12.75" customHeight="1" thickTop="1" x14ac:dyDescent="0.25">
      <c r="A30" s="275"/>
      <c r="B30" s="277"/>
      <c r="C30" s="287"/>
      <c r="D30" s="280"/>
      <c r="E30" s="324"/>
      <c r="F30" s="324"/>
      <c r="G30" s="324"/>
      <c r="H30" s="280"/>
      <c r="I30" s="281"/>
    </row>
    <row r="31" spans="1:9" s="282" customFormat="1" ht="12.75" customHeight="1" x14ac:dyDescent="0.25">
      <c r="A31" s="275"/>
      <c r="B31" s="277"/>
      <c r="C31" s="293"/>
      <c r="D31" s="325"/>
      <c r="E31" s="325"/>
      <c r="F31" s="325"/>
      <c r="G31" s="325"/>
      <c r="H31" s="325"/>
      <c r="I31" s="281"/>
    </row>
    <row r="32" spans="1:9" s="282" customFormat="1" ht="12.75" customHeight="1" x14ac:dyDescent="0.25"/>
  </sheetData>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41753-2399-479A-A24D-7E8BC2705927}">
  <sheetPr>
    <pageSetUpPr fitToPage="1"/>
  </sheetPr>
  <dimension ref="A1:G18"/>
  <sheetViews>
    <sheetView zoomScaleNormal="100" workbookViewId="0">
      <selection activeCell="B22" sqref="B22"/>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91</v>
      </c>
      <c r="C1" s="3"/>
      <c r="D1" s="4"/>
      <c r="E1" s="4"/>
      <c r="F1" s="4"/>
      <c r="G1" s="4"/>
    </row>
    <row r="2" spans="1:7" ht="15.75" x14ac:dyDescent="0.25">
      <c r="A2" s="1"/>
      <c r="B2" s="6" t="s">
        <v>92</v>
      </c>
      <c r="C2" s="5"/>
      <c r="D2" s="4"/>
      <c r="E2" s="4"/>
      <c r="F2" s="4"/>
      <c r="G2" s="4"/>
    </row>
    <row r="3" spans="1:7" ht="15.75" x14ac:dyDescent="0.25">
      <c r="A3" s="1"/>
      <c r="B3" s="7" t="s">
        <v>93</v>
      </c>
      <c r="C3" s="5"/>
      <c r="D3" s="4"/>
      <c r="E3" s="8" t="s">
        <v>94</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190</v>
      </c>
      <c r="C6" s="12"/>
      <c r="D6" s="13" t="s">
        <v>2</v>
      </c>
      <c r="E6" s="4"/>
      <c r="F6" s="4"/>
      <c r="G6" s="4"/>
    </row>
    <row r="7" spans="1:7" ht="33.75" customHeight="1" thickBot="1" x14ac:dyDescent="0.3">
      <c r="A7" s="1"/>
      <c r="B7" s="14" t="s">
        <v>2</v>
      </c>
      <c r="C7" s="15" t="s">
        <v>3</v>
      </c>
      <c r="D7" s="16" t="s">
        <v>4</v>
      </c>
      <c r="E7" s="17" t="s">
        <v>5</v>
      </c>
      <c r="F7" s="18" t="s">
        <v>6</v>
      </c>
      <c r="G7" s="18" t="s">
        <v>7</v>
      </c>
    </row>
    <row r="8" spans="1:7" ht="28.35" customHeight="1" x14ac:dyDescent="0.25">
      <c r="A8" s="1"/>
      <c r="B8" s="1" t="s">
        <v>8</v>
      </c>
      <c r="C8" s="19">
        <f>FINANCIAL!G16</f>
        <v>320000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73" t="s">
        <v>250</v>
      </c>
      <c r="B10" s="247" t="s">
        <v>103</v>
      </c>
      <c r="C10" s="248"/>
      <c r="D10" s="251">
        <f>'#9491.00 DCI Group'!D23</f>
        <v>7888.5300000000007</v>
      </c>
      <c r="E10" s="251">
        <f>'#9491.00 DCI Group'!F23</f>
        <v>7888.5300000000007</v>
      </c>
      <c r="F10" s="251">
        <f>'#9491.00 DCI Group'!H23</f>
        <v>0</v>
      </c>
      <c r="G10" s="250"/>
    </row>
    <row r="11" spans="1:7" s="223" customFormat="1" ht="12.75" customHeight="1" x14ac:dyDescent="0.25">
      <c r="A11" s="246"/>
      <c r="B11" s="247" t="s">
        <v>10</v>
      </c>
      <c r="C11" s="248"/>
      <c r="D11" s="251">
        <f>'#9491.00 PM TIME '!E39</f>
        <v>25000</v>
      </c>
      <c r="E11" s="251">
        <f>'#9491.00 PM TIME '!G39</f>
        <v>17696.12</v>
      </c>
      <c r="F11" s="251">
        <f>'#9491.00 PM TIME '!I39</f>
        <v>7303.880000000001</v>
      </c>
      <c r="G11" s="250"/>
    </row>
    <row r="12" spans="1:7" s="223" customFormat="1" ht="12.75" customHeight="1" x14ac:dyDescent="0.25">
      <c r="A12" s="246"/>
      <c r="B12" s="247" t="s">
        <v>11</v>
      </c>
      <c r="C12" s="249"/>
      <c r="D12" s="252">
        <f>'#9491.00 Misc '!G22</f>
        <v>200</v>
      </c>
      <c r="E12" s="252">
        <f>'#9491.00 Misc '!G22</f>
        <v>200</v>
      </c>
      <c r="F12" s="251">
        <f>D12-E12</f>
        <v>0</v>
      </c>
      <c r="G12" s="250"/>
    </row>
    <row r="13" spans="1:7" s="223" customFormat="1" ht="12.75" customHeight="1" x14ac:dyDescent="0.25">
      <c r="A13" s="246"/>
      <c r="B13" s="247" t="s">
        <v>295</v>
      </c>
      <c r="C13" s="249"/>
      <c r="D13" s="252">
        <f>'#9491.00 KCL Engineering'!D23</f>
        <v>17675</v>
      </c>
      <c r="E13" s="252">
        <f>'#9491.00 KCL Engineering'!F23</f>
        <v>15875</v>
      </c>
      <c r="F13" s="251">
        <f>'#9491.00 KCL Engineering'!H23</f>
        <v>1800</v>
      </c>
      <c r="G13" s="250"/>
    </row>
    <row r="14" spans="1:7" s="223" customFormat="1" ht="12.75" customHeight="1" x14ac:dyDescent="0.25">
      <c r="A14" s="246"/>
      <c r="B14" s="247" t="s">
        <v>598</v>
      </c>
      <c r="C14" s="249"/>
      <c r="D14" s="252">
        <f>'#9491.00 Modern Piping Service'!D23</f>
        <v>203524</v>
      </c>
      <c r="E14" s="252">
        <f>'#9491.00 Modern Piping Service'!F23</f>
        <v>3948.37</v>
      </c>
      <c r="F14" s="251">
        <f>'#9491.00 Modern Piping Service'!H23</f>
        <v>199575.63</v>
      </c>
      <c r="G14" s="250"/>
    </row>
    <row r="15" spans="1:7" s="223" customFormat="1" ht="12.75" customHeight="1" x14ac:dyDescent="0.25">
      <c r="A15" s="246"/>
      <c r="B15" s="247" t="s">
        <v>893</v>
      </c>
      <c r="C15" s="249"/>
      <c r="D15" s="252">
        <f>'#9491.00 DCI Group (2)'!D23</f>
        <v>22401.43</v>
      </c>
      <c r="E15" s="252">
        <f>'#9491.00 DCI Group (2)'!F23</f>
        <v>929.05</v>
      </c>
      <c r="F15" s="251">
        <f>'#9491.00 DCI Group (2)'!H23</f>
        <v>21472.38</v>
      </c>
      <c r="G15" s="250"/>
    </row>
    <row r="16" spans="1:7" s="223" customFormat="1" ht="12.75" customHeight="1" x14ac:dyDescent="0.25">
      <c r="A16" s="246"/>
      <c r="B16" s="247"/>
      <c r="C16" s="249"/>
      <c r="D16" s="252"/>
      <c r="E16" s="252"/>
      <c r="F16" s="251"/>
      <c r="G16" s="250"/>
    </row>
    <row r="17" spans="1:7" ht="24" customHeight="1" thickBot="1" x14ac:dyDescent="0.3">
      <c r="A17" s="25"/>
      <c r="B17" s="26" t="s">
        <v>12</v>
      </c>
      <c r="C17" s="27">
        <f>SUM(C8:C16)</f>
        <v>320000</v>
      </c>
      <c r="D17" s="27">
        <f>SUM(D8:D16)</f>
        <v>276688.96000000002</v>
      </c>
      <c r="E17" s="27">
        <f>SUM(E8:E16)</f>
        <v>46537.070000000007</v>
      </c>
      <c r="F17" s="27">
        <f>SUM(D17-E17)</f>
        <v>230151.89</v>
      </c>
      <c r="G17" s="27">
        <f>C8-D17</f>
        <v>43311.039999999979</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A6F6-C089-43EA-8289-B139FB651389}">
  <sheetPr>
    <tabColor rgb="FF0070C0"/>
    <pageSetUpPr fitToPage="1"/>
  </sheetPr>
  <dimension ref="A1:J29"/>
  <sheetViews>
    <sheetView zoomScaleNormal="100" workbookViewId="0">
      <selection activeCell="A28" sqref="A28"/>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2.5703125" style="274" customWidth="1"/>
    <col min="9" max="9" width="6.140625" style="274" bestFit="1"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10" ht="24.75" customHeight="1" x14ac:dyDescent="0.25">
      <c r="A1" s="30" t="str">
        <f>'RECAP #9491.00'!B1</f>
        <v>DOC 7 JD RTU #2 Replacement</v>
      </c>
      <c r="B1" s="30"/>
      <c r="C1" s="153"/>
      <c r="D1" s="153"/>
      <c r="E1" s="153"/>
      <c r="F1" s="156"/>
      <c r="G1" s="156"/>
      <c r="H1" s="179"/>
      <c r="I1" s="179"/>
      <c r="J1" s="179"/>
    </row>
    <row r="2" spans="1:10" ht="15.75" x14ac:dyDescent="0.25">
      <c r="A2" s="31" t="str">
        <f>'RECAP #9491.00'!B2</f>
        <v>Project # 9491.00</v>
      </c>
      <c r="B2" s="150"/>
      <c r="C2" s="153"/>
      <c r="D2" s="153"/>
      <c r="E2" s="153"/>
      <c r="F2" s="156"/>
      <c r="G2" s="156"/>
      <c r="H2" s="179"/>
      <c r="I2" s="179"/>
      <c r="J2" s="179"/>
    </row>
    <row r="3" spans="1:10" ht="15.75" x14ac:dyDescent="0.25">
      <c r="A3" s="154" t="str">
        <f>'RECAP #9491.00'!B3</f>
        <v>Program code 949100</v>
      </c>
      <c r="B3" s="150"/>
      <c r="C3" s="153"/>
      <c r="D3" s="155" t="str">
        <f>'RECAP #9491.00'!E3</f>
        <v>Major Program 4B01</v>
      </c>
      <c r="E3" s="153"/>
      <c r="F3" s="156"/>
      <c r="G3" s="156"/>
      <c r="H3" s="179"/>
      <c r="I3" s="179"/>
      <c r="J3" s="179"/>
    </row>
    <row r="4" spans="1:10" ht="15.75" x14ac:dyDescent="0.25">
      <c r="A4" s="30" t="s">
        <v>103</v>
      </c>
      <c r="B4" s="31"/>
      <c r="C4" s="179"/>
      <c r="D4" s="180" t="s">
        <v>105</v>
      </c>
      <c r="E4" s="156"/>
      <c r="F4" s="156"/>
      <c r="G4" s="156"/>
      <c r="H4" s="179"/>
      <c r="I4" s="179"/>
      <c r="J4" s="179"/>
    </row>
    <row r="5" spans="1:10" ht="15.75" x14ac:dyDescent="0.25">
      <c r="A5" s="181" t="s">
        <v>104</v>
      </c>
      <c r="B5" s="179"/>
      <c r="C5" s="182"/>
      <c r="D5" s="37" t="s">
        <v>106</v>
      </c>
      <c r="E5" s="42"/>
      <c r="F5" s="156"/>
      <c r="G5" s="156"/>
      <c r="H5" s="179"/>
      <c r="I5" s="179"/>
      <c r="J5" s="179"/>
    </row>
    <row r="6" spans="1:10" ht="15.75" x14ac:dyDescent="0.25">
      <c r="A6" s="31" t="str">
        <f>'RECAP #9491.00'!B6</f>
        <v>Project Manager - James T.</v>
      </c>
      <c r="B6" s="31"/>
      <c r="C6" s="183"/>
      <c r="D6" s="184" t="s">
        <v>107</v>
      </c>
      <c r="E6" s="42"/>
      <c r="F6" s="43"/>
      <c r="G6" s="156"/>
      <c r="H6" s="179"/>
      <c r="I6" s="179"/>
      <c r="J6" s="179"/>
    </row>
    <row r="7" spans="1:10" ht="15.75" x14ac:dyDescent="0.25">
      <c r="A7" s="179"/>
      <c r="B7" s="185"/>
      <c r="C7" s="185"/>
      <c r="D7" s="179"/>
      <c r="E7" s="43"/>
      <c r="F7" s="43"/>
      <c r="G7" s="156"/>
      <c r="H7" s="179"/>
      <c r="I7" s="179" t="s">
        <v>2</v>
      </c>
      <c r="J7" s="179"/>
    </row>
    <row r="8" spans="1:10" ht="32.25" thickBot="1" x14ac:dyDescent="0.3">
      <c r="A8" s="186" t="s">
        <v>16</v>
      </c>
      <c r="B8" s="187" t="s">
        <v>17</v>
      </c>
      <c r="C8" s="188" t="s">
        <v>18</v>
      </c>
      <c r="D8" s="189" t="s">
        <v>19</v>
      </c>
      <c r="E8" s="189" t="s">
        <v>20</v>
      </c>
      <c r="F8" s="189" t="s">
        <v>21</v>
      </c>
      <c r="G8" s="189" t="s">
        <v>22</v>
      </c>
      <c r="H8" s="189" t="s">
        <v>23</v>
      </c>
      <c r="I8" s="179"/>
      <c r="J8" s="179"/>
    </row>
    <row r="9" spans="1:10" s="282" customFormat="1" ht="12.75" customHeight="1" x14ac:dyDescent="0.25">
      <c r="A9" s="275" t="s">
        <v>304</v>
      </c>
      <c r="B9" s="276">
        <v>45916</v>
      </c>
      <c r="C9" s="277" t="s">
        <v>109</v>
      </c>
      <c r="D9" s="278">
        <v>18131.88</v>
      </c>
      <c r="E9" s="279">
        <f>D9</f>
        <v>18131.88</v>
      </c>
      <c r="F9" s="280"/>
      <c r="G9" s="280"/>
      <c r="H9" s="280">
        <f>E9</f>
        <v>18131.88</v>
      </c>
      <c r="I9" s="281"/>
      <c r="J9" s="281" t="s">
        <v>301</v>
      </c>
    </row>
    <row r="10" spans="1:10" s="282" customFormat="1" ht="12.75" customHeight="1" x14ac:dyDescent="0.25">
      <c r="A10" s="275" t="s">
        <v>305</v>
      </c>
      <c r="B10" s="283">
        <v>45958</v>
      </c>
      <c r="C10" s="277" t="s">
        <v>306</v>
      </c>
      <c r="D10" s="279"/>
      <c r="E10" s="279">
        <f t="shared" ref="E10:E21" si="0">E9+D10</f>
        <v>18131.88</v>
      </c>
      <c r="F10" s="284">
        <v>2473.0300000000002</v>
      </c>
      <c r="G10" s="280">
        <f t="shared" ref="G10:G21" si="1">G9+F10</f>
        <v>2473.0300000000002</v>
      </c>
      <c r="H10" s="280">
        <f t="shared" ref="H10:H21" si="2">H9-F10+D10</f>
        <v>15658.85</v>
      </c>
      <c r="I10" s="281"/>
      <c r="J10" s="281"/>
    </row>
    <row r="11" spans="1:10" s="282" customFormat="1" ht="12.75" customHeight="1" x14ac:dyDescent="0.25">
      <c r="A11" s="275" t="s">
        <v>323</v>
      </c>
      <c r="B11" s="276">
        <v>45982</v>
      </c>
      <c r="C11" s="277" t="s">
        <v>324</v>
      </c>
      <c r="D11" s="279"/>
      <c r="E11" s="279">
        <f t="shared" si="0"/>
        <v>18131.88</v>
      </c>
      <c r="F11" s="284">
        <v>524.75</v>
      </c>
      <c r="G11" s="280">
        <f t="shared" si="1"/>
        <v>2997.78</v>
      </c>
      <c r="H11" s="280">
        <f t="shared" si="2"/>
        <v>15134.1</v>
      </c>
      <c r="I11" s="281"/>
      <c r="J11" s="281"/>
    </row>
    <row r="12" spans="1:10" s="282" customFormat="1" ht="12.75" customHeight="1" x14ac:dyDescent="0.25">
      <c r="A12" s="275" t="s">
        <v>380</v>
      </c>
      <c r="B12" s="276">
        <v>46020</v>
      </c>
      <c r="C12" s="277" t="s">
        <v>381</v>
      </c>
      <c r="D12" s="279"/>
      <c r="E12" s="279">
        <f t="shared" si="0"/>
        <v>18131.88</v>
      </c>
      <c r="F12" s="284">
        <v>1060.4100000000001</v>
      </c>
      <c r="G12" s="280">
        <f t="shared" si="1"/>
        <v>4058.1900000000005</v>
      </c>
      <c r="H12" s="280">
        <f t="shared" si="2"/>
        <v>14073.69</v>
      </c>
      <c r="I12" s="281"/>
      <c r="J12" s="281"/>
    </row>
    <row r="13" spans="1:10" s="282" customFormat="1" ht="12.75" customHeight="1" x14ac:dyDescent="0.25">
      <c r="A13" s="275" t="s">
        <v>452</v>
      </c>
      <c r="B13" s="276">
        <v>46044</v>
      </c>
      <c r="C13" s="277" t="s">
        <v>453</v>
      </c>
      <c r="D13" s="279"/>
      <c r="E13" s="279">
        <f t="shared" si="0"/>
        <v>18131.88</v>
      </c>
      <c r="F13" s="284">
        <v>1234.8800000000001</v>
      </c>
      <c r="G13" s="280">
        <f t="shared" si="1"/>
        <v>5293.0700000000006</v>
      </c>
      <c r="H13" s="280">
        <f t="shared" si="2"/>
        <v>12838.810000000001</v>
      </c>
      <c r="I13" s="281"/>
      <c r="J13" s="281"/>
    </row>
    <row r="14" spans="1:10" s="282" customFormat="1" ht="12.75" customHeight="1" x14ac:dyDescent="0.25">
      <c r="A14" s="275" t="s">
        <v>590</v>
      </c>
      <c r="B14" s="276">
        <v>46077</v>
      </c>
      <c r="C14" s="277" t="s">
        <v>591</v>
      </c>
      <c r="D14" s="279"/>
      <c r="E14" s="279">
        <f t="shared" si="0"/>
        <v>18131.88</v>
      </c>
      <c r="F14" s="284">
        <v>1053.6199999999999</v>
      </c>
      <c r="G14" s="280">
        <f t="shared" si="1"/>
        <v>6346.6900000000005</v>
      </c>
      <c r="H14" s="280">
        <f t="shared" si="2"/>
        <v>11785.190000000002</v>
      </c>
      <c r="I14" s="281"/>
      <c r="J14" s="281"/>
    </row>
    <row r="15" spans="1:10" s="282" customFormat="1" ht="12.75" customHeight="1" x14ac:dyDescent="0.25">
      <c r="A15" s="275" t="s">
        <v>702</v>
      </c>
      <c r="B15" s="276">
        <v>46105</v>
      </c>
      <c r="C15" s="277" t="s">
        <v>703</v>
      </c>
      <c r="D15" s="285">
        <v>-10243.35</v>
      </c>
      <c r="E15" s="279">
        <f t="shared" si="0"/>
        <v>7888.5300000000007</v>
      </c>
      <c r="F15" s="284">
        <v>1541.84</v>
      </c>
      <c r="G15" s="280">
        <f t="shared" si="1"/>
        <v>7888.5300000000007</v>
      </c>
      <c r="H15" s="280">
        <f t="shared" si="2"/>
        <v>0</v>
      </c>
      <c r="I15" s="281"/>
      <c r="J15" s="281"/>
    </row>
    <row r="16" spans="1:10" s="282" customFormat="1" ht="12.75" customHeight="1" x14ac:dyDescent="0.25">
      <c r="A16" s="275"/>
      <c r="B16" s="276"/>
      <c r="C16" s="277"/>
      <c r="D16" s="279"/>
      <c r="E16" s="279">
        <f t="shared" si="0"/>
        <v>7888.5300000000007</v>
      </c>
      <c r="F16" s="284"/>
      <c r="G16" s="280">
        <f t="shared" si="1"/>
        <v>7888.5300000000007</v>
      </c>
      <c r="H16" s="280">
        <f t="shared" si="2"/>
        <v>0</v>
      </c>
      <c r="I16" s="281"/>
      <c r="J16" s="281"/>
    </row>
    <row r="17" spans="1:10" s="282" customFormat="1" ht="12.75" customHeight="1" x14ac:dyDescent="0.25">
      <c r="A17" s="275"/>
      <c r="B17" s="276"/>
      <c r="C17" s="277"/>
      <c r="D17" s="279"/>
      <c r="E17" s="279">
        <f t="shared" si="0"/>
        <v>7888.5300000000007</v>
      </c>
      <c r="F17" s="284"/>
      <c r="G17" s="280">
        <f t="shared" si="1"/>
        <v>7888.5300000000007</v>
      </c>
      <c r="H17" s="280">
        <f t="shared" si="2"/>
        <v>0</v>
      </c>
      <c r="I17" s="281"/>
      <c r="J17" s="281"/>
    </row>
    <row r="18" spans="1:10" s="282" customFormat="1" ht="12.75" customHeight="1" x14ac:dyDescent="0.25">
      <c r="A18" s="275"/>
      <c r="B18" s="276"/>
      <c r="C18" s="277"/>
      <c r="D18" s="279"/>
      <c r="E18" s="279">
        <f t="shared" si="0"/>
        <v>7888.5300000000007</v>
      </c>
      <c r="F18" s="284"/>
      <c r="G18" s="280">
        <f t="shared" si="1"/>
        <v>7888.5300000000007</v>
      </c>
      <c r="H18" s="280">
        <f t="shared" si="2"/>
        <v>0</v>
      </c>
      <c r="I18" s="281"/>
      <c r="J18" s="281"/>
    </row>
    <row r="19" spans="1:10" s="282" customFormat="1" ht="12.75" customHeight="1" x14ac:dyDescent="0.25">
      <c r="A19" s="275"/>
      <c r="B19" s="276"/>
      <c r="C19" s="277"/>
      <c r="D19" s="279"/>
      <c r="E19" s="279">
        <f t="shared" si="0"/>
        <v>7888.5300000000007</v>
      </c>
      <c r="F19" s="280"/>
      <c r="G19" s="280">
        <f t="shared" si="1"/>
        <v>7888.5300000000007</v>
      </c>
      <c r="H19" s="280">
        <f t="shared" si="2"/>
        <v>0</v>
      </c>
      <c r="I19" s="281"/>
      <c r="J19" s="281"/>
    </row>
    <row r="20" spans="1:10" s="282" customFormat="1" ht="12.75" customHeight="1" x14ac:dyDescent="0.25">
      <c r="A20" s="275"/>
      <c r="B20" s="276"/>
      <c r="C20" s="277"/>
      <c r="D20" s="279"/>
      <c r="E20" s="279">
        <f t="shared" si="0"/>
        <v>7888.5300000000007</v>
      </c>
      <c r="F20" s="280"/>
      <c r="G20" s="280">
        <f t="shared" si="1"/>
        <v>7888.5300000000007</v>
      </c>
      <c r="H20" s="280">
        <f t="shared" si="2"/>
        <v>0</v>
      </c>
      <c r="I20" s="281"/>
      <c r="J20" s="281"/>
    </row>
    <row r="21" spans="1:10" s="282" customFormat="1" ht="12.75" customHeight="1" x14ac:dyDescent="0.25">
      <c r="A21" s="275"/>
      <c r="B21" s="276"/>
      <c r="C21" s="286"/>
      <c r="D21" s="279"/>
      <c r="E21" s="279">
        <f t="shared" si="0"/>
        <v>7888.5300000000007</v>
      </c>
      <c r="F21" s="280"/>
      <c r="G21" s="280">
        <f t="shared" si="1"/>
        <v>7888.5300000000007</v>
      </c>
      <c r="H21" s="280">
        <f t="shared" si="2"/>
        <v>0</v>
      </c>
      <c r="I21" s="281"/>
      <c r="J21" s="281"/>
    </row>
    <row r="22" spans="1:10" s="282" customFormat="1" ht="12.75" customHeight="1" x14ac:dyDescent="0.25">
      <c r="A22" s="275"/>
      <c r="B22" s="277"/>
      <c r="C22" s="287"/>
      <c r="D22" s="280"/>
      <c r="E22" s="280"/>
      <c r="F22" s="280"/>
      <c r="G22" s="280"/>
      <c r="H22" s="280"/>
      <c r="I22" s="281"/>
      <c r="J22" s="281"/>
    </row>
    <row r="23" spans="1:10" s="282" customFormat="1" ht="12.75" customHeight="1" thickBot="1" x14ac:dyDescent="0.3">
      <c r="A23" s="275"/>
      <c r="B23" s="288"/>
      <c r="C23" s="289" t="s">
        <v>24</v>
      </c>
      <c r="D23" s="290">
        <f>SUM(D9:D22)</f>
        <v>7888.5300000000007</v>
      </c>
      <c r="E23" s="290"/>
      <c r="F23" s="290">
        <f>SUM(F9:F22)</f>
        <v>7888.5300000000007</v>
      </c>
      <c r="G23" s="290"/>
      <c r="H23" s="290">
        <f>D23-F23</f>
        <v>0</v>
      </c>
      <c r="I23" s="291" t="s">
        <v>444</v>
      </c>
      <c r="J23" s="281"/>
    </row>
    <row r="24" spans="1:10" s="282" customFormat="1" ht="12.75" customHeight="1" thickTop="1" x14ac:dyDescent="0.25">
      <c r="A24" s="275"/>
      <c r="B24" s="277"/>
      <c r="C24" s="287"/>
      <c r="D24" s="280"/>
      <c r="E24" s="280"/>
      <c r="F24" s="280"/>
      <c r="G24" s="280"/>
      <c r="H24" s="280"/>
      <c r="I24" s="281"/>
      <c r="J24" s="281"/>
    </row>
    <row r="25" spans="1:10" s="282" customFormat="1" ht="12.75" customHeight="1" x14ac:dyDescent="0.25">
      <c r="A25" s="275"/>
      <c r="B25" s="277"/>
      <c r="C25" s="287"/>
      <c r="D25" s="280"/>
      <c r="E25" s="280"/>
      <c r="F25" s="280"/>
      <c r="G25" s="280"/>
      <c r="H25" s="280"/>
      <c r="I25" s="281"/>
      <c r="J25" s="281"/>
    </row>
    <row r="26" spans="1:10" s="282" customFormat="1" ht="12.75" customHeight="1" x14ac:dyDescent="0.25">
      <c r="A26" s="275"/>
      <c r="B26" s="277"/>
      <c r="C26" s="287" t="s">
        <v>110</v>
      </c>
      <c r="D26" s="292">
        <f>17631.88-9915.85</f>
        <v>7716.0300000000007</v>
      </c>
      <c r="E26" s="292"/>
      <c r="F26" s="292">
        <f>2358.03+524.75+1060.41+1234.88+1053.62+1484.34</f>
        <v>7716.0300000000007</v>
      </c>
      <c r="G26" s="292"/>
      <c r="H26" s="280">
        <f>D26-F26</f>
        <v>0</v>
      </c>
      <c r="I26" s="281"/>
      <c r="J26" s="281"/>
    </row>
    <row r="27" spans="1:10" s="282" customFormat="1" ht="12.75" customHeight="1" x14ac:dyDescent="0.25">
      <c r="A27" s="275"/>
      <c r="B27" s="277"/>
      <c r="C27" s="287" t="s">
        <v>111</v>
      </c>
      <c r="D27" s="292">
        <f>500-327.5</f>
        <v>172.5</v>
      </c>
      <c r="E27" s="292"/>
      <c r="F27" s="292">
        <f>115+57.5</f>
        <v>172.5</v>
      </c>
      <c r="G27" s="292"/>
      <c r="H27" s="280">
        <f>D27-F27</f>
        <v>0</v>
      </c>
      <c r="I27" s="281"/>
      <c r="J27" s="281"/>
    </row>
    <row r="28" spans="1:10" s="282" customFormat="1" ht="12.75" customHeight="1" thickBot="1" x14ac:dyDescent="0.3">
      <c r="A28" s="275"/>
      <c r="B28" s="277"/>
      <c r="C28" s="293" t="s">
        <v>67</v>
      </c>
      <c r="D28" s="290">
        <f>SUM(D26:D27)</f>
        <v>7888.5300000000007</v>
      </c>
      <c r="E28" s="294"/>
      <c r="F28" s="290">
        <f>SUM(F26:F27)</f>
        <v>7888.5300000000007</v>
      </c>
      <c r="G28" s="294"/>
      <c r="H28" s="290">
        <f>SUM(H26:H27)</f>
        <v>0</v>
      </c>
      <c r="I28" s="281"/>
      <c r="J28" s="281"/>
    </row>
    <row r="29" spans="1:10" ht="15" customHeight="1" thickTop="1" x14ac:dyDescent="0.25"/>
  </sheetData>
  <pageMargins left="0.25" right="0.25" top="0.95" bottom="0.75" header="0.09" footer="0.3"/>
  <pageSetup scale="79" fitToHeight="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A7889-0A1C-403A-B88C-9A48D757E65F}">
  <sheetPr>
    <pageSetUpPr fitToPage="1"/>
  </sheetPr>
  <dimension ref="A1:J40"/>
  <sheetViews>
    <sheetView topLeftCell="A14" zoomScaleNormal="100" workbookViewId="0">
      <selection activeCell="E42" sqref="D42:E42"/>
    </sheetView>
  </sheetViews>
  <sheetFormatPr defaultColWidth="11.42578125" defaultRowHeight="15" customHeight="1" x14ac:dyDescent="0.25"/>
  <cols>
    <col min="1" max="1" width="24.5703125" customWidth="1"/>
    <col min="2" max="3" width="9.42578125" customWidth="1"/>
    <col min="4" max="4" width="41.8554687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#9491.00'!B1</f>
        <v>DOC 7 JD RTU #2 Replacement</v>
      </c>
      <c r="B1" s="3"/>
      <c r="C1" s="3"/>
      <c r="D1" s="4"/>
      <c r="E1" s="4"/>
      <c r="F1" s="4"/>
      <c r="G1" s="28"/>
      <c r="H1" s="28"/>
      <c r="I1" s="29"/>
      <c r="J1" s="29"/>
    </row>
    <row r="2" spans="1:10" ht="15.75" x14ac:dyDescent="0.25">
      <c r="A2" s="6" t="str">
        <f>'RECAP #9491.00'!B2</f>
        <v>Project # 9491.00</v>
      </c>
      <c r="B2" s="5"/>
      <c r="C2" s="5"/>
      <c r="D2" s="4"/>
      <c r="E2" s="4"/>
      <c r="F2" s="4"/>
      <c r="G2" s="28"/>
      <c r="H2" s="28"/>
      <c r="I2" s="29"/>
      <c r="J2" s="29"/>
    </row>
    <row r="3" spans="1:10" ht="15.75" x14ac:dyDescent="0.25">
      <c r="A3" s="7" t="str">
        <f>'RECAP #9491.00'!B3</f>
        <v>Program code 949100</v>
      </c>
      <c r="B3" s="5"/>
      <c r="C3" s="5"/>
      <c r="D3" s="4"/>
      <c r="E3" s="8" t="str">
        <f>'RECAP #9491.00'!E3</f>
        <v>Major Program 4B01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96</v>
      </c>
      <c r="F6" s="42"/>
      <c r="G6" s="43"/>
      <c r="H6" s="39"/>
      <c r="I6" s="35"/>
      <c r="J6" s="29"/>
    </row>
    <row r="7" spans="1:10" ht="15.75" x14ac:dyDescent="0.25">
      <c r="A7" s="11" t="str">
        <f>'RECAP #9491.00'!B6</f>
        <v>Project Manager - James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f>5000+5000+5000+10000</f>
        <v>25000</v>
      </c>
      <c r="F9" s="233">
        <f>E9</f>
        <v>25000</v>
      </c>
      <c r="G9" s="234"/>
      <c r="H9" s="234"/>
      <c r="I9" s="234">
        <f>F9</f>
        <v>25000</v>
      </c>
      <c r="J9" s="235"/>
    </row>
    <row r="10" spans="1:10" s="223" customFormat="1" ht="12.75" customHeight="1" x14ac:dyDescent="0.25">
      <c r="A10" s="176" t="s">
        <v>123</v>
      </c>
      <c r="B10" s="177">
        <v>45908</v>
      </c>
      <c r="C10" s="178">
        <v>2507</v>
      </c>
      <c r="D10" s="148" t="s">
        <v>124</v>
      </c>
      <c r="E10" s="233"/>
      <c r="F10" s="233">
        <f t="shared" ref="F10:F37" si="0">F9+E10</f>
        <v>25000</v>
      </c>
      <c r="G10" s="237">
        <v>167.7</v>
      </c>
      <c r="H10" s="234">
        <f t="shared" ref="H10:H37" si="1">H9+G10</f>
        <v>167.7</v>
      </c>
      <c r="I10" s="234">
        <f t="shared" ref="I10:I37" si="2">I9-G10+E10</f>
        <v>24832.3</v>
      </c>
      <c r="J10" s="235"/>
    </row>
    <row r="11" spans="1:10" s="223" customFormat="1" ht="12.75" customHeight="1" x14ac:dyDescent="0.25">
      <c r="A11" s="176" t="s">
        <v>123</v>
      </c>
      <c r="B11" s="177">
        <v>45908</v>
      </c>
      <c r="C11" s="178">
        <v>9500</v>
      </c>
      <c r="D11" s="149" t="s">
        <v>125</v>
      </c>
      <c r="E11" s="233"/>
      <c r="F11" s="233">
        <f t="shared" si="0"/>
        <v>25000</v>
      </c>
      <c r="G11" s="237">
        <v>1292.9000000000001</v>
      </c>
      <c r="H11" s="234">
        <f t="shared" si="1"/>
        <v>1460.6000000000001</v>
      </c>
      <c r="I11" s="234">
        <f t="shared" si="2"/>
        <v>23539.399999999998</v>
      </c>
      <c r="J11" s="235"/>
    </row>
    <row r="12" spans="1:10" s="223" customFormat="1" ht="12.75" customHeight="1" x14ac:dyDescent="0.25">
      <c r="A12" s="176" t="s">
        <v>260</v>
      </c>
      <c r="B12" s="177">
        <v>45937</v>
      </c>
      <c r="C12" s="178" t="s">
        <v>261</v>
      </c>
      <c r="D12" s="148" t="s">
        <v>262</v>
      </c>
      <c r="E12" s="233"/>
      <c r="F12" s="233">
        <f t="shared" si="0"/>
        <v>25000</v>
      </c>
      <c r="G12" s="237">
        <v>431</v>
      </c>
      <c r="H12" s="234">
        <f t="shared" si="1"/>
        <v>1891.6000000000001</v>
      </c>
      <c r="I12" s="234">
        <f t="shared" si="2"/>
        <v>23108.399999999998</v>
      </c>
      <c r="J12" s="235"/>
    </row>
    <row r="13" spans="1:10" s="223" customFormat="1" ht="12.75" customHeight="1" x14ac:dyDescent="0.25">
      <c r="A13" s="176" t="s">
        <v>260</v>
      </c>
      <c r="B13" s="177">
        <v>45937</v>
      </c>
      <c r="C13" s="178">
        <v>9500</v>
      </c>
      <c r="D13" s="149" t="s">
        <v>263</v>
      </c>
      <c r="E13" s="233"/>
      <c r="F13" s="233">
        <f t="shared" si="0"/>
        <v>25000</v>
      </c>
      <c r="G13" s="237">
        <v>2215.6</v>
      </c>
      <c r="H13" s="234">
        <f t="shared" si="1"/>
        <v>4107.2</v>
      </c>
      <c r="I13" s="234">
        <f t="shared" si="2"/>
        <v>20892.8</v>
      </c>
      <c r="J13" s="235"/>
    </row>
    <row r="14" spans="1:10" s="223" customFormat="1" ht="12.75" customHeight="1" x14ac:dyDescent="0.25">
      <c r="A14" s="176" t="s">
        <v>314</v>
      </c>
      <c r="B14" s="177">
        <v>45968</v>
      </c>
      <c r="C14" s="178" t="s">
        <v>261</v>
      </c>
      <c r="D14" s="148" t="s">
        <v>315</v>
      </c>
      <c r="E14" s="233"/>
      <c r="F14" s="233">
        <f t="shared" si="0"/>
        <v>25000</v>
      </c>
      <c r="G14" s="237">
        <v>91</v>
      </c>
      <c r="H14" s="234">
        <f t="shared" si="1"/>
        <v>4198.2</v>
      </c>
      <c r="I14" s="234">
        <f t="shared" si="2"/>
        <v>20801.8</v>
      </c>
      <c r="J14" s="235"/>
    </row>
    <row r="15" spans="1:10" s="223" customFormat="1" ht="12.75" customHeight="1" x14ac:dyDescent="0.25">
      <c r="A15" s="176" t="s">
        <v>314</v>
      </c>
      <c r="B15" s="177">
        <v>45968</v>
      </c>
      <c r="C15" s="178">
        <v>9500</v>
      </c>
      <c r="D15" s="149" t="s">
        <v>316</v>
      </c>
      <c r="E15" s="233"/>
      <c r="F15" s="233">
        <f t="shared" si="0"/>
        <v>25000</v>
      </c>
      <c r="G15" s="237">
        <v>903</v>
      </c>
      <c r="H15" s="234">
        <f t="shared" si="1"/>
        <v>5101.2</v>
      </c>
      <c r="I15" s="234">
        <f t="shared" si="2"/>
        <v>19898.8</v>
      </c>
      <c r="J15" s="235"/>
    </row>
    <row r="16" spans="1:10" s="223" customFormat="1" ht="12.75" customHeight="1" x14ac:dyDescent="0.2">
      <c r="A16" s="70" t="s">
        <v>364</v>
      </c>
      <c r="B16" s="50">
        <v>45996</v>
      </c>
      <c r="C16" s="53" t="s">
        <v>261</v>
      </c>
      <c r="D16" s="144" t="s">
        <v>365</v>
      </c>
      <c r="E16" s="233"/>
      <c r="F16" s="233">
        <f t="shared" si="0"/>
        <v>25000</v>
      </c>
      <c r="G16" s="237">
        <v>168.32</v>
      </c>
      <c r="H16" s="234">
        <f t="shared" si="1"/>
        <v>5269.5199999999995</v>
      </c>
      <c r="I16" s="234">
        <f t="shared" si="2"/>
        <v>19730.48</v>
      </c>
      <c r="J16" s="235"/>
    </row>
    <row r="17" spans="1:10" s="223" customFormat="1" ht="12.75" customHeight="1" x14ac:dyDescent="0.2">
      <c r="A17" s="70" t="s">
        <v>364</v>
      </c>
      <c r="B17" s="50">
        <v>45996</v>
      </c>
      <c r="C17" s="268">
        <v>9500</v>
      </c>
      <c r="D17" s="66" t="s">
        <v>366</v>
      </c>
      <c r="E17" s="233"/>
      <c r="F17" s="233">
        <f t="shared" si="0"/>
        <v>25000</v>
      </c>
      <c r="G17" s="237">
        <v>1072.3</v>
      </c>
      <c r="H17" s="234">
        <f t="shared" si="1"/>
        <v>6341.82</v>
      </c>
      <c r="I17" s="234">
        <f t="shared" si="2"/>
        <v>18658.18</v>
      </c>
      <c r="J17" s="235"/>
    </row>
    <row r="18" spans="1:10" s="223" customFormat="1" ht="12.75" customHeight="1" x14ac:dyDescent="0.2">
      <c r="A18" s="70" t="s">
        <v>423</v>
      </c>
      <c r="B18" s="50">
        <v>46030</v>
      </c>
      <c r="C18" s="53" t="s">
        <v>261</v>
      </c>
      <c r="D18" s="144" t="s">
        <v>424</v>
      </c>
      <c r="E18" s="233"/>
      <c r="F18" s="233">
        <f t="shared" si="0"/>
        <v>25000</v>
      </c>
      <c r="G18" s="237">
        <v>107.3</v>
      </c>
      <c r="H18" s="234">
        <f t="shared" si="1"/>
        <v>6449.12</v>
      </c>
      <c r="I18" s="234">
        <f t="shared" si="2"/>
        <v>18550.88</v>
      </c>
      <c r="J18" s="235"/>
    </row>
    <row r="19" spans="1:10" s="223" customFormat="1" ht="12.75" customHeight="1" x14ac:dyDescent="0.2">
      <c r="A19" s="70" t="s">
        <v>423</v>
      </c>
      <c r="B19" s="50">
        <v>46030</v>
      </c>
      <c r="C19" s="268">
        <v>9500</v>
      </c>
      <c r="D19" s="66" t="s">
        <v>425</v>
      </c>
      <c r="E19" s="233"/>
      <c r="F19" s="233">
        <f t="shared" si="0"/>
        <v>25000</v>
      </c>
      <c r="G19" s="237">
        <v>1217.5999999999999</v>
      </c>
      <c r="H19" s="234">
        <f t="shared" si="1"/>
        <v>7666.7199999999993</v>
      </c>
      <c r="I19" s="234">
        <f t="shared" si="2"/>
        <v>17333.280000000002</v>
      </c>
      <c r="J19" s="235"/>
    </row>
    <row r="20" spans="1:10" s="223" customFormat="1" ht="12.75" customHeight="1" x14ac:dyDescent="0.2">
      <c r="A20" s="70" t="s">
        <v>548</v>
      </c>
      <c r="B20" s="50">
        <v>46062</v>
      </c>
      <c r="C20" s="53" t="s">
        <v>261</v>
      </c>
      <c r="D20" s="144" t="s">
        <v>549</v>
      </c>
      <c r="E20" s="233"/>
      <c r="F20" s="233">
        <f t="shared" si="0"/>
        <v>25000</v>
      </c>
      <c r="G20" s="237">
        <v>77.31</v>
      </c>
      <c r="H20" s="234">
        <f t="shared" si="1"/>
        <v>7744.03</v>
      </c>
      <c r="I20" s="234">
        <f t="shared" si="2"/>
        <v>17255.97</v>
      </c>
      <c r="J20" s="235"/>
    </row>
    <row r="21" spans="1:10" s="223" customFormat="1" ht="12.75" customHeight="1" x14ac:dyDescent="0.2">
      <c r="A21" s="70" t="s">
        <v>548</v>
      </c>
      <c r="B21" s="50">
        <v>46062</v>
      </c>
      <c r="C21" s="268">
        <v>9500</v>
      </c>
      <c r="D21" s="66" t="s">
        <v>550</v>
      </c>
      <c r="E21" s="233"/>
      <c r="F21" s="233">
        <f t="shared" si="0"/>
        <v>25000</v>
      </c>
      <c r="G21" s="237">
        <v>965.6</v>
      </c>
      <c r="H21" s="234">
        <f t="shared" si="1"/>
        <v>8709.6299999999992</v>
      </c>
      <c r="I21" s="234">
        <f t="shared" si="2"/>
        <v>16290.37</v>
      </c>
      <c r="J21" s="235"/>
    </row>
    <row r="22" spans="1:10" s="223" customFormat="1" ht="12.75" customHeight="1" x14ac:dyDescent="0.2">
      <c r="A22" s="70" t="s">
        <v>644</v>
      </c>
      <c r="B22" s="50">
        <v>46090</v>
      </c>
      <c r="C22" s="53" t="s">
        <v>261</v>
      </c>
      <c r="D22" s="144" t="s">
        <v>645</v>
      </c>
      <c r="E22" s="233"/>
      <c r="F22" s="233">
        <f t="shared" si="0"/>
        <v>25000</v>
      </c>
      <c r="G22" s="237">
        <v>154.72</v>
      </c>
      <c r="H22" s="234">
        <f t="shared" si="1"/>
        <v>8864.3499999999985</v>
      </c>
      <c r="I22" s="234">
        <f t="shared" si="2"/>
        <v>16135.650000000001</v>
      </c>
      <c r="J22" s="235"/>
    </row>
    <row r="23" spans="1:10" s="223" customFormat="1" ht="12.75" customHeight="1" x14ac:dyDescent="0.2">
      <c r="A23" s="70" t="s">
        <v>644</v>
      </c>
      <c r="B23" s="50">
        <v>46090</v>
      </c>
      <c r="C23" s="268">
        <v>9500</v>
      </c>
      <c r="D23" s="66" t="s">
        <v>646</v>
      </c>
      <c r="E23" s="233"/>
      <c r="F23" s="233">
        <f t="shared" si="0"/>
        <v>25000</v>
      </c>
      <c r="G23" s="237">
        <v>1782.4</v>
      </c>
      <c r="H23" s="234">
        <f t="shared" si="1"/>
        <v>10646.749999999998</v>
      </c>
      <c r="I23" s="234">
        <f t="shared" si="2"/>
        <v>14353.250000000002</v>
      </c>
      <c r="J23" s="235"/>
    </row>
    <row r="24" spans="1:10" s="223" customFormat="1" ht="12.75" customHeight="1" x14ac:dyDescent="0.2">
      <c r="A24" s="70" t="s">
        <v>744</v>
      </c>
      <c r="B24" s="50">
        <v>46118</v>
      </c>
      <c r="C24" s="53" t="s">
        <v>261</v>
      </c>
      <c r="D24" s="144" t="s">
        <v>745</v>
      </c>
      <c r="E24" s="233"/>
      <c r="F24" s="233">
        <f t="shared" si="0"/>
        <v>25000</v>
      </c>
      <c r="G24" s="237">
        <v>66.22</v>
      </c>
      <c r="H24" s="234">
        <f t="shared" si="1"/>
        <v>10712.969999999998</v>
      </c>
      <c r="I24" s="234">
        <f t="shared" si="2"/>
        <v>14287.030000000002</v>
      </c>
      <c r="J24" s="235"/>
    </row>
    <row r="25" spans="1:10" s="223" customFormat="1" ht="12.75" customHeight="1" x14ac:dyDescent="0.2">
      <c r="A25" s="70" t="s">
        <v>744</v>
      </c>
      <c r="B25" s="50">
        <v>46118</v>
      </c>
      <c r="C25" s="268">
        <v>9500</v>
      </c>
      <c r="D25" s="66" t="s">
        <v>746</v>
      </c>
      <c r="E25" s="233"/>
      <c r="F25" s="233">
        <f t="shared" si="0"/>
        <v>25000</v>
      </c>
      <c r="G25" s="237">
        <v>537.4</v>
      </c>
      <c r="H25" s="234">
        <f t="shared" si="1"/>
        <v>11250.369999999997</v>
      </c>
      <c r="I25" s="234">
        <f t="shared" si="2"/>
        <v>13749.630000000003</v>
      </c>
      <c r="J25" s="235"/>
    </row>
    <row r="26" spans="1:10" s="223" customFormat="1" ht="12.75" customHeight="1" x14ac:dyDescent="0.2">
      <c r="A26" s="70" t="s">
        <v>869</v>
      </c>
      <c r="B26" s="50">
        <v>46149</v>
      </c>
      <c r="C26" s="53" t="s">
        <v>261</v>
      </c>
      <c r="D26" s="144" t="s">
        <v>870</v>
      </c>
      <c r="E26" s="233"/>
      <c r="F26" s="233">
        <f t="shared" si="0"/>
        <v>25000</v>
      </c>
      <c r="G26" s="237">
        <v>80.17</v>
      </c>
      <c r="H26" s="234">
        <f t="shared" si="1"/>
        <v>11330.539999999997</v>
      </c>
      <c r="I26" s="234">
        <f t="shared" si="2"/>
        <v>13669.460000000003</v>
      </c>
      <c r="J26" s="235"/>
    </row>
    <row r="27" spans="1:10" s="223" customFormat="1" ht="12.75" customHeight="1" x14ac:dyDescent="0.2">
      <c r="A27" s="70" t="s">
        <v>869</v>
      </c>
      <c r="B27" s="50">
        <v>46149</v>
      </c>
      <c r="C27" s="268">
        <v>9500</v>
      </c>
      <c r="D27" s="66" t="s">
        <v>871</v>
      </c>
      <c r="E27" s="233"/>
      <c r="F27" s="233">
        <f t="shared" si="0"/>
        <v>25000</v>
      </c>
      <c r="G27" s="237">
        <v>836.1</v>
      </c>
      <c r="H27" s="234">
        <f t="shared" si="1"/>
        <v>12166.639999999998</v>
      </c>
      <c r="I27" s="234">
        <f t="shared" si="2"/>
        <v>12833.360000000002</v>
      </c>
      <c r="J27" s="235"/>
    </row>
    <row r="28" spans="1:10" s="223" customFormat="1" ht="12.75" customHeight="1" x14ac:dyDescent="0.2">
      <c r="A28" s="70" t="s">
        <v>1186</v>
      </c>
      <c r="B28" s="50">
        <v>46211</v>
      </c>
      <c r="C28" s="53" t="s">
        <v>261</v>
      </c>
      <c r="D28" s="144" t="s">
        <v>1187</v>
      </c>
      <c r="E28" s="233"/>
      <c r="F28" s="233">
        <f t="shared" si="0"/>
        <v>25000</v>
      </c>
      <c r="G28" s="237">
        <v>200.13</v>
      </c>
      <c r="H28" s="234">
        <f t="shared" si="1"/>
        <v>12366.769999999997</v>
      </c>
      <c r="I28" s="234">
        <f t="shared" si="2"/>
        <v>12633.230000000003</v>
      </c>
      <c r="J28" s="235"/>
    </row>
    <row r="29" spans="1:10" s="223" customFormat="1" ht="12.75" customHeight="1" x14ac:dyDescent="0.2">
      <c r="A29" s="70" t="s">
        <v>1186</v>
      </c>
      <c r="B29" s="50">
        <v>46211</v>
      </c>
      <c r="C29" s="268">
        <v>9500</v>
      </c>
      <c r="D29" s="66" t="s">
        <v>1188</v>
      </c>
      <c r="E29" s="233"/>
      <c r="F29" s="233">
        <f t="shared" si="0"/>
        <v>25000</v>
      </c>
      <c r="G29" s="237">
        <v>2310.6</v>
      </c>
      <c r="H29" s="234">
        <f t="shared" si="1"/>
        <v>14677.369999999997</v>
      </c>
      <c r="I29" s="234">
        <f t="shared" si="2"/>
        <v>10322.630000000003</v>
      </c>
      <c r="J29" s="235"/>
    </row>
    <row r="30" spans="1:10" s="223" customFormat="1" ht="12.75" customHeight="1" x14ac:dyDescent="0.2">
      <c r="A30" s="70" t="s">
        <v>1265</v>
      </c>
      <c r="B30" s="50">
        <v>46218</v>
      </c>
      <c r="C30" s="53" t="s">
        <v>261</v>
      </c>
      <c r="D30" s="144" t="s">
        <v>1266</v>
      </c>
      <c r="E30" s="233"/>
      <c r="F30" s="233">
        <f t="shared" si="0"/>
        <v>25000</v>
      </c>
      <c r="G30" s="237">
        <v>80.650000000000006</v>
      </c>
      <c r="H30" s="234">
        <f t="shared" si="1"/>
        <v>14758.019999999997</v>
      </c>
      <c r="I30" s="234">
        <f t="shared" si="2"/>
        <v>10241.980000000003</v>
      </c>
      <c r="J30" s="235"/>
    </row>
    <row r="31" spans="1:10" s="223" customFormat="1" ht="12.75" customHeight="1" x14ac:dyDescent="0.2">
      <c r="A31" s="70" t="s">
        <v>1436</v>
      </c>
      <c r="B31" s="365">
        <v>46241</v>
      </c>
      <c r="C31" s="53" t="s">
        <v>261</v>
      </c>
      <c r="D31" s="144" t="s">
        <v>1437</v>
      </c>
      <c r="E31" s="233"/>
      <c r="F31" s="233">
        <f t="shared" si="0"/>
        <v>25000</v>
      </c>
      <c r="G31" s="237">
        <v>181.22</v>
      </c>
      <c r="H31" s="234">
        <f t="shared" si="1"/>
        <v>14939.239999999996</v>
      </c>
      <c r="I31" s="234">
        <f t="shared" si="2"/>
        <v>10060.760000000004</v>
      </c>
      <c r="J31" s="235"/>
    </row>
    <row r="32" spans="1:10" s="223" customFormat="1" ht="12.75" customHeight="1" x14ac:dyDescent="0.2">
      <c r="A32" s="70" t="s">
        <v>1436</v>
      </c>
      <c r="B32" s="365">
        <v>46241</v>
      </c>
      <c r="C32" s="268">
        <v>9500</v>
      </c>
      <c r="D32" s="66" t="s">
        <v>1438</v>
      </c>
      <c r="E32" s="233"/>
      <c r="F32" s="233">
        <f t="shared" si="0"/>
        <v>25000</v>
      </c>
      <c r="G32" s="237">
        <v>1945</v>
      </c>
      <c r="H32" s="234">
        <f t="shared" si="1"/>
        <v>16884.239999999998</v>
      </c>
      <c r="I32" s="234">
        <f t="shared" si="2"/>
        <v>8115.7600000000039</v>
      </c>
      <c r="J32" s="235"/>
    </row>
    <row r="33" spans="1:10" s="223" customFormat="1" ht="12.75" customHeight="1" x14ac:dyDescent="0.2">
      <c r="A33" s="70" t="s">
        <v>1531</v>
      </c>
      <c r="B33" s="365">
        <v>46272</v>
      </c>
      <c r="C33" s="53" t="s">
        <v>261</v>
      </c>
      <c r="D33" s="144" t="s">
        <v>1532</v>
      </c>
      <c r="E33" s="233"/>
      <c r="F33" s="233">
        <f t="shared" si="0"/>
        <v>25000</v>
      </c>
      <c r="G33" s="237">
        <v>75.88</v>
      </c>
      <c r="H33" s="234">
        <f t="shared" si="1"/>
        <v>16960.12</v>
      </c>
      <c r="I33" s="234">
        <f t="shared" si="2"/>
        <v>8039.8800000000037</v>
      </c>
      <c r="J33" s="235"/>
    </row>
    <row r="34" spans="1:10" s="223" customFormat="1" ht="12.75" customHeight="1" x14ac:dyDescent="0.2">
      <c r="A34" s="70" t="s">
        <v>1531</v>
      </c>
      <c r="B34" s="365">
        <v>46272</v>
      </c>
      <c r="C34" s="268">
        <v>9500</v>
      </c>
      <c r="D34" s="66" t="s">
        <v>1533</v>
      </c>
      <c r="E34" s="233"/>
      <c r="F34" s="233">
        <f t="shared" si="0"/>
        <v>25000</v>
      </c>
      <c r="G34" s="237">
        <v>736</v>
      </c>
      <c r="H34" s="234">
        <f t="shared" si="1"/>
        <v>17696.12</v>
      </c>
      <c r="I34" s="234">
        <f t="shared" si="2"/>
        <v>7303.8800000000037</v>
      </c>
      <c r="J34" s="235"/>
    </row>
    <row r="35" spans="1:10" s="223" customFormat="1" ht="12.75" customHeight="1" x14ac:dyDescent="0.2">
      <c r="A35" s="70"/>
      <c r="B35" s="365"/>
      <c r="C35" s="268"/>
      <c r="D35" s="66"/>
      <c r="E35" s="233"/>
      <c r="F35" s="233">
        <f t="shared" si="0"/>
        <v>25000</v>
      </c>
      <c r="G35" s="237"/>
      <c r="H35" s="234">
        <f t="shared" si="1"/>
        <v>17696.12</v>
      </c>
      <c r="I35" s="234">
        <f t="shared" si="2"/>
        <v>7303.8800000000037</v>
      </c>
      <c r="J35" s="235"/>
    </row>
    <row r="36" spans="1:10" s="223" customFormat="1" ht="12.75" customHeight="1" x14ac:dyDescent="0.2">
      <c r="A36" s="70"/>
      <c r="B36" s="365"/>
      <c r="C36" s="268"/>
      <c r="D36" s="66"/>
      <c r="E36" s="233"/>
      <c r="F36" s="233">
        <f t="shared" si="0"/>
        <v>25000</v>
      </c>
      <c r="G36" s="237"/>
      <c r="H36" s="234">
        <f t="shared" si="1"/>
        <v>17696.12</v>
      </c>
      <c r="I36" s="234">
        <f t="shared" si="2"/>
        <v>7303.8800000000037</v>
      </c>
      <c r="J36" s="235"/>
    </row>
    <row r="37" spans="1:10" s="223" customFormat="1" ht="12.75" customHeight="1" x14ac:dyDescent="0.2">
      <c r="A37" s="70"/>
      <c r="B37" s="365"/>
      <c r="C37" s="268"/>
      <c r="D37" s="66"/>
      <c r="E37" s="233"/>
      <c r="F37" s="233">
        <f t="shared" si="0"/>
        <v>25000</v>
      </c>
      <c r="G37" s="237"/>
      <c r="H37" s="234">
        <f t="shared" si="1"/>
        <v>17696.12</v>
      </c>
      <c r="I37" s="234">
        <f t="shared" si="2"/>
        <v>7303.8800000000037</v>
      </c>
      <c r="J37" s="235"/>
    </row>
    <row r="38" spans="1:10" s="223" customFormat="1" ht="12.75" customHeight="1" x14ac:dyDescent="0.2">
      <c r="A38" s="70"/>
      <c r="B38" s="365"/>
      <c r="C38" s="268"/>
      <c r="D38" s="66"/>
      <c r="E38" s="233"/>
      <c r="F38" s="233"/>
      <c r="G38" s="237"/>
      <c r="H38" s="234"/>
      <c r="I38" s="234"/>
      <c r="J38" s="235"/>
    </row>
    <row r="39" spans="1:10" s="223" customFormat="1" ht="12.75" customHeight="1" thickBot="1" x14ac:dyDescent="0.3">
      <c r="A39" s="230"/>
      <c r="B39" s="243"/>
      <c r="C39" s="178"/>
      <c r="D39" s="244" t="s">
        <v>24</v>
      </c>
      <c r="E39" s="245">
        <f>SUM(E9:E32)</f>
        <v>25000</v>
      </c>
      <c r="F39" s="245"/>
      <c r="G39" s="245">
        <f>SUM(G9:G34)</f>
        <v>17696.12</v>
      </c>
      <c r="H39" s="245"/>
      <c r="I39" s="245">
        <f>E39-G39</f>
        <v>7303.880000000001</v>
      </c>
      <c r="J39" s="235"/>
    </row>
    <row r="40" spans="1:10" s="223" customFormat="1" ht="12.75" customHeight="1" thickTop="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04AE7-DD0A-401A-A090-E4C07665C359}">
  <sheetPr>
    <pageSetUpPr fitToPage="1"/>
  </sheetPr>
  <dimension ref="A1:H105"/>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5703125" customWidth="1"/>
    <col min="6" max="6" width="13.710937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#9491.00'!B1</f>
        <v>DOC 7 JD RTU #2 Replacement</v>
      </c>
      <c r="B1" s="3"/>
      <c r="C1" s="3"/>
      <c r="D1" s="3"/>
      <c r="E1" s="4"/>
      <c r="F1" s="4"/>
      <c r="G1" s="4"/>
      <c r="H1" s="28"/>
    </row>
    <row r="2" spans="1:8" ht="15.75" x14ac:dyDescent="0.25">
      <c r="A2" s="6" t="str">
        <f>'RECAP #9491.00'!B2</f>
        <v>Project # 9491.00</v>
      </c>
      <c r="B2" s="5"/>
      <c r="C2" s="5"/>
      <c r="D2" s="5"/>
      <c r="E2" s="4"/>
      <c r="F2" s="4"/>
      <c r="G2" s="4"/>
      <c r="H2" s="28"/>
    </row>
    <row r="3" spans="1:8" ht="15.75" x14ac:dyDescent="0.25">
      <c r="A3" s="7" t="str">
        <f>'RECAP #9491.00'!B3</f>
        <v>Program code 949100</v>
      </c>
      <c r="B3" s="5"/>
      <c r="C3" s="5"/>
      <c r="D3" s="5"/>
      <c r="E3" s="8" t="str">
        <f>'RECAP #9491.00'!E3</f>
        <v>Major Program 4B01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293</v>
      </c>
      <c r="F6" s="35"/>
      <c r="G6" s="38"/>
      <c r="H6" s="39"/>
    </row>
    <row r="7" spans="1:8" ht="15.75" x14ac:dyDescent="0.25">
      <c r="A7" s="11" t="str">
        <f>'RECAP #9491.00'!B6</f>
        <v>Project Manager - James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733</v>
      </c>
      <c r="B9" s="177">
        <v>46114</v>
      </c>
      <c r="C9" s="241" t="s">
        <v>361</v>
      </c>
      <c r="D9" s="241" t="s">
        <v>362</v>
      </c>
      <c r="E9" s="38" t="s">
        <v>368</v>
      </c>
      <c r="F9" s="259" t="s">
        <v>732</v>
      </c>
      <c r="G9" s="237">
        <v>200</v>
      </c>
      <c r="H9" s="260">
        <f>G9</f>
        <v>200</v>
      </c>
    </row>
    <row r="10" spans="1:8" s="223" customFormat="1" ht="12.75" customHeight="1" x14ac:dyDescent="0.25">
      <c r="A10" s="241"/>
      <c r="B10" s="177"/>
      <c r="C10" s="240"/>
      <c r="D10" s="240"/>
      <c r="E10" s="258"/>
      <c r="F10" s="252"/>
      <c r="G10" s="260"/>
      <c r="H10" s="260">
        <f>H9+G10</f>
        <v>200</v>
      </c>
    </row>
    <row r="11" spans="1:8" s="223" customFormat="1" ht="12.75" customHeight="1" x14ac:dyDescent="0.25">
      <c r="A11" s="241"/>
      <c r="B11" s="177"/>
      <c r="C11" s="177"/>
      <c r="D11" s="177"/>
      <c r="E11" s="258"/>
      <c r="F11" s="252"/>
      <c r="G11" s="260"/>
      <c r="H11" s="260">
        <f t="shared" ref="H11:H20" si="0">H10+G11</f>
        <v>200</v>
      </c>
    </row>
    <row r="12" spans="1:8" s="223" customFormat="1" ht="12.75" customHeight="1" x14ac:dyDescent="0.25">
      <c r="A12" s="241" t="s">
        <v>2</v>
      </c>
      <c r="B12" s="177" t="s">
        <v>2</v>
      </c>
      <c r="C12" s="177"/>
      <c r="D12" s="177"/>
      <c r="E12" s="258" t="s">
        <v>2</v>
      </c>
      <c r="F12" s="252"/>
      <c r="G12" s="260"/>
      <c r="H12" s="260">
        <f t="shared" si="0"/>
        <v>200</v>
      </c>
    </row>
    <row r="13" spans="1:8" s="223" customFormat="1" ht="12.75" customHeight="1" x14ac:dyDescent="0.25">
      <c r="A13" s="241" t="s">
        <v>2</v>
      </c>
      <c r="B13" s="177" t="s">
        <v>2</v>
      </c>
      <c r="C13" s="177"/>
      <c r="D13" s="177"/>
      <c r="E13" s="258" t="s">
        <v>2</v>
      </c>
      <c r="F13" s="252"/>
      <c r="G13" s="260"/>
      <c r="H13" s="260">
        <f t="shared" si="0"/>
        <v>200</v>
      </c>
    </row>
    <row r="14" spans="1:8" s="223" customFormat="1" ht="12.75" customHeight="1" x14ac:dyDescent="0.25">
      <c r="A14" s="241"/>
      <c r="B14" s="177"/>
      <c r="C14" s="177"/>
      <c r="D14" s="177"/>
      <c r="E14" s="258"/>
      <c r="F14" s="252"/>
      <c r="G14" s="260"/>
      <c r="H14" s="260">
        <f t="shared" si="0"/>
        <v>200</v>
      </c>
    </row>
    <row r="15" spans="1:8" s="223" customFormat="1" ht="12.75" customHeight="1" x14ac:dyDescent="0.25">
      <c r="A15" s="241"/>
      <c r="B15" s="177"/>
      <c r="C15" s="177"/>
      <c r="D15" s="177"/>
      <c r="E15" s="261"/>
      <c r="F15" s="252"/>
      <c r="G15" s="260"/>
      <c r="H15" s="260">
        <f t="shared" si="0"/>
        <v>200</v>
      </c>
    </row>
    <row r="16" spans="1:8" s="223" customFormat="1" ht="12.75" customHeight="1" x14ac:dyDescent="0.25">
      <c r="A16" s="241"/>
      <c r="B16" s="177"/>
      <c r="C16" s="177"/>
      <c r="D16" s="177"/>
      <c r="E16" s="258"/>
      <c r="F16" s="252"/>
      <c r="G16" s="260"/>
      <c r="H16" s="260">
        <f t="shared" si="0"/>
        <v>200</v>
      </c>
    </row>
    <row r="17" spans="1:8" s="223" customFormat="1" ht="12.75" customHeight="1" x14ac:dyDescent="0.25">
      <c r="A17" s="230"/>
      <c r="B17" s="177"/>
      <c r="C17" s="177"/>
      <c r="D17" s="177"/>
      <c r="E17" s="258"/>
      <c r="F17" s="252"/>
      <c r="G17" s="260"/>
      <c r="H17" s="260">
        <f t="shared" si="0"/>
        <v>200</v>
      </c>
    </row>
    <row r="18" spans="1:8" s="223" customFormat="1" ht="12.75" customHeight="1" x14ac:dyDescent="0.25">
      <c r="A18" s="230"/>
      <c r="B18" s="177"/>
      <c r="C18" s="177"/>
      <c r="D18" s="177"/>
      <c r="E18" s="258"/>
      <c r="F18" s="252"/>
      <c r="G18" s="260"/>
      <c r="H18" s="260">
        <f t="shared" si="0"/>
        <v>200</v>
      </c>
    </row>
    <row r="19" spans="1:8" s="223" customFormat="1" ht="12.75" customHeight="1" x14ac:dyDescent="0.25">
      <c r="A19" s="230"/>
      <c r="B19" s="177"/>
      <c r="C19" s="177"/>
      <c r="D19" s="177"/>
      <c r="E19" s="258"/>
      <c r="F19" s="252"/>
      <c r="G19" s="260"/>
      <c r="H19" s="260">
        <f t="shared" si="0"/>
        <v>200</v>
      </c>
    </row>
    <row r="20" spans="1:8" s="223" customFormat="1" ht="12.75" customHeight="1" x14ac:dyDescent="0.25">
      <c r="A20" s="230"/>
      <c r="B20" s="177"/>
      <c r="C20" s="177"/>
      <c r="D20" s="177"/>
      <c r="E20" s="258"/>
      <c r="F20" s="252"/>
      <c r="G20" s="260"/>
      <c r="H20" s="260">
        <f t="shared" si="0"/>
        <v>200</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200</v>
      </c>
      <c r="H22" s="265"/>
    </row>
    <row r="23" spans="1:8" s="223" customFormat="1" ht="12.75" customHeight="1" thickTop="1" x14ac:dyDescent="0.25"/>
    <row r="24" spans="1:8" s="223" customFormat="1" ht="12.75" customHeight="1" x14ac:dyDescent="0.25"/>
    <row r="25" spans="1:8" s="223" customFormat="1" ht="12.75" customHeight="1" x14ac:dyDescent="0.25"/>
    <row r="26" spans="1:8" s="223" customFormat="1" ht="12.75" customHeight="1" x14ac:dyDescent="0.25"/>
    <row r="27" spans="1:8" s="223" customFormat="1" ht="12.75" customHeight="1" x14ac:dyDescent="0.25"/>
    <row r="28" spans="1:8" s="223" customFormat="1" ht="12.75" customHeight="1" x14ac:dyDescent="0.25"/>
    <row r="29" spans="1:8" s="223" customFormat="1" ht="12.75" customHeight="1" x14ac:dyDescent="0.25"/>
    <row r="30" spans="1:8" s="223" customFormat="1" ht="12.75" customHeight="1" x14ac:dyDescent="0.25"/>
    <row r="31" spans="1:8" s="223" customFormat="1" ht="12.75" customHeight="1" x14ac:dyDescent="0.25"/>
    <row r="32" spans="1:8" s="223" customFormat="1" ht="12.75" customHeight="1" x14ac:dyDescent="0.25"/>
    <row r="33" s="223" customFormat="1" ht="12.75" customHeight="1" x14ac:dyDescent="0.25"/>
    <row r="34" s="223" customFormat="1" ht="12.75" customHeight="1" x14ac:dyDescent="0.25"/>
    <row r="35" s="223" customFormat="1" ht="12.75" customHeight="1" x14ac:dyDescent="0.25"/>
    <row r="36" s="223" customFormat="1" ht="12.75" customHeight="1" x14ac:dyDescent="0.25"/>
    <row r="37" s="223" customFormat="1" ht="12.75" customHeight="1" x14ac:dyDescent="0.25"/>
    <row r="38" s="223" customFormat="1" ht="12.75" customHeight="1" x14ac:dyDescent="0.25"/>
    <row r="39" s="223" customFormat="1" ht="12.75" customHeight="1" x14ac:dyDescent="0.25"/>
    <row r="40" s="223" customFormat="1" ht="12.75" customHeight="1" x14ac:dyDescent="0.25"/>
    <row r="41" s="223" customFormat="1" ht="12.75" customHeight="1" x14ac:dyDescent="0.25"/>
    <row r="42" s="223" customFormat="1" ht="12.75" customHeight="1" x14ac:dyDescent="0.25"/>
    <row r="43" s="223" customFormat="1" ht="12.75" customHeight="1" x14ac:dyDescent="0.25"/>
    <row r="44" s="223" customFormat="1" ht="12.75" customHeight="1" x14ac:dyDescent="0.25"/>
    <row r="45" s="223" customFormat="1" ht="12.75" customHeight="1" x14ac:dyDescent="0.25"/>
    <row r="46" s="223" customFormat="1" ht="12.75" customHeight="1" x14ac:dyDescent="0.25"/>
    <row r="47" s="223" customFormat="1" ht="12.75" customHeight="1" x14ac:dyDescent="0.25"/>
    <row r="48" s="223" customFormat="1" ht="12.75" customHeight="1" x14ac:dyDescent="0.25"/>
    <row r="49" s="223" customFormat="1" ht="12.75" customHeight="1" x14ac:dyDescent="0.25"/>
    <row r="50" s="223" customFormat="1" ht="12.75" customHeight="1" x14ac:dyDescent="0.25"/>
    <row r="51" s="223" customFormat="1" ht="12.75" customHeight="1" x14ac:dyDescent="0.25"/>
    <row r="52" s="223" customFormat="1" ht="12.75" customHeight="1" x14ac:dyDescent="0.25"/>
    <row r="53" s="223" customFormat="1" ht="12.75" customHeight="1" x14ac:dyDescent="0.25"/>
    <row r="54" s="223" customFormat="1" ht="12.75" customHeight="1" x14ac:dyDescent="0.25"/>
    <row r="55" s="223" customFormat="1" ht="12.75" customHeight="1" x14ac:dyDescent="0.25"/>
    <row r="56" s="223" customFormat="1" ht="12.75" customHeight="1" x14ac:dyDescent="0.25"/>
    <row r="57" s="223" customFormat="1" ht="12.75" customHeight="1" x14ac:dyDescent="0.25"/>
    <row r="58" s="223" customFormat="1" ht="12.75" customHeight="1" x14ac:dyDescent="0.25"/>
    <row r="59" s="223" customFormat="1" ht="12.75" customHeight="1" x14ac:dyDescent="0.25"/>
    <row r="60" s="223" customFormat="1" ht="12.75" customHeight="1" x14ac:dyDescent="0.25"/>
    <row r="61" s="223" customFormat="1" ht="12.75" customHeight="1" x14ac:dyDescent="0.25"/>
    <row r="62" s="223" customFormat="1" ht="12.75" customHeight="1" x14ac:dyDescent="0.25"/>
    <row r="63" s="223" customFormat="1" ht="12.75" customHeight="1" x14ac:dyDescent="0.25"/>
    <row r="64" s="223" customFormat="1" ht="12.75" customHeight="1" x14ac:dyDescent="0.25"/>
    <row r="65" s="223" customFormat="1" ht="12.75" customHeight="1" x14ac:dyDescent="0.25"/>
    <row r="66" s="223" customFormat="1" ht="12.75" customHeight="1" x14ac:dyDescent="0.25"/>
    <row r="67" s="223" customFormat="1" ht="12.75" customHeight="1" x14ac:dyDescent="0.25"/>
    <row r="68" s="223" customFormat="1" ht="12.75" customHeight="1" x14ac:dyDescent="0.25"/>
    <row r="69" s="223" customFormat="1" ht="12.75" customHeight="1" x14ac:dyDescent="0.25"/>
    <row r="70" s="223" customFormat="1" ht="12.75" customHeight="1" x14ac:dyDescent="0.25"/>
    <row r="71" s="223" customFormat="1" ht="12.75" customHeight="1" x14ac:dyDescent="0.25"/>
    <row r="72" s="223" customFormat="1" ht="12.75" customHeight="1" x14ac:dyDescent="0.25"/>
    <row r="73" s="223" customFormat="1" ht="12.75" customHeight="1" x14ac:dyDescent="0.25"/>
    <row r="74" s="223" customFormat="1" ht="12.75" customHeight="1" x14ac:dyDescent="0.25"/>
    <row r="75" s="223" customFormat="1" ht="12.75" customHeight="1" x14ac:dyDescent="0.25"/>
    <row r="76" s="223" customFormat="1" ht="12.75" customHeight="1" x14ac:dyDescent="0.25"/>
    <row r="77" s="223" customFormat="1" ht="12.75" customHeight="1" x14ac:dyDescent="0.25"/>
    <row r="78" s="223" customFormat="1" ht="12.75" customHeight="1" x14ac:dyDescent="0.25"/>
    <row r="79" s="223" customFormat="1" ht="12.75" customHeight="1" x14ac:dyDescent="0.25"/>
    <row r="80" s="223" customFormat="1" ht="12.75" customHeight="1" x14ac:dyDescent="0.25"/>
    <row r="81" s="223" customFormat="1" ht="12.75" customHeight="1" x14ac:dyDescent="0.25"/>
    <row r="82" s="223" customFormat="1" ht="12.75" customHeight="1" x14ac:dyDescent="0.25"/>
    <row r="83" s="223" customFormat="1" ht="12.75" customHeight="1" x14ac:dyDescent="0.25"/>
    <row r="84" s="223" customFormat="1" ht="12.75" customHeight="1" x14ac:dyDescent="0.25"/>
    <row r="85" s="223" customFormat="1" ht="12.75" customHeight="1" x14ac:dyDescent="0.25"/>
    <row r="86" s="223" customFormat="1" ht="12.75" customHeight="1" x14ac:dyDescent="0.25"/>
    <row r="87" s="223" customFormat="1" ht="12.75" customHeight="1" x14ac:dyDescent="0.25"/>
    <row r="88" s="223" customFormat="1" ht="12.75" customHeight="1" x14ac:dyDescent="0.25"/>
    <row r="89" s="223" customFormat="1" ht="12.75" customHeight="1" x14ac:dyDescent="0.25"/>
    <row r="90" s="223" customFormat="1" ht="12.75" customHeight="1" x14ac:dyDescent="0.25"/>
    <row r="91" s="223" customFormat="1" ht="12.75" customHeight="1" x14ac:dyDescent="0.25"/>
    <row r="92" s="223" customFormat="1" ht="12.75" customHeight="1" x14ac:dyDescent="0.25"/>
    <row r="93" s="223" customFormat="1" ht="12.75" customHeight="1" x14ac:dyDescent="0.25"/>
    <row r="94" s="223" customFormat="1" ht="12.75" customHeight="1" x14ac:dyDescent="0.25"/>
    <row r="95" s="223" customFormat="1" ht="12.75" customHeight="1" x14ac:dyDescent="0.25"/>
    <row r="96" s="223" customFormat="1" ht="12.75" customHeight="1" x14ac:dyDescent="0.25"/>
    <row r="97" s="223" customFormat="1" ht="12.75" customHeight="1" x14ac:dyDescent="0.25"/>
    <row r="98" s="223" customFormat="1" ht="12.75" customHeight="1" x14ac:dyDescent="0.25"/>
    <row r="99" s="223" customFormat="1" ht="12.75" customHeight="1" x14ac:dyDescent="0.25"/>
    <row r="100" s="223" customFormat="1" ht="12.75" customHeight="1" x14ac:dyDescent="0.25"/>
    <row r="101" s="223" customFormat="1" ht="12.75" customHeight="1" x14ac:dyDescent="0.25"/>
    <row r="102" s="223" customFormat="1" ht="12.75" customHeight="1" x14ac:dyDescent="0.25"/>
    <row r="103" s="223" customFormat="1" ht="12.75" customHeight="1" x14ac:dyDescent="0.25"/>
    <row r="104" s="223" customFormat="1" ht="12.75" customHeight="1" x14ac:dyDescent="0.25"/>
    <row r="105" s="223"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D650-BAB1-4082-8290-F875D9F2D331}">
  <sheetPr>
    <pageSetUpPr fitToPage="1"/>
  </sheetPr>
  <dimension ref="A1:J31"/>
  <sheetViews>
    <sheetView zoomScaleNormal="100" workbookViewId="0">
      <selection activeCell="M13" sqref="M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5703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#9491.00'!B1</f>
        <v>DOC 7 JD RTU #2 Replacement</v>
      </c>
      <c r="B1" s="3"/>
      <c r="C1" s="4"/>
      <c r="D1" s="4"/>
      <c r="E1" s="4"/>
      <c r="F1" s="28"/>
      <c r="G1" s="28"/>
      <c r="H1" s="29"/>
      <c r="I1" s="29"/>
      <c r="J1" s="29"/>
    </row>
    <row r="2" spans="1:10" ht="15.75" x14ac:dyDescent="0.25">
      <c r="A2" s="6" t="str">
        <f>'RECAP #9491.00'!B2</f>
        <v>Project # 9491.00</v>
      </c>
      <c r="B2" s="5"/>
      <c r="C2" s="4"/>
      <c r="D2" s="4"/>
      <c r="E2" s="4"/>
      <c r="F2" s="28"/>
      <c r="G2" s="28"/>
      <c r="H2" s="29"/>
      <c r="I2" s="29"/>
      <c r="J2" s="29"/>
    </row>
    <row r="3" spans="1:10" ht="15.75" x14ac:dyDescent="0.25">
      <c r="A3" s="7" t="str">
        <f>'RECAP #9491.00'!B3</f>
        <v>Program code 949100</v>
      </c>
      <c r="B3" s="5"/>
      <c r="C3" s="4"/>
      <c r="D3" s="8" t="str">
        <f>'RECAP #9491.00'!E3</f>
        <v>Major Program 4B01</v>
      </c>
      <c r="E3" s="4"/>
      <c r="F3" s="28"/>
      <c r="G3" s="28"/>
      <c r="H3" s="29"/>
      <c r="I3" s="29"/>
      <c r="J3" s="29"/>
    </row>
    <row r="4" spans="1:10" ht="15.75" x14ac:dyDescent="0.25">
      <c r="A4" s="30" t="s">
        <v>295</v>
      </c>
      <c r="B4" s="31"/>
      <c r="C4" s="32"/>
      <c r="D4" s="33" t="s">
        <v>296</v>
      </c>
      <c r="E4" s="28"/>
      <c r="F4" s="28"/>
      <c r="G4" s="28"/>
      <c r="H4" s="29"/>
      <c r="I4" s="29"/>
      <c r="J4" s="29"/>
    </row>
    <row r="5" spans="1:10" ht="15.75" x14ac:dyDescent="0.25">
      <c r="A5" s="34" t="s">
        <v>115</v>
      </c>
      <c r="B5" s="35"/>
      <c r="C5" s="36"/>
      <c r="D5" s="37" t="s">
        <v>297</v>
      </c>
      <c r="E5" s="38"/>
      <c r="F5" s="39"/>
      <c r="G5" s="39"/>
      <c r="H5" s="35"/>
      <c r="I5" s="29"/>
      <c r="J5" s="29"/>
    </row>
    <row r="6" spans="1:10" ht="15.75" x14ac:dyDescent="0.25">
      <c r="A6" s="11" t="str">
        <f>'RECAP #9491.00'!B6</f>
        <v>Project Manager - James T.</v>
      </c>
      <c r="B6" s="11"/>
      <c r="C6" s="40"/>
      <c r="D6" s="41" t="s">
        <v>118</v>
      </c>
      <c r="E6" s="42"/>
      <c r="F6" s="43"/>
      <c r="G6" s="39"/>
      <c r="H6" s="35"/>
      <c r="I6" s="29"/>
      <c r="J6" s="29"/>
    </row>
    <row r="7" spans="1:10" ht="15.75" x14ac:dyDescent="0.25">
      <c r="A7" s="29"/>
      <c r="B7" s="44"/>
      <c r="C7" s="44"/>
      <c r="D7" s="29"/>
      <c r="E7" s="43"/>
      <c r="F7" s="43"/>
      <c r="G7" s="39"/>
      <c r="H7" s="35"/>
      <c r="I7" s="29" t="s">
        <v>2</v>
      </c>
      <c r="J7" s="29"/>
    </row>
    <row r="8" spans="1:10" ht="32.25" thickBot="1" x14ac:dyDescent="0.3">
      <c r="A8" s="45" t="s">
        <v>16</v>
      </c>
      <c r="B8" s="46" t="s">
        <v>17</v>
      </c>
      <c r="C8" s="47" t="s">
        <v>18</v>
      </c>
      <c r="D8" s="48" t="s">
        <v>19</v>
      </c>
      <c r="E8" s="48" t="s">
        <v>20</v>
      </c>
      <c r="F8" s="48" t="s">
        <v>21</v>
      </c>
      <c r="G8" s="48" t="s">
        <v>22</v>
      </c>
      <c r="H8" s="48" t="s">
        <v>23</v>
      </c>
      <c r="I8" s="29"/>
      <c r="J8" s="29"/>
    </row>
    <row r="9" spans="1:10" s="223" customFormat="1" ht="12.75" customHeight="1" x14ac:dyDescent="0.25">
      <c r="A9" s="230" t="s">
        <v>298</v>
      </c>
      <c r="B9" s="177">
        <v>45953</v>
      </c>
      <c r="C9" s="231" t="s">
        <v>109</v>
      </c>
      <c r="D9" s="232">
        <v>17675</v>
      </c>
      <c r="E9" s="233">
        <f>D9</f>
        <v>17675</v>
      </c>
      <c r="F9" s="234"/>
      <c r="G9" s="234"/>
      <c r="H9" s="234">
        <f>E9</f>
        <v>17675</v>
      </c>
      <c r="I9" s="235"/>
      <c r="J9" s="235" t="s">
        <v>301</v>
      </c>
    </row>
    <row r="10" spans="1:10" s="223" customFormat="1" ht="12.75" customHeight="1" x14ac:dyDescent="0.25">
      <c r="A10" s="230" t="s">
        <v>378</v>
      </c>
      <c r="B10" s="236">
        <v>46020</v>
      </c>
      <c r="C10" s="231" t="s">
        <v>379</v>
      </c>
      <c r="D10" s="233"/>
      <c r="E10" s="233">
        <f t="shared" ref="E10:E21" si="0">E9+D10</f>
        <v>17675</v>
      </c>
      <c r="F10" s="237">
        <v>4775</v>
      </c>
      <c r="G10" s="234">
        <f t="shared" ref="G10:G21" si="1">G9+F10</f>
        <v>4775</v>
      </c>
      <c r="H10" s="234">
        <f t="shared" ref="H10:H21" si="2">H9-F10+D10</f>
        <v>12900</v>
      </c>
      <c r="I10" s="235"/>
      <c r="J10" s="235"/>
    </row>
    <row r="11" spans="1:10" s="223" customFormat="1" ht="12.75" customHeight="1" x14ac:dyDescent="0.25">
      <c r="A11" s="230" t="s">
        <v>695</v>
      </c>
      <c r="B11" s="177">
        <v>46104</v>
      </c>
      <c r="C11" s="231" t="s">
        <v>696</v>
      </c>
      <c r="D11" s="233"/>
      <c r="E11" s="233">
        <f t="shared" si="0"/>
        <v>17675</v>
      </c>
      <c r="F11" s="237">
        <v>5900</v>
      </c>
      <c r="G11" s="234">
        <f t="shared" si="1"/>
        <v>10675</v>
      </c>
      <c r="H11" s="234">
        <f t="shared" si="2"/>
        <v>7000</v>
      </c>
      <c r="I11" s="235"/>
      <c r="J11" s="235"/>
    </row>
    <row r="12" spans="1:10" s="223" customFormat="1" ht="12.75" customHeight="1" x14ac:dyDescent="0.25">
      <c r="A12" s="328" t="s">
        <v>1128</v>
      </c>
      <c r="B12" s="329">
        <v>46202</v>
      </c>
      <c r="C12" s="330" t="s">
        <v>1129</v>
      </c>
      <c r="D12" s="331"/>
      <c r="E12" s="331">
        <f t="shared" si="0"/>
        <v>17675</v>
      </c>
      <c r="F12" s="338">
        <v>5200</v>
      </c>
      <c r="G12" s="332">
        <f t="shared" si="1"/>
        <v>15875</v>
      </c>
      <c r="H12" s="332">
        <f t="shared" si="2"/>
        <v>1800</v>
      </c>
      <c r="I12" s="334" t="s">
        <v>1285</v>
      </c>
      <c r="J12" s="235"/>
    </row>
    <row r="13" spans="1:10" s="223" customFormat="1" ht="12.75" customHeight="1" x14ac:dyDescent="0.25">
      <c r="A13" s="230" t="s">
        <v>1297</v>
      </c>
      <c r="B13" s="177">
        <v>46225</v>
      </c>
      <c r="C13" s="231" t="s">
        <v>1286</v>
      </c>
      <c r="D13" s="232">
        <v>0</v>
      </c>
      <c r="E13" s="233">
        <f t="shared" si="0"/>
        <v>17675</v>
      </c>
      <c r="F13" s="238"/>
      <c r="G13" s="234">
        <f t="shared" si="1"/>
        <v>15875</v>
      </c>
      <c r="H13" s="234">
        <f t="shared" si="2"/>
        <v>1800</v>
      </c>
      <c r="I13" s="235"/>
      <c r="J13" s="235"/>
    </row>
    <row r="14" spans="1:10" s="223" customFormat="1" ht="12.75" customHeight="1" x14ac:dyDescent="0.25">
      <c r="A14" s="230"/>
      <c r="B14" s="177"/>
      <c r="C14" s="231"/>
      <c r="D14" s="233"/>
      <c r="E14" s="233">
        <f t="shared" si="0"/>
        <v>17675</v>
      </c>
      <c r="F14" s="234"/>
      <c r="G14" s="234">
        <f t="shared" si="1"/>
        <v>15875</v>
      </c>
      <c r="H14" s="234">
        <f t="shared" si="2"/>
        <v>1800</v>
      </c>
      <c r="I14" s="235"/>
      <c r="J14" s="235"/>
    </row>
    <row r="15" spans="1:10" s="223" customFormat="1" ht="12.75" customHeight="1" x14ac:dyDescent="0.25">
      <c r="A15" s="230"/>
      <c r="B15" s="177"/>
      <c r="C15" s="231"/>
      <c r="D15" s="233"/>
      <c r="E15" s="233">
        <f t="shared" si="0"/>
        <v>17675</v>
      </c>
      <c r="F15" s="238"/>
      <c r="G15" s="234">
        <f t="shared" si="1"/>
        <v>15875</v>
      </c>
      <c r="H15" s="234">
        <f t="shared" si="2"/>
        <v>1800</v>
      </c>
      <c r="I15" s="235"/>
      <c r="J15" s="235"/>
    </row>
    <row r="16" spans="1:10" s="223" customFormat="1" ht="12.75" customHeight="1" x14ac:dyDescent="0.25">
      <c r="A16" s="230"/>
      <c r="B16" s="177"/>
      <c r="C16" s="231"/>
      <c r="D16" s="233"/>
      <c r="E16" s="233">
        <f t="shared" si="0"/>
        <v>17675</v>
      </c>
      <c r="F16" s="238"/>
      <c r="G16" s="234">
        <f t="shared" si="1"/>
        <v>15875</v>
      </c>
      <c r="H16" s="234">
        <f t="shared" si="2"/>
        <v>1800</v>
      </c>
      <c r="I16" s="235"/>
      <c r="J16" s="235"/>
    </row>
    <row r="17" spans="1:10" s="223" customFormat="1" ht="12.75" customHeight="1" x14ac:dyDescent="0.25">
      <c r="A17" s="230"/>
      <c r="B17" s="177"/>
      <c r="C17" s="231"/>
      <c r="D17" s="233"/>
      <c r="E17" s="233">
        <f t="shared" si="0"/>
        <v>17675</v>
      </c>
      <c r="F17" s="238"/>
      <c r="G17" s="234">
        <f t="shared" si="1"/>
        <v>15875</v>
      </c>
      <c r="H17" s="234">
        <f t="shared" si="2"/>
        <v>1800</v>
      </c>
      <c r="I17" s="235"/>
      <c r="J17" s="235"/>
    </row>
    <row r="18" spans="1:10" s="223" customFormat="1" ht="12.75" customHeight="1" x14ac:dyDescent="0.25">
      <c r="A18" s="230"/>
      <c r="B18" s="177"/>
      <c r="C18" s="231"/>
      <c r="D18" s="233"/>
      <c r="E18" s="233">
        <f t="shared" si="0"/>
        <v>17675</v>
      </c>
      <c r="F18" s="238"/>
      <c r="G18" s="234">
        <f t="shared" si="1"/>
        <v>15875</v>
      </c>
      <c r="H18" s="234">
        <f t="shared" si="2"/>
        <v>1800</v>
      </c>
      <c r="I18" s="235"/>
      <c r="J18" s="235"/>
    </row>
    <row r="19" spans="1:10" s="223" customFormat="1" ht="12.75" customHeight="1" x14ac:dyDescent="0.25">
      <c r="A19" s="230"/>
      <c r="B19" s="177"/>
      <c r="C19" s="231"/>
      <c r="D19" s="233"/>
      <c r="E19" s="233">
        <f t="shared" si="0"/>
        <v>17675</v>
      </c>
      <c r="F19" s="234"/>
      <c r="G19" s="234">
        <f t="shared" si="1"/>
        <v>15875</v>
      </c>
      <c r="H19" s="234">
        <f t="shared" si="2"/>
        <v>1800</v>
      </c>
      <c r="I19" s="235"/>
      <c r="J19" s="235"/>
    </row>
    <row r="20" spans="1:10" s="223" customFormat="1" ht="12.75" customHeight="1" x14ac:dyDescent="0.25">
      <c r="A20" s="230"/>
      <c r="B20" s="177"/>
      <c r="C20" s="231"/>
      <c r="D20" s="233"/>
      <c r="E20" s="233">
        <f t="shared" si="0"/>
        <v>17675</v>
      </c>
      <c r="F20" s="234"/>
      <c r="G20" s="234">
        <f t="shared" si="1"/>
        <v>15875</v>
      </c>
      <c r="H20" s="234">
        <f t="shared" si="2"/>
        <v>1800</v>
      </c>
      <c r="I20" s="235"/>
      <c r="J20" s="235"/>
    </row>
    <row r="21" spans="1:10" s="223" customFormat="1" ht="12.75" customHeight="1" x14ac:dyDescent="0.25">
      <c r="A21" s="230"/>
      <c r="B21" s="177"/>
      <c r="C21" s="239"/>
      <c r="D21" s="233"/>
      <c r="E21" s="233">
        <f t="shared" si="0"/>
        <v>17675</v>
      </c>
      <c r="F21" s="234"/>
      <c r="G21" s="234">
        <f t="shared" si="1"/>
        <v>15875</v>
      </c>
      <c r="H21" s="234">
        <f t="shared" si="2"/>
        <v>1800</v>
      </c>
      <c r="I21" s="235"/>
      <c r="J21" s="235"/>
    </row>
    <row r="22" spans="1:10" s="223" customFormat="1" ht="12.75" customHeight="1" x14ac:dyDescent="0.25">
      <c r="A22" s="230"/>
      <c r="B22" s="231"/>
      <c r="C22" s="240"/>
      <c r="D22" s="234"/>
      <c r="E22" s="234"/>
      <c r="F22" s="234"/>
      <c r="G22" s="234"/>
      <c r="H22" s="234"/>
      <c r="I22" s="235"/>
      <c r="J22" s="235"/>
    </row>
    <row r="23" spans="1:10" s="223" customFormat="1" ht="12.75" customHeight="1" thickBot="1" x14ac:dyDescent="0.3">
      <c r="A23" s="230"/>
      <c r="B23" s="243"/>
      <c r="C23" s="244" t="s">
        <v>24</v>
      </c>
      <c r="D23" s="245">
        <f>SUM(D9:D22)</f>
        <v>17675</v>
      </c>
      <c r="E23" s="245"/>
      <c r="F23" s="245">
        <f>SUM(F9:F22)</f>
        <v>15875</v>
      </c>
      <c r="G23" s="245"/>
      <c r="H23" s="245">
        <f>D23-F23</f>
        <v>1800</v>
      </c>
      <c r="I23" s="235"/>
      <c r="J23" s="235"/>
    </row>
    <row r="24" spans="1:10" s="223" customFormat="1" ht="12.75" customHeight="1" thickTop="1" x14ac:dyDescent="0.25">
      <c r="A24" s="230"/>
      <c r="B24" s="231"/>
      <c r="C24" s="240"/>
      <c r="D24" s="234"/>
      <c r="E24" s="234"/>
      <c r="F24" s="234"/>
      <c r="G24" s="234"/>
      <c r="H24" s="234"/>
      <c r="I24" s="235"/>
      <c r="J24" s="235"/>
    </row>
    <row r="25" spans="1:10" s="223" customFormat="1" ht="12.75" customHeight="1" x14ac:dyDescent="0.25">
      <c r="A25" s="230"/>
      <c r="B25" s="231"/>
      <c r="C25" s="240"/>
      <c r="D25" s="234"/>
      <c r="E25" s="234"/>
      <c r="F25" s="234"/>
      <c r="G25" s="234"/>
      <c r="H25" s="234"/>
      <c r="I25" s="235"/>
      <c r="J25" s="235"/>
    </row>
    <row r="26" spans="1:10" s="223" customFormat="1" ht="12.75" customHeight="1" x14ac:dyDescent="0.25">
      <c r="A26" s="230"/>
      <c r="B26" s="231"/>
      <c r="C26" s="240" t="s">
        <v>299</v>
      </c>
      <c r="D26" s="234">
        <v>4775</v>
      </c>
      <c r="E26" s="234"/>
      <c r="F26" s="234">
        <f>4775</f>
        <v>4775</v>
      </c>
      <c r="G26" s="234"/>
      <c r="H26" s="234">
        <f>D26-F26</f>
        <v>0</v>
      </c>
      <c r="I26" s="235"/>
      <c r="J26" s="235"/>
    </row>
    <row r="27" spans="1:10" s="223" customFormat="1" ht="12.75" customHeight="1" x14ac:dyDescent="0.25">
      <c r="A27" s="230"/>
      <c r="B27" s="231"/>
      <c r="C27" s="240" t="s">
        <v>121</v>
      </c>
      <c r="D27" s="234">
        <v>5900</v>
      </c>
      <c r="E27" s="234"/>
      <c r="F27" s="234">
        <f>5900</f>
        <v>5900</v>
      </c>
      <c r="G27" s="234"/>
      <c r="H27" s="234">
        <f>D27-F27</f>
        <v>0</v>
      </c>
      <c r="I27" s="235"/>
      <c r="J27" s="235"/>
    </row>
    <row r="28" spans="1:10" s="223" customFormat="1" ht="12.75" customHeight="1" x14ac:dyDescent="0.25">
      <c r="A28" s="230"/>
      <c r="B28" s="231"/>
      <c r="C28" s="240" t="s">
        <v>300</v>
      </c>
      <c r="D28" s="234">
        <v>1600</v>
      </c>
      <c r="E28" s="234"/>
      <c r="F28" s="234">
        <v>1600</v>
      </c>
      <c r="G28" s="234"/>
      <c r="H28" s="234">
        <f>D28-F28</f>
        <v>0</v>
      </c>
      <c r="I28" s="235"/>
      <c r="J28" s="235"/>
    </row>
    <row r="29" spans="1:10" s="223" customFormat="1" ht="12.75" customHeight="1" x14ac:dyDescent="0.25">
      <c r="A29" s="230"/>
      <c r="B29" s="231"/>
      <c r="C29" s="253" t="s">
        <v>122</v>
      </c>
      <c r="D29" s="254">
        <v>5400</v>
      </c>
      <c r="E29" s="254"/>
      <c r="F29" s="254">
        <v>3600</v>
      </c>
      <c r="G29" s="254"/>
      <c r="H29" s="234">
        <f>D29-F29</f>
        <v>1800</v>
      </c>
      <c r="I29" s="235"/>
      <c r="J29" s="235"/>
    </row>
    <row r="30" spans="1:10" s="223" customFormat="1" ht="12.75" customHeight="1" thickBot="1" x14ac:dyDescent="0.3">
      <c r="A30" s="230"/>
      <c r="B30" s="231"/>
      <c r="C30" s="255" t="s">
        <v>67</v>
      </c>
      <c r="D30" s="256">
        <f>SUM(D26:D29)</f>
        <v>17675</v>
      </c>
      <c r="E30" s="257"/>
      <c r="F30" s="256">
        <f>SUM(F26:F29)</f>
        <v>15875</v>
      </c>
      <c r="G30" s="257"/>
      <c r="H30" s="256">
        <f>SUM(H26:H29)</f>
        <v>1800</v>
      </c>
      <c r="I30" s="235"/>
      <c r="J30" s="235"/>
    </row>
    <row r="31" spans="1:10" s="223" customFormat="1" ht="12.75" customHeight="1" thickTop="1" x14ac:dyDescent="0.25"/>
  </sheetData>
  <conditionalFormatting sqref="I8:I11 I13:I23">
    <cfRule type="cellIs" dxfId="53" priority="1" operator="greaterThan">
      <formula>$H$23</formula>
    </cfRule>
  </conditionalFormatting>
  <pageMargins left="0.25" right="0.25" top="0.95" bottom="0.75" header="0.09" footer="0.3"/>
  <pageSetup scale="79" fitToHeight="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26627-4EDF-43C0-B247-6B85A922A60C}">
  <sheetPr>
    <pageSetUpPr fitToPage="1"/>
  </sheetPr>
  <dimension ref="A1:J32"/>
  <sheetViews>
    <sheetView zoomScaleNormal="100" workbookViewId="0">
      <selection activeCell="M24" sqref="M2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5703125" customWidth="1"/>
    <col min="9" max="9" width="12.42578125" customWidth="1"/>
    <col min="10" max="10"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#9491.00'!B1</f>
        <v>DOC 7 JD RTU #2 Replacement</v>
      </c>
      <c r="B1" s="3"/>
      <c r="C1" s="4"/>
      <c r="D1" s="4"/>
      <c r="E1" s="4"/>
      <c r="F1" s="28"/>
      <c r="G1" s="28"/>
      <c r="H1" s="29"/>
      <c r="I1" s="29"/>
      <c r="J1" s="29"/>
    </row>
    <row r="2" spans="1:10" ht="15.75" x14ac:dyDescent="0.25">
      <c r="A2" s="6" t="str">
        <f>'RECAP #9491.00'!B2</f>
        <v>Project # 9491.00</v>
      </c>
      <c r="B2" s="5"/>
      <c r="C2" s="4"/>
      <c r="D2" s="4"/>
      <c r="E2" s="4"/>
      <c r="F2" s="28"/>
      <c r="G2" s="28"/>
      <c r="H2" s="29"/>
      <c r="I2" s="29"/>
      <c r="J2" s="29"/>
    </row>
    <row r="3" spans="1:10" ht="15.75" x14ac:dyDescent="0.25">
      <c r="A3" s="7" t="str">
        <f>'RECAP #9491.00'!B3</f>
        <v>Program code 949100</v>
      </c>
      <c r="B3" s="5"/>
      <c r="C3" s="4"/>
      <c r="D3" s="8" t="str">
        <f>'RECAP #9491.00'!E3</f>
        <v>Major Program 4B01</v>
      </c>
      <c r="E3" s="4"/>
      <c r="F3" s="28"/>
      <c r="G3" s="28"/>
      <c r="H3" s="29"/>
      <c r="I3" s="29"/>
      <c r="J3" s="29"/>
    </row>
    <row r="4" spans="1:10" ht="15.75" x14ac:dyDescent="0.25">
      <c r="A4" s="30" t="s">
        <v>599</v>
      </c>
      <c r="B4" s="31"/>
      <c r="C4" s="32"/>
      <c r="D4" s="33" t="s">
        <v>600</v>
      </c>
      <c r="E4" s="28"/>
      <c r="F4" s="28"/>
      <c r="G4" s="28"/>
      <c r="H4" s="29"/>
      <c r="I4" s="29"/>
      <c r="J4" s="29"/>
    </row>
    <row r="5" spans="1:10" ht="15.75" x14ac:dyDescent="0.25">
      <c r="A5" s="34" t="s">
        <v>104</v>
      </c>
      <c r="B5" s="35"/>
      <c r="C5" s="36"/>
      <c r="D5" s="37" t="s">
        <v>601</v>
      </c>
      <c r="E5" s="38"/>
      <c r="F5" s="39"/>
      <c r="G5" s="39"/>
      <c r="H5" s="35"/>
      <c r="I5" s="29"/>
      <c r="J5" s="29"/>
    </row>
    <row r="6" spans="1:10" ht="15.75" x14ac:dyDescent="0.25">
      <c r="A6" s="11" t="str">
        <f>'RECAP #9491.00'!B6</f>
        <v>Project Manager - James T.</v>
      </c>
      <c r="B6" s="11"/>
      <c r="C6" s="40"/>
      <c r="D6" s="41" t="s">
        <v>386</v>
      </c>
      <c r="E6" s="42"/>
      <c r="F6" s="43"/>
      <c r="G6" s="39"/>
      <c r="H6" s="35"/>
      <c r="I6" s="29"/>
      <c r="J6" s="29"/>
    </row>
    <row r="7" spans="1:10" ht="15.75" x14ac:dyDescent="0.25">
      <c r="A7" s="29"/>
      <c r="B7" s="44"/>
      <c r="C7" s="44"/>
      <c r="D7" s="29"/>
      <c r="E7" s="43"/>
      <c r="F7" s="43"/>
      <c r="G7" s="39"/>
      <c r="H7" s="35"/>
      <c r="I7" s="29" t="s">
        <v>2</v>
      </c>
      <c r="J7" s="29"/>
    </row>
    <row r="8" spans="1:10" ht="32.25" thickBot="1" x14ac:dyDescent="0.3">
      <c r="A8" s="45" t="s">
        <v>16</v>
      </c>
      <c r="B8" s="46" t="s">
        <v>17</v>
      </c>
      <c r="C8" s="47" t="s">
        <v>18</v>
      </c>
      <c r="D8" s="48" t="s">
        <v>19</v>
      </c>
      <c r="E8" s="48" t="s">
        <v>20</v>
      </c>
      <c r="F8" s="48" t="s">
        <v>21</v>
      </c>
      <c r="G8" s="48" t="s">
        <v>22</v>
      </c>
      <c r="H8" s="48" t="s">
        <v>23</v>
      </c>
      <c r="I8" s="189" t="s">
        <v>529</v>
      </c>
      <c r="J8" s="29"/>
    </row>
    <row r="9" spans="1:10" s="223" customFormat="1" ht="12.75" customHeight="1" x14ac:dyDescent="0.25">
      <c r="A9" s="230" t="s">
        <v>602</v>
      </c>
      <c r="B9" s="177">
        <v>46079</v>
      </c>
      <c r="C9" s="231" t="s">
        <v>109</v>
      </c>
      <c r="D9" s="232">
        <v>203524</v>
      </c>
      <c r="E9" s="233">
        <f>D9</f>
        <v>203524</v>
      </c>
      <c r="F9" s="234"/>
      <c r="G9" s="234"/>
      <c r="H9" s="234">
        <f>E9</f>
        <v>203524</v>
      </c>
      <c r="I9" s="235"/>
      <c r="J9" s="235"/>
    </row>
    <row r="10" spans="1:10" s="223" customFormat="1" ht="12.75" customHeight="1" x14ac:dyDescent="0.25">
      <c r="A10" s="328" t="s">
        <v>1373</v>
      </c>
      <c r="B10" s="335">
        <v>46230</v>
      </c>
      <c r="C10" s="330" t="s">
        <v>1374</v>
      </c>
      <c r="D10" s="331"/>
      <c r="E10" s="331">
        <f t="shared" ref="E10:E21" si="0">E9+D10</f>
        <v>203524</v>
      </c>
      <c r="F10" s="338">
        <v>3948.37</v>
      </c>
      <c r="G10" s="332">
        <f t="shared" ref="G10:G21" si="1">G9+F10</f>
        <v>3948.37</v>
      </c>
      <c r="H10" s="332">
        <f t="shared" ref="H10:H21" si="2">H9-F10+D10</f>
        <v>199575.63</v>
      </c>
      <c r="I10" s="333">
        <v>122.11</v>
      </c>
      <c r="J10" s="333" t="s">
        <v>1285</v>
      </c>
    </row>
    <row r="11" spans="1:10" s="223" customFormat="1" ht="12.75" customHeight="1" x14ac:dyDescent="0.25">
      <c r="A11" s="230" t="s">
        <v>1389</v>
      </c>
      <c r="B11" s="177">
        <v>46233</v>
      </c>
      <c r="C11" s="231" t="s">
        <v>1286</v>
      </c>
      <c r="D11" s="232">
        <v>0</v>
      </c>
      <c r="E11" s="233">
        <f t="shared" si="0"/>
        <v>203524</v>
      </c>
      <c r="F11" s="238"/>
      <c r="G11" s="234">
        <f t="shared" si="1"/>
        <v>3948.37</v>
      </c>
      <c r="H11" s="234">
        <f t="shared" si="2"/>
        <v>199575.63</v>
      </c>
      <c r="I11" s="235"/>
      <c r="J11" s="235"/>
    </row>
    <row r="12" spans="1:10" s="223" customFormat="1" ht="12.75" customHeight="1" x14ac:dyDescent="0.25">
      <c r="A12" s="230"/>
      <c r="B12" s="177"/>
      <c r="C12" s="231"/>
      <c r="D12" s="233"/>
      <c r="E12" s="233">
        <f t="shared" si="0"/>
        <v>203524</v>
      </c>
      <c r="F12" s="238"/>
      <c r="G12" s="234">
        <f t="shared" si="1"/>
        <v>3948.37</v>
      </c>
      <c r="H12" s="234">
        <f t="shared" si="2"/>
        <v>199575.63</v>
      </c>
      <c r="I12" s="235"/>
      <c r="J12" s="235"/>
    </row>
    <row r="13" spans="1:10" s="223" customFormat="1" ht="12.75" customHeight="1" x14ac:dyDescent="0.25">
      <c r="A13" s="230"/>
      <c r="B13" s="177"/>
      <c r="C13" s="231"/>
      <c r="D13" s="233"/>
      <c r="E13" s="233">
        <f t="shared" si="0"/>
        <v>203524</v>
      </c>
      <c r="F13" s="238"/>
      <c r="G13" s="234">
        <f t="shared" si="1"/>
        <v>3948.37</v>
      </c>
      <c r="H13" s="234">
        <f t="shared" si="2"/>
        <v>199575.63</v>
      </c>
      <c r="I13" s="235"/>
      <c r="J13" s="235"/>
    </row>
    <row r="14" spans="1:10" s="223" customFormat="1" ht="12.75" customHeight="1" x14ac:dyDescent="0.25">
      <c r="A14" s="230"/>
      <c r="B14" s="177"/>
      <c r="C14" s="231"/>
      <c r="D14" s="233"/>
      <c r="E14" s="233">
        <f t="shared" si="0"/>
        <v>203524</v>
      </c>
      <c r="F14" s="234"/>
      <c r="G14" s="234">
        <f t="shared" si="1"/>
        <v>3948.37</v>
      </c>
      <c r="H14" s="234">
        <f t="shared" si="2"/>
        <v>199575.63</v>
      </c>
      <c r="I14" s="235"/>
      <c r="J14" s="235"/>
    </row>
    <row r="15" spans="1:10" s="223" customFormat="1" ht="12.75" customHeight="1" x14ac:dyDescent="0.25">
      <c r="A15" s="230"/>
      <c r="B15" s="177"/>
      <c r="C15" s="231"/>
      <c r="D15" s="233"/>
      <c r="E15" s="233">
        <f t="shared" si="0"/>
        <v>203524</v>
      </c>
      <c r="F15" s="238"/>
      <c r="G15" s="234">
        <f t="shared" si="1"/>
        <v>3948.37</v>
      </c>
      <c r="H15" s="234">
        <f t="shared" si="2"/>
        <v>199575.63</v>
      </c>
      <c r="I15" s="235"/>
      <c r="J15" s="235"/>
    </row>
    <row r="16" spans="1:10" s="223" customFormat="1" ht="12.75" customHeight="1" x14ac:dyDescent="0.25">
      <c r="A16" s="230"/>
      <c r="B16" s="177"/>
      <c r="C16" s="231"/>
      <c r="D16" s="233"/>
      <c r="E16" s="233">
        <f t="shared" si="0"/>
        <v>203524</v>
      </c>
      <c r="F16" s="238"/>
      <c r="G16" s="234">
        <f t="shared" si="1"/>
        <v>3948.37</v>
      </c>
      <c r="H16" s="234">
        <f t="shared" si="2"/>
        <v>199575.63</v>
      </c>
      <c r="I16" s="235"/>
      <c r="J16" s="235"/>
    </row>
    <row r="17" spans="1:10" s="223" customFormat="1" ht="12.75" customHeight="1" x14ac:dyDescent="0.25">
      <c r="A17" s="230"/>
      <c r="B17" s="177"/>
      <c r="C17" s="231"/>
      <c r="D17" s="233"/>
      <c r="E17" s="233">
        <f t="shared" si="0"/>
        <v>203524</v>
      </c>
      <c r="F17" s="238"/>
      <c r="G17" s="234">
        <f t="shared" si="1"/>
        <v>3948.37</v>
      </c>
      <c r="H17" s="234">
        <f t="shared" si="2"/>
        <v>199575.63</v>
      </c>
      <c r="I17" s="235"/>
      <c r="J17" s="235"/>
    </row>
    <row r="18" spans="1:10" s="223" customFormat="1" ht="12.75" customHeight="1" x14ac:dyDescent="0.25">
      <c r="A18" s="230"/>
      <c r="B18" s="177"/>
      <c r="C18" s="231"/>
      <c r="D18" s="233"/>
      <c r="E18" s="233">
        <f t="shared" si="0"/>
        <v>203524</v>
      </c>
      <c r="F18" s="238"/>
      <c r="G18" s="234">
        <f t="shared" si="1"/>
        <v>3948.37</v>
      </c>
      <c r="H18" s="234">
        <f t="shared" si="2"/>
        <v>199575.63</v>
      </c>
      <c r="I18" s="235"/>
      <c r="J18" s="235"/>
    </row>
    <row r="19" spans="1:10" s="223" customFormat="1" ht="12.75" customHeight="1" x14ac:dyDescent="0.25">
      <c r="A19" s="230"/>
      <c r="B19" s="177"/>
      <c r="C19" s="231"/>
      <c r="D19" s="233"/>
      <c r="E19" s="233">
        <f t="shared" si="0"/>
        <v>203524</v>
      </c>
      <c r="F19" s="234"/>
      <c r="G19" s="234">
        <f t="shared" si="1"/>
        <v>3948.37</v>
      </c>
      <c r="H19" s="234">
        <f t="shared" si="2"/>
        <v>199575.63</v>
      </c>
      <c r="I19" s="235"/>
      <c r="J19" s="235"/>
    </row>
    <row r="20" spans="1:10" s="223" customFormat="1" ht="12.75" customHeight="1" x14ac:dyDescent="0.25">
      <c r="A20" s="230"/>
      <c r="B20" s="177"/>
      <c r="C20" s="231"/>
      <c r="D20" s="233"/>
      <c r="E20" s="233">
        <f t="shared" si="0"/>
        <v>203524</v>
      </c>
      <c r="F20" s="234"/>
      <c r="G20" s="234">
        <f t="shared" si="1"/>
        <v>3948.37</v>
      </c>
      <c r="H20" s="234">
        <f t="shared" si="2"/>
        <v>199575.63</v>
      </c>
      <c r="I20" s="235"/>
      <c r="J20" s="235"/>
    </row>
    <row r="21" spans="1:10" s="223" customFormat="1" ht="12.75" customHeight="1" x14ac:dyDescent="0.25">
      <c r="A21" s="230"/>
      <c r="B21" s="177"/>
      <c r="C21" s="239"/>
      <c r="D21" s="233"/>
      <c r="E21" s="233">
        <f t="shared" si="0"/>
        <v>203524</v>
      </c>
      <c r="F21" s="234"/>
      <c r="G21" s="234">
        <f t="shared" si="1"/>
        <v>3948.37</v>
      </c>
      <c r="H21" s="234">
        <f t="shared" si="2"/>
        <v>199575.63</v>
      </c>
      <c r="I21" s="235"/>
      <c r="J21" s="235"/>
    </row>
    <row r="22" spans="1:10" s="223" customFormat="1" ht="12.75" customHeight="1" x14ac:dyDescent="0.25">
      <c r="A22" s="230"/>
      <c r="B22" s="231"/>
      <c r="C22" s="240"/>
      <c r="D22" s="234"/>
      <c r="E22" s="234"/>
      <c r="F22" s="234"/>
      <c r="G22" s="234"/>
      <c r="H22" s="234"/>
      <c r="I22" s="235"/>
      <c r="J22" s="235"/>
    </row>
    <row r="23" spans="1:10" s="223" customFormat="1" ht="12.75" customHeight="1" thickBot="1" x14ac:dyDescent="0.3">
      <c r="A23" s="230"/>
      <c r="B23" s="243"/>
      <c r="C23" s="244" t="s">
        <v>24</v>
      </c>
      <c r="D23" s="245">
        <f>SUM(D9:D22)</f>
        <v>203524</v>
      </c>
      <c r="E23" s="245"/>
      <c r="F23" s="245">
        <f>SUM(F9:F22)</f>
        <v>3948.37</v>
      </c>
      <c r="G23" s="245"/>
      <c r="H23" s="245">
        <f>D23-F23</f>
        <v>199575.63</v>
      </c>
      <c r="I23" s="325"/>
      <c r="J23" s="235"/>
    </row>
    <row r="24" spans="1:10" s="223" customFormat="1" ht="12.75" customHeight="1" thickTop="1" x14ac:dyDescent="0.25">
      <c r="A24" s="230"/>
      <c r="B24" s="231"/>
      <c r="C24" s="240"/>
      <c r="D24" s="234"/>
      <c r="E24" s="234"/>
      <c r="F24" s="234"/>
      <c r="G24" s="234"/>
      <c r="H24" s="234"/>
      <c r="I24" s="235"/>
      <c r="J24" s="235"/>
    </row>
    <row r="25" spans="1:10" s="223" customFormat="1" ht="12.75" customHeight="1" x14ac:dyDescent="0.25">
      <c r="A25" s="230"/>
      <c r="B25" s="231"/>
      <c r="C25" s="240"/>
      <c r="D25" s="234"/>
      <c r="E25" s="234"/>
      <c r="F25" s="234"/>
      <c r="G25" s="234"/>
      <c r="H25" s="234"/>
      <c r="I25" s="235"/>
      <c r="J25" s="235"/>
    </row>
    <row r="26" spans="1:10" s="223" customFormat="1" ht="12.75" customHeight="1" x14ac:dyDescent="0.25">
      <c r="A26" s="230"/>
      <c r="B26" s="231"/>
      <c r="C26" s="240"/>
      <c r="D26" s="234"/>
      <c r="E26" s="234"/>
      <c r="F26" s="234"/>
      <c r="G26" s="234"/>
      <c r="H26" s="234"/>
      <c r="I26" s="235"/>
      <c r="J26" s="235"/>
    </row>
    <row r="27" spans="1:10" s="223" customFormat="1" ht="12.75" customHeight="1" x14ac:dyDescent="0.25">
      <c r="A27" s="230"/>
      <c r="B27" s="231"/>
      <c r="C27" s="240"/>
      <c r="D27" s="234"/>
      <c r="E27" s="234"/>
      <c r="F27" s="234"/>
      <c r="G27" s="234"/>
      <c r="H27" s="234"/>
      <c r="I27" s="235"/>
      <c r="J27" s="235"/>
    </row>
    <row r="28" spans="1:10" s="223" customFormat="1" ht="12.75" customHeight="1" x14ac:dyDescent="0.25">
      <c r="A28" s="230"/>
      <c r="B28" s="231"/>
      <c r="C28" s="240"/>
      <c r="D28" s="234"/>
      <c r="E28" s="234"/>
      <c r="F28" s="234"/>
      <c r="G28" s="234"/>
      <c r="H28" s="234"/>
      <c r="I28" s="235"/>
      <c r="J28" s="235"/>
    </row>
    <row r="29" spans="1:10" s="223" customFormat="1" ht="12.75" customHeight="1" x14ac:dyDescent="0.25">
      <c r="A29" s="230"/>
      <c r="B29" s="231"/>
      <c r="C29" s="253"/>
      <c r="D29" s="270"/>
      <c r="E29" s="270"/>
      <c r="F29" s="270"/>
      <c r="G29" s="270"/>
      <c r="H29" s="234"/>
      <c r="I29" s="235"/>
      <c r="J29" s="235"/>
    </row>
    <row r="30" spans="1:10" s="223" customFormat="1" ht="12.75" customHeight="1" x14ac:dyDescent="0.25">
      <c r="A30" s="230"/>
      <c r="B30" s="231"/>
      <c r="C30" s="253"/>
      <c r="D30" s="270"/>
      <c r="E30" s="270"/>
      <c r="F30" s="270"/>
      <c r="G30" s="270"/>
      <c r="H30" s="234"/>
      <c r="I30" s="235"/>
      <c r="J30" s="235"/>
    </row>
    <row r="31" spans="1:10" s="223" customFormat="1" ht="12.75" customHeight="1" x14ac:dyDescent="0.25">
      <c r="A31" s="230"/>
      <c r="B31" s="231"/>
      <c r="C31" s="255"/>
      <c r="D31" s="271"/>
      <c r="E31" s="271"/>
      <c r="F31" s="271"/>
      <c r="G31" s="271"/>
      <c r="H31" s="271"/>
      <c r="I31" s="235"/>
      <c r="J31" s="235"/>
    </row>
    <row r="32" spans="1:10" s="223" customFormat="1" ht="12.75" customHeight="1" x14ac:dyDescent="0.25"/>
  </sheetData>
  <conditionalFormatting sqref="I9:I22">
    <cfRule type="cellIs" dxfId="52" priority="1" operator="greaterThan">
      <formula>$H$23</formula>
    </cfRule>
  </conditionalFormatting>
  <pageMargins left="0.25" right="0.25" top="0.95" bottom="0.75" header="0.09" footer="0.3"/>
  <pageSetup scale="72" fitToHeight="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A8CAF-040D-480E-AB44-897A666D2842}">
  <sheetPr>
    <pageSetUpPr fitToPage="1"/>
  </sheetPr>
  <dimension ref="A1:J32"/>
  <sheetViews>
    <sheetView zoomScaleNormal="100" workbookViewId="0">
      <selection activeCell="J24" sqref="J2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5703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#9491.00'!B1</f>
        <v>DOC 7 JD RTU #2 Replacement</v>
      </c>
      <c r="B1" s="3"/>
      <c r="C1" s="4"/>
      <c r="D1" s="4"/>
      <c r="E1" s="4"/>
      <c r="F1" s="28"/>
      <c r="G1" s="28"/>
      <c r="H1" s="29"/>
      <c r="I1" s="29"/>
      <c r="J1" s="29"/>
    </row>
    <row r="2" spans="1:10" ht="15.75" x14ac:dyDescent="0.25">
      <c r="A2" s="6" t="str">
        <f>'RECAP #9491.00'!B2</f>
        <v>Project # 9491.00</v>
      </c>
      <c r="B2" s="5"/>
      <c r="C2" s="4"/>
      <c r="D2" s="4"/>
      <c r="E2" s="4"/>
      <c r="F2" s="28"/>
      <c r="G2" s="28"/>
      <c r="H2" s="29"/>
      <c r="I2" s="29"/>
      <c r="J2" s="29"/>
    </row>
    <row r="3" spans="1:10" ht="15.75" x14ac:dyDescent="0.25">
      <c r="A3" s="7" t="str">
        <f>'RECAP #9491.00'!B3</f>
        <v>Program code 949100</v>
      </c>
      <c r="B3" s="5"/>
      <c r="C3" s="4"/>
      <c r="D3" s="8" t="str">
        <f>'RECAP #9491.00'!E3</f>
        <v>Major Program 4B01</v>
      </c>
      <c r="E3" s="4"/>
      <c r="F3" s="28"/>
      <c r="G3" s="28"/>
      <c r="H3" s="29"/>
      <c r="I3" s="29"/>
      <c r="J3" s="29"/>
    </row>
    <row r="4" spans="1:10" ht="15.75" x14ac:dyDescent="0.25">
      <c r="A4" s="30" t="s">
        <v>526</v>
      </c>
      <c r="B4" s="31"/>
      <c r="C4" s="32"/>
      <c r="D4" s="33" t="s">
        <v>105</v>
      </c>
      <c r="E4" s="28"/>
      <c r="F4" s="28"/>
      <c r="G4" s="28"/>
      <c r="H4" s="29"/>
      <c r="I4" s="29"/>
      <c r="J4" s="29"/>
    </row>
    <row r="5" spans="1:10" ht="15.75" x14ac:dyDescent="0.25">
      <c r="A5" s="34" t="s">
        <v>104</v>
      </c>
      <c r="B5" s="35"/>
      <c r="C5" s="36"/>
      <c r="D5" s="37" t="s">
        <v>106</v>
      </c>
      <c r="E5" s="38"/>
      <c r="F5" s="39"/>
      <c r="G5" s="39"/>
      <c r="H5" s="35"/>
      <c r="I5" s="29"/>
      <c r="J5" s="29"/>
    </row>
    <row r="6" spans="1:10" ht="15.75" x14ac:dyDescent="0.25">
      <c r="A6" s="11" t="str">
        <f>'RECAP #9491.00'!B6</f>
        <v>Project Manager - James T.</v>
      </c>
      <c r="B6" s="11"/>
      <c r="C6" s="40"/>
      <c r="D6" s="41" t="s">
        <v>107</v>
      </c>
      <c r="E6" s="42"/>
      <c r="F6" s="43"/>
      <c r="G6" s="39"/>
      <c r="H6" s="35"/>
      <c r="I6" s="29"/>
      <c r="J6" s="29"/>
    </row>
    <row r="7" spans="1:10" ht="15.75" x14ac:dyDescent="0.25">
      <c r="A7" s="29"/>
      <c r="B7" s="44"/>
      <c r="C7" s="44"/>
      <c r="D7" s="29"/>
      <c r="E7" s="43"/>
      <c r="F7" s="43"/>
      <c r="G7" s="39"/>
      <c r="H7" s="35"/>
      <c r="I7" s="29" t="s">
        <v>2</v>
      </c>
      <c r="J7" s="29"/>
    </row>
    <row r="8" spans="1:10" ht="32.25" thickBot="1" x14ac:dyDescent="0.3">
      <c r="A8" s="45" t="s">
        <v>16</v>
      </c>
      <c r="B8" s="46" t="s">
        <v>17</v>
      </c>
      <c r="C8" s="47" t="s">
        <v>18</v>
      </c>
      <c r="D8" s="48" t="s">
        <v>19</v>
      </c>
      <c r="E8" s="48" t="s">
        <v>20</v>
      </c>
      <c r="F8" s="48" t="s">
        <v>21</v>
      </c>
      <c r="G8" s="48" t="s">
        <v>22</v>
      </c>
      <c r="H8" s="48" t="s">
        <v>23</v>
      </c>
      <c r="I8" s="29"/>
      <c r="J8" s="29"/>
    </row>
    <row r="9" spans="1:10" s="223" customFormat="1" ht="12.75" customHeight="1" x14ac:dyDescent="0.25">
      <c r="A9" s="230" t="s">
        <v>1093</v>
      </c>
      <c r="B9" s="177">
        <v>46195</v>
      </c>
      <c r="C9" s="231" t="s">
        <v>109</v>
      </c>
      <c r="D9" s="232">
        <v>22401.43</v>
      </c>
      <c r="E9" s="233">
        <f>D9</f>
        <v>22401.43</v>
      </c>
      <c r="F9" s="234"/>
      <c r="G9" s="234"/>
      <c r="H9" s="234">
        <f>E9</f>
        <v>22401.43</v>
      </c>
      <c r="I9" s="235"/>
      <c r="J9" s="235"/>
    </row>
    <row r="10" spans="1:10" s="223" customFormat="1" ht="12.75" customHeight="1" x14ac:dyDescent="0.25">
      <c r="A10" s="328" t="s">
        <v>1184</v>
      </c>
      <c r="B10" s="335">
        <v>46212</v>
      </c>
      <c r="C10" s="330" t="s">
        <v>1185</v>
      </c>
      <c r="D10" s="331"/>
      <c r="E10" s="331">
        <f t="shared" ref="E10:E21" si="0">E9+D10</f>
        <v>22401.43</v>
      </c>
      <c r="F10" s="338">
        <v>929.05</v>
      </c>
      <c r="G10" s="332">
        <f t="shared" ref="G10:G21" si="1">G9+F10</f>
        <v>929.05</v>
      </c>
      <c r="H10" s="332">
        <f t="shared" ref="H10:H21" si="2">H9-F10+D10</f>
        <v>21472.38</v>
      </c>
      <c r="I10" s="334" t="s">
        <v>1285</v>
      </c>
      <c r="J10" s="235"/>
    </row>
    <row r="11" spans="1:10" s="223" customFormat="1" ht="12.75" customHeight="1" x14ac:dyDescent="0.25">
      <c r="A11" s="230" t="s">
        <v>1296</v>
      </c>
      <c r="B11" s="177">
        <v>46225</v>
      </c>
      <c r="C11" s="231" t="s">
        <v>1286</v>
      </c>
      <c r="D11" s="232">
        <v>0</v>
      </c>
      <c r="E11" s="233">
        <f t="shared" si="0"/>
        <v>22401.43</v>
      </c>
      <c r="F11" s="238"/>
      <c r="G11" s="234">
        <f t="shared" si="1"/>
        <v>929.05</v>
      </c>
      <c r="H11" s="234">
        <f t="shared" si="2"/>
        <v>21472.38</v>
      </c>
      <c r="I11" s="235"/>
      <c r="J11" s="235"/>
    </row>
    <row r="12" spans="1:10" s="223" customFormat="1" ht="12.75" customHeight="1" x14ac:dyDescent="0.25">
      <c r="A12" s="230"/>
      <c r="B12" s="177"/>
      <c r="C12" s="231"/>
      <c r="D12" s="233"/>
      <c r="E12" s="233">
        <f t="shared" si="0"/>
        <v>22401.43</v>
      </c>
      <c r="F12" s="238"/>
      <c r="G12" s="234">
        <f t="shared" si="1"/>
        <v>929.05</v>
      </c>
      <c r="H12" s="234">
        <f t="shared" si="2"/>
        <v>21472.38</v>
      </c>
      <c r="I12" s="235"/>
      <c r="J12" s="235"/>
    </row>
    <row r="13" spans="1:10" s="223" customFormat="1" ht="12.75" customHeight="1" x14ac:dyDescent="0.25">
      <c r="A13" s="230"/>
      <c r="B13" s="177"/>
      <c r="C13" s="231"/>
      <c r="D13" s="233"/>
      <c r="E13" s="233">
        <f t="shared" si="0"/>
        <v>22401.43</v>
      </c>
      <c r="F13" s="238"/>
      <c r="G13" s="234">
        <f t="shared" si="1"/>
        <v>929.05</v>
      </c>
      <c r="H13" s="234">
        <f t="shared" si="2"/>
        <v>21472.38</v>
      </c>
      <c r="I13" s="235"/>
      <c r="J13" s="235"/>
    </row>
    <row r="14" spans="1:10" s="223" customFormat="1" ht="12.75" customHeight="1" x14ac:dyDescent="0.25">
      <c r="A14" s="230"/>
      <c r="B14" s="177"/>
      <c r="C14" s="231"/>
      <c r="D14" s="233"/>
      <c r="E14" s="233">
        <f t="shared" si="0"/>
        <v>22401.43</v>
      </c>
      <c r="F14" s="234"/>
      <c r="G14" s="234">
        <f t="shared" si="1"/>
        <v>929.05</v>
      </c>
      <c r="H14" s="234">
        <f t="shared" si="2"/>
        <v>21472.38</v>
      </c>
      <c r="I14" s="235"/>
      <c r="J14" s="235"/>
    </row>
    <row r="15" spans="1:10" s="223" customFormat="1" ht="12.75" customHeight="1" x14ac:dyDescent="0.25">
      <c r="A15" s="230"/>
      <c r="B15" s="177"/>
      <c r="C15" s="231"/>
      <c r="D15" s="233"/>
      <c r="E15" s="233">
        <f t="shared" si="0"/>
        <v>22401.43</v>
      </c>
      <c r="F15" s="238"/>
      <c r="G15" s="234">
        <f t="shared" si="1"/>
        <v>929.05</v>
      </c>
      <c r="H15" s="234">
        <f t="shared" si="2"/>
        <v>21472.38</v>
      </c>
      <c r="I15" s="235"/>
      <c r="J15" s="235"/>
    </row>
    <row r="16" spans="1:10" s="223" customFormat="1" ht="12.75" customHeight="1" x14ac:dyDescent="0.25">
      <c r="A16" s="230"/>
      <c r="B16" s="177"/>
      <c r="C16" s="231"/>
      <c r="D16" s="233"/>
      <c r="E16" s="233">
        <f t="shared" si="0"/>
        <v>22401.43</v>
      </c>
      <c r="F16" s="238"/>
      <c r="G16" s="234">
        <f t="shared" si="1"/>
        <v>929.05</v>
      </c>
      <c r="H16" s="234">
        <f t="shared" si="2"/>
        <v>21472.38</v>
      </c>
      <c r="I16" s="235"/>
      <c r="J16" s="235"/>
    </row>
    <row r="17" spans="1:10" s="223" customFormat="1" ht="12.75" customHeight="1" x14ac:dyDescent="0.25">
      <c r="A17" s="230"/>
      <c r="B17" s="177"/>
      <c r="C17" s="231"/>
      <c r="D17" s="233"/>
      <c r="E17" s="233">
        <f t="shared" si="0"/>
        <v>22401.43</v>
      </c>
      <c r="F17" s="238"/>
      <c r="G17" s="234">
        <f t="shared" si="1"/>
        <v>929.05</v>
      </c>
      <c r="H17" s="234">
        <f t="shared" si="2"/>
        <v>21472.38</v>
      </c>
      <c r="I17" s="235"/>
      <c r="J17" s="235"/>
    </row>
    <row r="18" spans="1:10" s="223" customFormat="1" ht="12.75" customHeight="1" x14ac:dyDescent="0.25">
      <c r="A18" s="230"/>
      <c r="B18" s="177"/>
      <c r="C18" s="231"/>
      <c r="D18" s="233"/>
      <c r="E18" s="233">
        <f t="shared" si="0"/>
        <v>22401.43</v>
      </c>
      <c r="F18" s="238"/>
      <c r="G18" s="234">
        <f t="shared" si="1"/>
        <v>929.05</v>
      </c>
      <c r="H18" s="234">
        <f t="shared" si="2"/>
        <v>21472.38</v>
      </c>
      <c r="I18" s="235"/>
      <c r="J18" s="235"/>
    </row>
    <row r="19" spans="1:10" s="223" customFormat="1" ht="12.75" customHeight="1" x14ac:dyDescent="0.25">
      <c r="A19" s="230"/>
      <c r="B19" s="177"/>
      <c r="C19" s="231"/>
      <c r="D19" s="233"/>
      <c r="E19" s="233">
        <f t="shared" si="0"/>
        <v>22401.43</v>
      </c>
      <c r="F19" s="234"/>
      <c r="G19" s="234">
        <f t="shared" si="1"/>
        <v>929.05</v>
      </c>
      <c r="H19" s="234">
        <f t="shared" si="2"/>
        <v>21472.38</v>
      </c>
      <c r="I19" s="235"/>
      <c r="J19" s="235"/>
    </row>
    <row r="20" spans="1:10" s="223" customFormat="1" ht="12.75" customHeight="1" x14ac:dyDescent="0.25">
      <c r="A20" s="230"/>
      <c r="B20" s="177"/>
      <c r="C20" s="231"/>
      <c r="D20" s="233"/>
      <c r="E20" s="233">
        <f t="shared" si="0"/>
        <v>22401.43</v>
      </c>
      <c r="F20" s="234"/>
      <c r="G20" s="234">
        <f t="shared" si="1"/>
        <v>929.05</v>
      </c>
      <c r="H20" s="234">
        <f t="shared" si="2"/>
        <v>21472.38</v>
      </c>
      <c r="I20" s="235"/>
      <c r="J20" s="235"/>
    </row>
    <row r="21" spans="1:10" s="223" customFormat="1" ht="12.75" customHeight="1" x14ac:dyDescent="0.25">
      <c r="A21" s="230"/>
      <c r="B21" s="177"/>
      <c r="C21" s="239"/>
      <c r="D21" s="233"/>
      <c r="E21" s="233">
        <f t="shared" si="0"/>
        <v>22401.43</v>
      </c>
      <c r="F21" s="234"/>
      <c r="G21" s="234">
        <f t="shared" si="1"/>
        <v>929.05</v>
      </c>
      <c r="H21" s="234">
        <f t="shared" si="2"/>
        <v>21472.38</v>
      </c>
      <c r="I21" s="235"/>
      <c r="J21" s="235"/>
    </row>
    <row r="22" spans="1:10" s="223" customFormat="1" ht="12.75" customHeight="1" x14ac:dyDescent="0.25">
      <c r="A22" s="230"/>
      <c r="B22" s="231"/>
      <c r="C22" s="240"/>
      <c r="D22" s="234"/>
      <c r="E22" s="234"/>
      <c r="F22" s="234"/>
      <c r="G22" s="234"/>
      <c r="H22" s="234"/>
      <c r="I22" s="235"/>
      <c r="J22" s="235"/>
    </row>
    <row r="23" spans="1:10" s="223" customFormat="1" ht="12.75" customHeight="1" thickBot="1" x14ac:dyDescent="0.3">
      <c r="A23" s="230"/>
      <c r="B23" s="243"/>
      <c r="C23" s="244" t="s">
        <v>24</v>
      </c>
      <c r="D23" s="245">
        <f>SUM(D9:D22)</f>
        <v>22401.43</v>
      </c>
      <c r="E23" s="245"/>
      <c r="F23" s="245">
        <f>SUM(F9:F22)</f>
        <v>929.05</v>
      </c>
      <c r="G23" s="245"/>
      <c r="H23" s="245">
        <f>D23-F23</f>
        <v>21472.38</v>
      </c>
      <c r="I23" s="235"/>
      <c r="J23" s="235"/>
    </row>
    <row r="24" spans="1:10" s="223" customFormat="1" ht="12.75" customHeight="1" thickTop="1" x14ac:dyDescent="0.25">
      <c r="A24" s="230"/>
      <c r="B24" s="231"/>
      <c r="C24" s="240"/>
      <c r="D24" s="234"/>
      <c r="E24" s="234"/>
      <c r="F24" s="234"/>
      <c r="G24" s="234"/>
      <c r="H24" s="234"/>
      <c r="I24" s="235"/>
      <c r="J24" s="235"/>
    </row>
    <row r="25" spans="1:10" s="223" customFormat="1" ht="12.75" customHeight="1" x14ac:dyDescent="0.25">
      <c r="A25" s="230"/>
      <c r="B25" s="231"/>
      <c r="C25" s="240"/>
      <c r="D25" s="234"/>
      <c r="E25" s="234"/>
      <c r="F25" s="234"/>
      <c r="G25" s="234"/>
      <c r="H25" s="234"/>
      <c r="I25" s="235"/>
      <c r="J25" s="235"/>
    </row>
    <row r="26" spans="1:10" s="223" customFormat="1" ht="12.75" customHeight="1" x14ac:dyDescent="0.25">
      <c r="A26" s="230"/>
      <c r="B26" s="231"/>
      <c r="C26" s="240" t="s">
        <v>110</v>
      </c>
      <c r="D26" s="234">
        <v>20901.43</v>
      </c>
      <c r="E26" s="234"/>
      <c r="F26" s="234">
        <f>929.05</f>
        <v>929.05</v>
      </c>
      <c r="G26" s="234"/>
      <c r="H26" s="234">
        <f>D26-F26</f>
        <v>19972.38</v>
      </c>
      <c r="I26" s="235"/>
      <c r="J26" s="235"/>
    </row>
    <row r="27" spans="1:10" s="223" customFormat="1" ht="12.75" customHeight="1" x14ac:dyDescent="0.25">
      <c r="A27" s="230"/>
      <c r="B27" s="231"/>
      <c r="C27" s="240" t="s">
        <v>111</v>
      </c>
      <c r="D27" s="234">
        <v>1500</v>
      </c>
      <c r="E27" s="234"/>
      <c r="F27" s="234"/>
      <c r="G27" s="234"/>
      <c r="H27" s="234">
        <f>D27-F27</f>
        <v>1500</v>
      </c>
      <c r="I27" s="235"/>
      <c r="J27" s="235"/>
    </row>
    <row r="28" spans="1:10" s="223" customFormat="1" ht="12.75" customHeight="1" thickBot="1" x14ac:dyDescent="0.3">
      <c r="A28" s="230"/>
      <c r="B28" s="231"/>
      <c r="C28" s="263" t="s">
        <v>67</v>
      </c>
      <c r="D28" s="245">
        <f>SUM(D26:D27)</f>
        <v>22401.43</v>
      </c>
      <c r="E28" s="296"/>
      <c r="F28" s="245">
        <f>SUM(F26:F27)</f>
        <v>929.05</v>
      </c>
      <c r="G28" s="296"/>
      <c r="H28" s="245">
        <f>SUM(H26:H27)</f>
        <v>21472.38</v>
      </c>
      <c r="I28" s="235"/>
      <c r="J28" s="235"/>
    </row>
    <row r="29" spans="1:10" s="223" customFormat="1" ht="12.75" customHeight="1" thickTop="1" x14ac:dyDescent="0.25">
      <c r="A29" s="230"/>
      <c r="B29" s="231"/>
      <c r="C29" s="253"/>
      <c r="D29" s="270"/>
      <c r="E29" s="270"/>
      <c r="F29" s="270"/>
      <c r="G29" s="270"/>
      <c r="H29" s="234"/>
      <c r="I29" s="235"/>
      <c r="J29" s="235"/>
    </row>
    <row r="30" spans="1:10" s="223" customFormat="1" ht="12.75" customHeight="1" x14ac:dyDescent="0.25">
      <c r="A30" s="230"/>
      <c r="B30" s="231"/>
      <c r="C30" s="253"/>
      <c r="D30" s="270"/>
      <c r="E30" s="270"/>
      <c r="F30" s="270"/>
      <c r="G30" s="270"/>
      <c r="H30" s="234"/>
      <c r="I30" s="235"/>
      <c r="J30" s="235"/>
    </row>
    <row r="31" spans="1:10" s="223" customFormat="1" ht="12.75" customHeight="1" x14ac:dyDescent="0.25">
      <c r="A31" s="230"/>
      <c r="B31" s="231"/>
      <c r="C31" s="255"/>
      <c r="D31" s="271"/>
      <c r="E31" s="271"/>
      <c r="F31" s="271"/>
      <c r="G31" s="271"/>
      <c r="H31" s="271"/>
      <c r="I31" s="235"/>
      <c r="J31" s="235"/>
    </row>
    <row r="32" spans="1:10" s="223" customFormat="1" ht="12.75" customHeight="1" x14ac:dyDescent="0.25"/>
  </sheetData>
  <conditionalFormatting sqref="I8:I9 I11:I23">
    <cfRule type="cellIs" dxfId="51" priority="1" operator="greaterThan">
      <formula>$H$23</formula>
    </cfRule>
  </conditionalFormatting>
  <pageMargins left="0.25" right="0.25" top="0.95" bottom="0.75" header="0.09" footer="0.3"/>
  <pageSetup scale="79" fitToHeight="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53607-530B-47EB-85FD-549F0F585890}">
  <sheetPr>
    <tabColor rgb="FF0070C0"/>
    <pageSetUpPr fitToPage="1"/>
  </sheetPr>
  <dimension ref="A1:G17"/>
  <sheetViews>
    <sheetView zoomScaleNormal="100" workbookViewId="0">
      <selection activeCell="B24" sqref="B24"/>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51"/>
      <c r="B1" s="30" t="s">
        <v>148</v>
      </c>
      <c r="C1" s="30"/>
      <c r="D1" s="153"/>
      <c r="E1" s="153"/>
      <c r="F1" s="153"/>
      <c r="G1" s="153"/>
    </row>
    <row r="2" spans="1:7" ht="15.75" x14ac:dyDescent="0.25">
      <c r="A2" s="151"/>
      <c r="B2" s="31" t="s">
        <v>174</v>
      </c>
      <c r="C2" s="150"/>
      <c r="D2" s="153"/>
      <c r="E2" s="153"/>
      <c r="F2" s="153"/>
      <c r="G2" s="153"/>
    </row>
    <row r="3" spans="1:7" ht="15.75" x14ac:dyDescent="0.25">
      <c r="A3" s="151"/>
      <c r="B3" s="154" t="s">
        <v>179</v>
      </c>
      <c r="C3" s="150"/>
      <c r="D3" s="153"/>
      <c r="E3" s="155" t="s">
        <v>180</v>
      </c>
      <c r="F3" s="153"/>
      <c r="G3" s="153"/>
    </row>
    <row r="4" spans="1:7" ht="15.75" x14ac:dyDescent="0.25">
      <c r="A4" s="151"/>
      <c r="B4" s="156" t="s">
        <v>1</v>
      </c>
      <c r="C4" s="157" t="s">
        <v>2</v>
      </c>
      <c r="D4" s="153"/>
      <c r="E4" s="153"/>
      <c r="F4" s="153"/>
      <c r="G4" s="153"/>
    </row>
    <row r="5" spans="1:7" ht="15.75" x14ac:dyDescent="0.25">
      <c r="A5" s="151"/>
      <c r="B5" s="31" t="s">
        <v>64</v>
      </c>
      <c r="C5" s="150"/>
      <c r="D5" s="153"/>
      <c r="E5" s="159" t="s">
        <v>1280</v>
      </c>
      <c r="F5" s="152">
        <v>45940</v>
      </c>
      <c r="G5" s="153"/>
    </row>
    <row r="6" spans="1:7" ht="15.75" x14ac:dyDescent="0.25">
      <c r="A6" s="151"/>
      <c r="B6" s="31" t="s">
        <v>175</v>
      </c>
      <c r="C6" s="158"/>
      <c r="D6" s="159" t="s">
        <v>2</v>
      </c>
      <c r="E6" s="153"/>
      <c r="F6" s="153"/>
      <c r="G6" s="153"/>
    </row>
    <row r="7" spans="1:7" ht="26.85" customHeight="1" thickBot="1" x14ac:dyDescent="0.3">
      <c r="A7" s="151"/>
      <c r="B7" s="160" t="s">
        <v>2</v>
      </c>
      <c r="C7" s="161" t="s">
        <v>3</v>
      </c>
      <c r="D7" s="162" t="s">
        <v>4</v>
      </c>
      <c r="E7" s="163" t="s">
        <v>5</v>
      </c>
      <c r="F7" s="164" t="s">
        <v>6</v>
      </c>
      <c r="G7" s="164" t="s">
        <v>7</v>
      </c>
    </row>
    <row r="8" spans="1:7" ht="28.35" customHeight="1" x14ac:dyDescent="0.25">
      <c r="A8" s="151"/>
      <c r="B8" s="151" t="s">
        <v>8</v>
      </c>
      <c r="C8" s="165">
        <f>FINANCIAL!G17</f>
        <v>0</v>
      </c>
      <c r="D8" s="166"/>
      <c r="E8" s="166"/>
      <c r="F8" s="166"/>
      <c r="G8" s="167"/>
    </row>
    <row r="9" spans="1:7" x14ac:dyDescent="0.25">
      <c r="A9" s="151"/>
      <c r="B9" s="150"/>
      <c r="C9" s="168"/>
      <c r="D9" s="169"/>
      <c r="E9" s="169"/>
      <c r="F9" s="169"/>
      <c r="G9" s="167"/>
    </row>
    <row r="10" spans="1:7" x14ac:dyDescent="0.25">
      <c r="A10" s="151"/>
      <c r="B10" s="150" t="s">
        <v>9</v>
      </c>
      <c r="C10" s="168"/>
      <c r="D10" s="166">
        <f>'#9494.00 Vendor A '!D23</f>
        <v>0</v>
      </c>
      <c r="E10" s="166">
        <f>'#9494.00 Vendor A '!F23</f>
        <v>0</v>
      </c>
      <c r="F10" s="166">
        <f>'#9494.00 Vendor A '!H23</f>
        <v>0</v>
      </c>
      <c r="G10" s="167"/>
    </row>
    <row r="11" spans="1:7" x14ac:dyDescent="0.25">
      <c r="A11" s="151"/>
      <c r="B11" s="150" t="s">
        <v>10</v>
      </c>
      <c r="C11" s="168"/>
      <c r="D11" s="166">
        <f>'#9494.00 PM TIME'!E23</f>
        <v>0</v>
      </c>
      <c r="E11" s="166">
        <f>'#9494.00 PM TIME'!G23</f>
        <v>0</v>
      </c>
      <c r="F11" s="166">
        <f>'#9494.00 PM TIME'!I23</f>
        <v>0</v>
      </c>
      <c r="G11" s="167"/>
    </row>
    <row r="12" spans="1:7" x14ac:dyDescent="0.25">
      <c r="A12" s="151"/>
      <c r="B12" s="150" t="s">
        <v>11</v>
      </c>
      <c r="C12" s="169"/>
      <c r="D12" s="170">
        <f>'#9494.00 Misc '!G22</f>
        <v>0</v>
      </c>
      <c r="E12" s="170">
        <f>'#9494.00 Misc '!H22</f>
        <v>0</v>
      </c>
      <c r="F12" s="166">
        <f>D12-E12</f>
        <v>0</v>
      </c>
      <c r="G12" s="167"/>
    </row>
    <row r="13" spans="1:7" ht="13.35" customHeight="1" x14ac:dyDescent="0.25">
      <c r="A13" s="151"/>
      <c r="B13" s="150"/>
      <c r="C13" s="169"/>
      <c r="D13" s="170"/>
      <c r="E13" s="170"/>
      <c r="F13" s="166"/>
      <c r="G13" s="167"/>
    </row>
    <row r="14" spans="1:7" ht="24" customHeight="1" thickBot="1" x14ac:dyDescent="0.3">
      <c r="A14" s="171"/>
      <c r="B14" s="172" t="s">
        <v>12</v>
      </c>
      <c r="C14" s="173">
        <f>SUM(C8:C13)</f>
        <v>0</v>
      </c>
      <c r="D14" s="173">
        <f>SUM(D8:D13)</f>
        <v>0</v>
      </c>
      <c r="E14" s="173">
        <f>SUM(E8:E13)</f>
        <v>0</v>
      </c>
      <c r="F14" s="173">
        <f>SUM(D14-E14)</f>
        <v>0</v>
      </c>
      <c r="G14" s="173">
        <f>C8-D14</f>
        <v>0</v>
      </c>
    </row>
    <row r="15" spans="1:7" ht="13.35" customHeight="1" thickTop="1" x14ac:dyDescent="0.25">
      <c r="A15" s="151"/>
      <c r="B15" s="150"/>
      <c r="C15" s="150"/>
      <c r="D15" s="167"/>
      <c r="E15" s="167"/>
      <c r="F15" s="167"/>
      <c r="G15" s="167"/>
    </row>
    <row r="16" spans="1:7" ht="13.35" customHeight="1" x14ac:dyDescent="0.25">
      <c r="A16" s="151"/>
      <c r="B16" s="150"/>
      <c r="C16" s="150"/>
      <c r="D16" s="167"/>
      <c r="E16" s="167"/>
      <c r="F16" s="167"/>
      <c r="G16" s="167"/>
    </row>
    <row r="17" spans="1:7" ht="13.35" customHeight="1" x14ac:dyDescent="0.25">
      <c r="A17" s="151"/>
      <c r="B17" s="151" t="s">
        <v>273</v>
      </c>
      <c r="C17" s="150"/>
      <c r="D17" s="167"/>
      <c r="E17" s="167"/>
      <c r="F17" s="167"/>
      <c r="G17" s="167"/>
    </row>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FB872-41DB-4098-A42F-FCB9C6AE6391}">
  <sheetPr>
    <tabColor rgb="FF0070C0"/>
    <pageSetUpPr fitToPage="1"/>
  </sheetPr>
  <dimension ref="A1:I29"/>
  <sheetViews>
    <sheetView topLeftCell="A4" zoomScaleNormal="100" workbookViewId="0">
      <selection activeCell="B13" sqref="B13:D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#9494.00'!B1</f>
        <v>IDOE ISD Giangreco Hall Gutter, Dentil and Roof Repairs</v>
      </c>
      <c r="B1" s="3"/>
      <c r="C1" s="4"/>
      <c r="D1" s="4"/>
      <c r="E1" s="4"/>
      <c r="F1" s="28"/>
      <c r="G1" s="28"/>
      <c r="H1" s="29"/>
      <c r="I1" s="29"/>
    </row>
    <row r="2" spans="1:9" ht="15.75" x14ac:dyDescent="0.25">
      <c r="A2" s="6" t="str">
        <f>'RECAP #9494.00'!B2</f>
        <v>Project # 9494.00</v>
      </c>
      <c r="B2" s="5"/>
      <c r="C2" s="4"/>
      <c r="D2" s="4"/>
      <c r="E2" s="4"/>
      <c r="F2" s="28"/>
      <c r="G2" s="28"/>
      <c r="H2" s="29"/>
      <c r="I2" s="29"/>
    </row>
    <row r="3" spans="1:9" ht="15.75" x14ac:dyDescent="0.25">
      <c r="A3" s="7" t="str">
        <f>'RECAP #9494.00'!B3</f>
        <v>Program code 949400</v>
      </c>
      <c r="B3" s="5"/>
      <c r="C3" s="4"/>
      <c r="D3" s="8" t="str">
        <f>'RECAP #9494.00'!E3</f>
        <v>Major Program 4E02</v>
      </c>
      <c r="E3" s="4"/>
      <c r="F3" s="28"/>
      <c r="G3" s="28"/>
      <c r="H3" s="29"/>
      <c r="I3" s="29"/>
    </row>
    <row r="4" spans="1:9" ht="15.75" x14ac:dyDescent="0.25">
      <c r="A4" s="30" t="s">
        <v>13</v>
      </c>
      <c r="B4" s="31"/>
      <c r="C4" s="32"/>
      <c r="D4" s="33" t="s">
        <v>14</v>
      </c>
      <c r="E4" s="28"/>
      <c r="F4" s="28"/>
      <c r="G4" s="28"/>
      <c r="H4" s="29"/>
      <c r="I4" s="29"/>
    </row>
    <row r="5" spans="1:9" ht="15.75" x14ac:dyDescent="0.25">
      <c r="A5" s="34" t="s">
        <v>65</v>
      </c>
      <c r="B5" s="35"/>
      <c r="C5" s="36"/>
      <c r="D5" s="37"/>
      <c r="E5" s="38"/>
      <c r="F5" s="39"/>
      <c r="G5" s="39"/>
      <c r="H5" s="35"/>
      <c r="I5" s="29"/>
    </row>
    <row r="6" spans="1:9" ht="15.75" x14ac:dyDescent="0.25">
      <c r="A6" s="11" t="str">
        <f>'RECAP #9494.00'!B6</f>
        <v>Project Manager - Jennie E.</v>
      </c>
      <c r="B6" s="11"/>
      <c r="C6" s="40"/>
      <c r="D6" s="41" t="s">
        <v>15</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x14ac:dyDescent="0.25">
      <c r="A9" s="49"/>
      <c r="B9" s="50"/>
      <c r="C9" s="51"/>
      <c r="D9" s="52"/>
      <c r="E9" s="53">
        <f>D9</f>
        <v>0</v>
      </c>
      <c r="F9" s="54"/>
      <c r="G9" s="54"/>
      <c r="H9" s="54">
        <f>E9</f>
        <v>0</v>
      </c>
      <c r="I9" s="55"/>
    </row>
    <row r="10" spans="1:9" x14ac:dyDescent="0.25">
      <c r="A10" s="49"/>
      <c r="B10" s="56"/>
      <c r="C10" s="51"/>
      <c r="D10" s="53"/>
      <c r="E10" s="53">
        <f t="shared" ref="E10:E21" si="0">E9+D10</f>
        <v>0</v>
      </c>
      <c r="F10" s="57"/>
      <c r="G10" s="54">
        <f t="shared" ref="G10:G21" si="1">G9+F10</f>
        <v>0</v>
      </c>
      <c r="H10" s="54">
        <f t="shared" ref="H10:H21" si="2">H9-F10+D10</f>
        <v>0</v>
      </c>
      <c r="I10" s="55"/>
    </row>
    <row r="11" spans="1:9" x14ac:dyDescent="0.25">
      <c r="A11" s="49"/>
      <c r="B11" s="50"/>
      <c r="C11" s="51"/>
      <c r="D11" s="53"/>
      <c r="E11" s="53">
        <f t="shared" si="0"/>
        <v>0</v>
      </c>
      <c r="F11" s="57"/>
      <c r="G11" s="54">
        <f t="shared" si="1"/>
        <v>0</v>
      </c>
      <c r="H11" s="54">
        <f t="shared" si="2"/>
        <v>0</v>
      </c>
      <c r="I11" s="55"/>
    </row>
    <row r="12" spans="1:9" x14ac:dyDescent="0.25">
      <c r="A12" s="49"/>
      <c r="B12" s="50"/>
      <c r="C12" s="51"/>
      <c r="D12" s="53"/>
      <c r="E12" s="53">
        <f t="shared" si="0"/>
        <v>0</v>
      </c>
      <c r="F12" s="57"/>
      <c r="G12" s="54">
        <f t="shared" si="1"/>
        <v>0</v>
      </c>
      <c r="H12" s="54">
        <f t="shared" si="2"/>
        <v>0</v>
      </c>
      <c r="I12" s="55"/>
    </row>
    <row r="13" spans="1:9" x14ac:dyDescent="0.25">
      <c r="A13" s="49"/>
      <c r="B13" s="50"/>
      <c r="C13" s="51"/>
      <c r="D13" s="53"/>
      <c r="E13" s="53">
        <f t="shared" si="0"/>
        <v>0</v>
      </c>
      <c r="F13" s="57"/>
      <c r="G13" s="54">
        <f t="shared" si="1"/>
        <v>0</v>
      </c>
      <c r="H13" s="54">
        <f t="shared" si="2"/>
        <v>0</v>
      </c>
      <c r="I13" s="55"/>
    </row>
    <row r="14" spans="1:9" x14ac:dyDescent="0.25">
      <c r="A14" s="49"/>
      <c r="B14" s="50"/>
      <c r="C14" s="51"/>
      <c r="D14" s="53"/>
      <c r="E14" s="53">
        <f t="shared" si="0"/>
        <v>0</v>
      </c>
      <c r="F14" s="54"/>
      <c r="G14" s="54">
        <f t="shared" si="1"/>
        <v>0</v>
      </c>
      <c r="H14" s="54">
        <f t="shared" si="2"/>
        <v>0</v>
      </c>
      <c r="I14" s="55"/>
    </row>
    <row r="15" spans="1:9" x14ac:dyDescent="0.25">
      <c r="A15" s="49"/>
      <c r="B15" s="50"/>
      <c r="C15" s="51"/>
      <c r="D15" s="53"/>
      <c r="E15" s="53">
        <f t="shared" si="0"/>
        <v>0</v>
      </c>
      <c r="F15" s="57"/>
      <c r="G15" s="54">
        <f t="shared" si="1"/>
        <v>0</v>
      </c>
      <c r="H15" s="54">
        <f t="shared" si="2"/>
        <v>0</v>
      </c>
      <c r="I15" s="55"/>
    </row>
    <row r="16" spans="1:9" x14ac:dyDescent="0.25">
      <c r="A16" s="49"/>
      <c r="B16" s="50"/>
      <c r="C16" s="51"/>
      <c r="D16" s="53"/>
      <c r="E16" s="53">
        <f t="shared" si="0"/>
        <v>0</v>
      </c>
      <c r="F16" s="57"/>
      <c r="G16" s="54">
        <f t="shared" si="1"/>
        <v>0</v>
      </c>
      <c r="H16" s="54">
        <f t="shared" si="2"/>
        <v>0</v>
      </c>
      <c r="I16" s="55"/>
    </row>
    <row r="17" spans="1:9" x14ac:dyDescent="0.25">
      <c r="A17" s="49"/>
      <c r="B17" s="50"/>
      <c r="C17" s="51"/>
      <c r="D17" s="53"/>
      <c r="E17" s="53">
        <f t="shared" si="0"/>
        <v>0</v>
      </c>
      <c r="F17" s="57"/>
      <c r="G17" s="54">
        <f t="shared" si="1"/>
        <v>0</v>
      </c>
      <c r="H17" s="54">
        <f t="shared" si="2"/>
        <v>0</v>
      </c>
      <c r="I17" s="55"/>
    </row>
    <row r="18" spans="1:9" x14ac:dyDescent="0.25">
      <c r="A18" s="49"/>
      <c r="B18" s="50"/>
      <c r="C18" s="51"/>
      <c r="D18" s="53"/>
      <c r="E18" s="53">
        <f t="shared" si="0"/>
        <v>0</v>
      </c>
      <c r="F18" s="57"/>
      <c r="G18" s="54">
        <f t="shared" si="1"/>
        <v>0</v>
      </c>
      <c r="H18" s="54">
        <f t="shared" si="2"/>
        <v>0</v>
      </c>
      <c r="I18" s="55"/>
    </row>
    <row r="19" spans="1:9" x14ac:dyDescent="0.25">
      <c r="A19" s="49"/>
      <c r="B19" s="50"/>
      <c r="C19" s="51"/>
      <c r="D19" s="53"/>
      <c r="E19" s="53">
        <f t="shared" si="0"/>
        <v>0</v>
      </c>
      <c r="F19" s="54"/>
      <c r="G19" s="54">
        <f t="shared" si="1"/>
        <v>0</v>
      </c>
      <c r="H19" s="54">
        <f t="shared" si="2"/>
        <v>0</v>
      </c>
      <c r="I19" s="55"/>
    </row>
    <row r="20" spans="1:9" x14ac:dyDescent="0.25">
      <c r="A20" s="49"/>
      <c r="B20" s="50"/>
      <c r="C20" s="51"/>
      <c r="D20" s="53"/>
      <c r="E20" s="53">
        <f t="shared" si="0"/>
        <v>0</v>
      </c>
      <c r="F20" s="54"/>
      <c r="G20" s="54">
        <f t="shared" si="1"/>
        <v>0</v>
      </c>
      <c r="H20" s="54">
        <f t="shared" si="2"/>
        <v>0</v>
      </c>
      <c r="I20" s="55"/>
    </row>
    <row r="21" spans="1:9" x14ac:dyDescent="0.25">
      <c r="A21" s="49"/>
      <c r="B21" s="50"/>
      <c r="C21" s="58"/>
      <c r="D21" s="53"/>
      <c r="E21" s="53">
        <f t="shared" si="0"/>
        <v>0</v>
      </c>
      <c r="F21" s="54"/>
      <c r="G21" s="54">
        <f t="shared" si="1"/>
        <v>0</v>
      </c>
      <c r="H21" s="54">
        <f t="shared" si="2"/>
        <v>0</v>
      </c>
      <c r="I21" s="55"/>
    </row>
    <row r="22" spans="1:9" x14ac:dyDescent="0.25">
      <c r="A22" s="49"/>
      <c r="B22" s="51"/>
      <c r="C22" s="59"/>
      <c r="D22" s="54"/>
      <c r="E22" s="54"/>
      <c r="F22" s="54"/>
      <c r="G22" s="54"/>
      <c r="H22" s="54"/>
      <c r="I22" s="55"/>
    </row>
    <row r="23" spans="1:9" ht="15.75" thickBot="1" x14ac:dyDescent="0.3">
      <c r="A23" s="49"/>
      <c r="B23" s="60"/>
      <c r="C23" s="61" t="s">
        <v>24</v>
      </c>
      <c r="D23" s="62">
        <f>SUM(D9:D22)</f>
        <v>0</v>
      </c>
      <c r="E23" s="62"/>
      <c r="F23" s="62">
        <f>SUM(F9:F22)</f>
        <v>0</v>
      </c>
      <c r="G23" s="62"/>
      <c r="H23" s="62">
        <f>D23-F23</f>
        <v>0</v>
      </c>
      <c r="I23" s="55"/>
    </row>
    <row r="24" spans="1:9" ht="15.75" thickTop="1" x14ac:dyDescent="0.25">
      <c r="A24" s="49"/>
      <c r="B24" s="51"/>
      <c r="C24" s="59"/>
      <c r="D24" s="54"/>
      <c r="E24" s="54"/>
      <c r="F24" s="54"/>
      <c r="G24" s="54"/>
      <c r="H24" s="54"/>
      <c r="I24" s="55"/>
    </row>
    <row r="25" spans="1:9" x14ac:dyDescent="0.25">
      <c r="A25" s="49"/>
      <c r="B25" s="51"/>
      <c r="C25" s="59"/>
      <c r="D25" s="54"/>
      <c r="E25" s="54"/>
      <c r="F25" s="54"/>
      <c r="G25" s="54"/>
      <c r="H25" s="54"/>
      <c r="I25" s="55"/>
    </row>
    <row r="26" spans="1:9" x14ac:dyDescent="0.25">
      <c r="A26" s="49"/>
      <c r="B26" s="51"/>
      <c r="C26" s="136" t="s">
        <v>110</v>
      </c>
      <c r="D26" s="137">
        <v>0</v>
      </c>
      <c r="E26" s="137"/>
      <c r="F26" s="137"/>
      <c r="G26" s="137"/>
      <c r="H26" s="137">
        <f>D26-F26</f>
        <v>0</v>
      </c>
      <c r="I26" s="55"/>
    </row>
    <row r="27" spans="1:9" x14ac:dyDescent="0.25">
      <c r="A27" s="49"/>
      <c r="B27" s="51"/>
      <c r="C27" s="136" t="s">
        <v>111</v>
      </c>
      <c r="D27" s="137">
        <v>0</v>
      </c>
      <c r="E27" s="137"/>
      <c r="F27" s="137"/>
      <c r="G27" s="137"/>
      <c r="H27" s="137">
        <f>D27-F27</f>
        <v>0</v>
      </c>
      <c r="I27" s="55"/>
    </row>
    <row r="28" spans="1:9" ht="15.75" thickBot="1" x14ac:dyDescent="0.3">
      <c r="A28" s="49"/>
      <c r="B28" s="51"/>
      <c r="C28" s="138" t="s">
        <v>67</v>
      </c>
      <c r="D28" s="139">
        <f>SUM(D26:D27)</f>
        <v>0</v>
      </c>
      <c r="E28" s="140"/>
      <c r="F28" s="139">
        <f>SUM(F26:F27)</f>
        <v>0</v>
      </c>
      <c r="G28" s="140"/>
      <c r="H28" s="139">
        <f>SUM(H26:H27)</f>
        <v>0</v>
      </c>
      <c r="I28" s="55"/>
    </row>
    <row r="29" spans="1:9" ht="15" customHeight="1" thickTop="1" x14ac:dyDescent="0.25"/>
  </sheetData>
  <conditionalFormatting sqref="I8:I23">
    <cfRule type="cellIs" dxfId="50" priority="1" operator="greaterThan">
      <formula>$H$23</formula>
    </cfRule>
  </conditionalFormatting>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1ECB0-2FD1-467A-923F-82C1F171790F}">
  <sheetPr>
    <tabColor indexed="30"/>
    <pageSetUpPr fitToPage="1"/>
  </sheetPr>
  <dimension ref="A1:J24"/>
  <sheetViews>
    <sheetView zoomScaleNormal="100" workbookViewId="0">
      <selection activeCell="B13" sqref="B13:D13"/>
    </sheetView>
  </sheetViews>
  <sheetFormatPr defaultColWidth="11.42578125" defaultRowHeight="15" customHeight="1" x14ac:dyDescent="0.25"/>
  <cols>
    <col min="1" max="1" width="24.5703125" customWidth="1"/>
    <col min="2" max="3" width="9.42578125" customWidth="1"/>
    <col min="4" max="4" width="25" bestFit="1"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#9494.00'!B1</f>
        <v>IDOE ISD Giangreco Hall Gutter, Dentil and Roof Repairs</v>
      </c>
      <c r="B1" s="3"/>
      <c r="C1" s="3"/>
      <c r="D1" s="4"/>
      <c r="E1" s="4"/>
      <c r="F1" s="4"/>
      <c r="G1" s="28"/>
      <c r="H1" s="28"/>
      <c r="I1" s="29"/>
      <c r="J1" s="29"/>
    </row>
    <row r="2" spans="1:10" ht="15.75" x14ac:dyDescent="0.25">
      <c r="A2" s="6" t="str">
        <f>'RECAP #9494.00'!B2</f>
        <v>Project # 9494.00</v>
      </c>
      <c r="B2" s="5"/>
      <c r="C2" s="5"/>
      <c r="D2" s="4"/>
      <c r="E2" s="4"/>
      <c r="F2" s="4"/>
      <c r="G2" s="28"/>
      <c r="H2" s="28"/>
      <c r="I2" s="29"/>
      <c r="J2" s="29"/>
    </row>
    <row r="3" spans="1:10" ht="15.75" x14ac:dyDescent="0.25">
      <c r="A3" s="7" t="str">
        <f>'RECAP #9494.00'!B3</f>
        <v>Program code 949400</v>
      </c>
      <c r="B3" s="5"/>
      <c r="C3" s="5"/>
      <c r="D3" s="4"/>
      <c r="E3" s="8" t="str">
        <f>'RECAP #9494.00'!E3</f>
        <v>Major Program 4E02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230</v>
      </c>
      <c r="F6" s="42"/>
      <c r="G6" s="43"/>
      <c r="H6" s="39"/>
      <c r="I6" s="35"/>
      <c r="J6" s="29"/>
    </row>
    <row r="7" spans="1:10" ht="15.75" x14ac:dyDescent="0.25">
      <c r="A7" s="11" t="str">
        <f>'RECAP #9494.00'!B6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x14ac:dyDescent="0.25">
      <c r="A9" s="65"/>
      <c r="B9" s="50"/>
      <c r="C9" s="50"/>
      <c r="D9" s="59" t="s">
        <v>29</v>
      </c>
      <c r="E9" s="52"/>
      <c r="F9" s="53">
        <f>E9</f>
        <v>0</v>
      </c>
      <c r="G9" s="54"/>
      <c r="H9" s="54"/>
      <c r="I9" s="54">
        <f>F9</f>
        <v>0</v>
      </c>
      <c r="J9" s="55"/>
    </row>
    <row r="10" spans="1:10" x14ac:dyDescent="0.25">
      <c r="A10" s="66"/>
      <c r="B10" s="56"/>
      <c r="C10" s="56"/>
      <c r="D10" s="59"/>
      <c r="E10" s="53"/>
      <c r="F10" s="53">
        <f t="shared" ref="F10:F21" si="0">F9+E10</f>
        <v>0</v>
      </c>
      <c r="G10" s="57"/>
      <c r="H10" s="54">
        <f t="shared" ref="H10:H21" si="1">H9+G10</f>
        <v>0</v>
      </c>
      <c r="I10" s="54">
        <f t="shared" ref="I10:I21" si="2">I9-G10+E10</f>
        <v>0</v>
      </c>
      <c r="J10" s="55"/>
    </row>
    <row r="11" spans="1:10" x14ac:dyDescent="0.25">
      <c r="A11" s="65"/>
      <c r="B11" s="50"/>
      <c r="C11" s="50"/>
      <c r="D11" s="59"/>
      <c r="E11" s="53"/>
      <c r="F11" s="53">
        <f t="shared" si="0"/>
        <v>0</v>
      </c>
      <c r="G11" s="57"/>
      <c r="H11" s="54">
        <f t="shared" si="1"/>
        <v>0</v>
      </c>
      <c r="I11" s="54">
        <f t="shared" si="2"/>
        <v>0</v>
      </c>
      <c r="J11" s="55"/>
    </row>
    <row r="12" spans="1:10" x14ac:dyDescent="0.25">
      <c r="A12" s="65"/>
      <c r="B12" s="50"/>
      <c r="C12" s="50"/>
      <c r="D12" s="59"/>
      <c r="E12" s="53"/>
      <c r="F12" s="53">
        <f t="shared" si="0"/>
        <v>0</v>
      </c>
      <c r="G12" s="57"/>
      <c r="H12" s="54">
        <f t="shared" si="1"/>
        <v>0</v>
      </c>
      <c r="I12" s="54">
        <f t="shared" si="2"/>
        <v>0</v>
      </c>
      <c r="J12" s="55"/>
    </row>
    <row r="13" spans="1:10" x14ac:dyDescent="0.25">
      <c r="A13" s="65"/>
      <c r="B13" s="50"/>
      <c r="C13" s="50"/>
      <c r="D13" s="59"/>
      <c r="E13" s="53"/>
      <c r="F13" s="53">
        <f t="shared" si="0"/>
        <v>0</v>
      </c>
      <c r="G13" s="57"/>
      <c r="H13" s="54">
        <f t="shared" si="1"/>
        <v>0</v>
      </c>
      <c r="I13" s="54">
        <f t="shared" si="2"/>
        <v>0</v>
      </c>
      <c r="J13" s="55"/>
    </row>
    <row r="14" spans="1:10" x14ac:dyDescent="0.25">
      <c r="A14" s="65"/>
      <c r="B14" s="50"/>
      <c r="C14" s="50"/>
      <c r="D14" s="59"/>
      <c r="E14" s="53"/>
      <c r="F14" s="53">
        <f t="shared" si="0"/>
        <v>0</v>
      </c>
      <c r="G14" s="54"/>
      <c r="H14" s="54">
        <f t="shared" si="1"/>
        <v>0</v>
      </c>
      <c r="I14" s="54">
        <f t="shared" si="2"/>
        <v>0</v>
      </c>
      <c r="J14" s="55"/>
    </row>
    <row r="15" spans="1:10" x14ac:dyDescent="0.25">
      <c r="A15" s="65"/>
      <c r="B15" s="50"/>
      <c r="C15" s="50"/>
      <c r="D15" s="59"/>
      <c r="E15" s="53"/>
      <c r="F15" s="53">
        <f t="shared" si="0"/>
        <v>0</v>
      </c>
      <c r="G15" s="57"/>
      <c r="H15" s="54">
        <f t="shared" si="1"/>
        <v>0</v>
      </c>
      <c r="I15" s="54">
        <f t="shared" si="2"/>
        <v>0</v>
      </c>
      <c r="J15" s="55"/>
    </row>
    <row r="16" spans="1:10" x14ac:dyDescent="0.25">
      <c r="A16" s="65"/>
      <c r="B16" s="50"/>
      <c r="C16" s="50"/>
      <c r="D16" s="59"/>
      <c r="E16" s="53"/>
      <c r="F16" s="53">
        <f t="shared" si="0"/>
        <v>0</v>
      </c>
      <c r="G16" s="57"/>
      <c r="H16" s="54">
        <f t="shared" si="1"/>
        <v>0</v>
      </c>
      <c r="I16" s="54">
        <f t="shared" si="2"/>
        <v>0</v>
      </c>
      <c r="J16" s="55"/>
    </row>
    <row r="17" spans="1:10" x14ac:dyDescent="0.25">
      <c r="A17" s="65"/>
      <c r="B17" s="50"/>
      <c r="C17" s="50"/>
      <c r="D17" s="59"/>
      <c r="E17" s="53"/>
      <c r="F17" s="53">
        <f t="shared" si="0"/>
        <v>0</v>
      </c>
      <c r="G17" s="57"/>
      <c r="H17" s="54">
        <f t="shared" si="1"/>
        <v>0</v>
      </c>
      <c r="I17" s="54">
        <f t="shared" si="2"/>
        <v>0</v>
      </c>
      <c r="J17" s="55"/>
    </row>
    <row r="18" spans="1:10" x14ac:dyDescent="0.25">
      <c r="A18" s="65"/>
      <c r="B18" s="50"/>
      <c r="C18" s="50"/>
      <c r="D18" s="59"/>
      <c r="E18" s="53"/>
      <c r="F18" s="53">
        <f t="shared" si="0"/>
        <v>0</v>
      </c>
      <c r="G18" s="57"/>
      <c r="H18" s="54">
        <f t="shared" si="1"/>
        <v>0</v>
      </c>
      <c r="I18" s="54">
        <f t="shared" si="2"/>
        <v>0</v>
      </c>
      <c r="J18" s="55"/>
    </row>
    <row r="19" spans="1:10" x14ac:dyDescent="0.25">
      <c r="A19" s="65"/>
      <c r="B19" s="50"/>
      <c r="C19" s="50"/>
      <c r="D19" s="59"/>
      <c r="E19" s="53"/>
      <c r="F19" s="53">
        <f t="shared" si="0"/>
        <v>0</v>
      </c>
      <c r="G19" s="54"/>
      <c r="H19" s="54">
        <f t="shared" si="1"/>
        <v>0</v>
      </c>
      <c r="I19" s="54">
        <f t="shared" si="2"/>
        <v>0</v>
      </c>
      <c r="J19" s="55"/>
    </row>
    <row r="20" spans="1:10" x14ac:dyDescent="0.25">
      <c r="A20" s="65"/>
      <c r="B20" s="50"/>
      <c r="C20" s="50"/>
      <c r="D20" s="59"/>
      <c r="E20" s="53"/>
      <c r="F20" s="53">
        <f t="shared" si="0"/>
        <v>0</v>
      </c>
      <c r="G20" s="54"/>
      <c r="H20" s="54">
        <f t="shared" si="1"/>
        <v>0</v>
      </c>
      <c r="I20" s="54">
        <f t="shared" si="2"/>
        <v>0</v>
      </c>
      <c r="J20" s="55"/>
    </row>
    <row r="21" spans="1:10" x14ac:dyDescent="0.25">
      <c r="A21" s="65"/>
      <c r="B21" s="50"/>
      <c r="C21" s="50"/>
      <c r="D21" s="38"/>
      <c r="E21" s="53"/>
      <c r="F21" s="53">
        <f t="shared" si="0"/>
        <v>0</v>
      </c>
      <c r="G21" s="54"/>
      <c r="H21" s="54">
        <f t="shared" si="1"/>
        <v>0</v>
      </c>
      <c r="I21" s="54">
        <f t="shared" si="2"/>
        <v>0</v>
      </c>
      <c r="J21" s="55"/>
    </row>
    <row r="22" spans="1:10" x14ac:dyDescent="0.25">
      <c r="A22" s="49"/>
      <c r="B22" s="51"/>
      <c r="C22" s="51"/>
      <c r="D22" s="59"/>
      <c r="E22" s="54"/>
      <c r="F22" s="54"/>
      <c r="G22" s="54"/>
      <c r="H22" s="54"/>
      <c r="I22" s="54"/>
      <c r="J22" s="55"/>
    </row>
    <row r="23" spans="1:10" ht="15.75" thickBot="1" x14ac:dyDescent="0.3">
      <c r="A23" s="49"/>
      <c r="B23" s="60"/>
      <c r="C23" s="60"/>
      <c r="D23" s="61" t="s">
        <v>24</v>
      </c>
      <c r="E23" s="62">
        <f>SUM(E9:E22)</f>
        <v>0</v>
      </c>
      <c r="F23" s="62"/>
      <c r="G23" s="62">
        <f>SUM(G9:G22)</f>
        <v>0</v>
      </c>
      <c r="H23" s="62"/>
      <c r="I23" s="62">
        <f>E23-G23</f>
        <v>0</v>
      </c>
      <c r="J23" s="55"/>
    </row>
    <row r="24" spans="1:10" ht="15" customHeight="1" thickTop="1" x14ac:dyDescent="0.25"/>
  </sheetData>
  <pageMargins left="0.25" right="0.25" top="0.95" bottom="0.75" header="0.09" footer="0.3"/>
  <pageSetup scale="7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5D8B7-B464-47B9-9A21-743DEB703303}">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#9494.00'!B1</f>
        <v>IDOE ISD Giangreco Hall Gutter, Dentil and Roof Repairs</v>
      </c>
      <c r="B1" s="3"/>
      <c r="C1" s="3"/>
      <c r="D1" s="3"/>
      <c r="E1" s="4"/>
      <c r="F1" s="4"/>
      <c r="G1" s="4"/>
      <c r="H1" s="28"/>
    </row>
    <row r="2" spans="1:8" ht="15.75" x14ac:dyDescent="0.25">
      <c r="A2" s="6" t="str">
        <f>'RECAP #9494.00'!B2</f>
        <v>Project # 9494.00</v>
      </c>
      <c r="B2" s="5"/>
      <c r="C2" s="5"/>
      <c r="D2" s="5"/>
      <c r="E2" s="4"/>
      <c r="F2" s="4"/>
      <c r="G2" s="4"/>
      <c r="H2" s="28"/>
    </row>
    <row r="3" spans="1:8" ht="15.75" x14ac:dyDescent="0.25">
      <c r="A3" s="7" t="str">
        <f>'RECAP #9494.00'!B3</f>
        <v>Program code 949400</v>
      </c>
      <c r="B3" s="5"/>
      <c r="C3" s="5"/>
      <c r="D3" s="5"/>
      <c r="E3" s="8" t="str">
        <f>'RECAP #9494.00'!E3</f>
        <v>Major Program 4E02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95</v>
      </c>
      <c r="F6" s="35"/>
      <c r="G6" s="38"/>
      <c r="H6" s="39"/>
    </row>
    <row r="7" spans="1:8" ht="15.75" x14ac:dyDescent="0.25">
      <c r="A7" s="11" t="str">
        <f>'RECAP #9494.00'!B6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x14ac:dyDescent="0.25">
      <c r="A9" s="58"/>
      <c r="B9" s="50"/>
      <c r="C9" s="49"/>
      <c r="D9" s="49"/>
      <c r="E9" s="70"/>
      <c r="F9" s="71"/>
      <c r="G9" s="63"/>
      <c r="H9" s="63">
        <f>G9</f>
        <v>0</v>
      </c>
    </row>
    <row r="10" spans="1:8" x14ac:dyDescent="0.25">
      <c r="A10" s="65"/>
      <c r="B10" s="50"/>
      <c r="C10" s="59"/>
      <c r="D10" s="59"/>
      <c r="E10" s="38"/>
      <c r="F10" s="24"/>
      <c r="G10" s="63"/>
      <c r="H10" s="63">
        <f>H9+G10</f>
        <v>0</v>
      </c>
    </row>
    <row r="11" spans="1:8" x14ac:dyDescent="0.25">
      <c r="A11" s="65"/>
      <c r="B11" s="50"/>
      <c r="C11" s="50"/>
      <c r="D11" s="50"/>
      <c r="E11" s="38"/>
      <c r="F11" s="24"/>
      <c r="G11" s="63"/>
      <c r="H11" s="63">
        <f t="shared" ref="H11:H20" si="0">H10+G11</f>
        <v>0</v>
      </c>
    </row>
    <row r="12" spans="1:8" x14ac:dyDescent="0.25">
      <c r="A12" s="65" t="s">
        <v>2</v>
      </c>
      <c r="B12" s="50" t="s">
        <v>2</v>
      </c>
      <c r="C12" s="50"/>
      <c r="D12" s="50"/>
      <c r="E12" s="38" t="s">
        <v>2</v>
      </c>
      <c r="F12" s="24"/>
      <c r="G12" s="63"/>
      <c r="H12" s="63">
        <f t="shared" si="0"/>
        <v>0</v>
      </c>
    </row>
    <row r="13" spans="1:8" x14ac:dyDescent="0.25">
      <c r="A13" s="65" t="s">
        <v>2</v>
      </c>
      <c r="B13" s="50" t="s">
        <v>2</v>
      </c>
      <c r="C13" s="50"/>
      <c r="D13" s="50"/>
      <c r="E13" s="38" t="s">
        <v>2</v>
      </c>
      <c r="F13" s="24"/>
      <c r="G13" s="63"/>
      <c r="H13" s="63">
        <f t="shared" si="0"/>
        <v>0</v>
      </c>
    </row>
    <row r="14" spans="1:8" x14ac:dyDescent="0.25">
      <c r="A14" s="65"/>
      <c r="B14" s="50"/>
      <c r="C14" s="50"/>
      <c r="D14" s="50"/>
      <c r="E14" s="38"/>
      <c r="F14" s="24"/>
      <c r="G14" s="63"/>
      <c r="H14" s="63">
        <f t="shared" si="0"/>
        <v>0</v>
      </c>
    </row>
    <row r="15" spans="1:8" x14ac:dyDescent="0.25">
      <c r="A15" s="65"/>
      <c r="B15" s="50"/>
      <c r="C15" s="50"/>
      <c r="D15" s="50"/>
      <c r="E15" s="72"/>
      <c r="F15" s="24"/>
      <c r="G15" s="63"/>
      <c r="H15" s="63">
        <f t="shared" si="0"/>
        <v>0</v>
      </c>
    </row>
    <row r="16" spans="1:8" x14ac:dyDescent="0.25">
      <c r="A16" s="65"/>
      <c r="B16" s="50"/>
      <c r="C16" s="50"/>
      <c r="D16" s="50"/>
      <c r="E16" s="38"/>
      <c r="F16" s="24"/>
      <c r="G16" s="63"/>
      <c r="H16" s="63">
        <f t="shared" si="0"/>
        <v>0</v>
      </c>
    </row>
    <row r="17" spans="1:8" x14ac:dyDescent="0.25">
      <c r="A17" s="49"/>
      <c r="B17" s="50"/>
      <c r="C17" s="50"/>
      <c r="D17" s="50"/>
      <c r="E17" s="38"/>
      <c r="F17" s="24"/>
      <c r="G17" s="63"/>
      <c r="H17" s="63">
        <f t="shared" si="0"/>
        <v>0</v>
      </c>
    </row>
    <row r="18" spans="1:8" x14ac:dyDescent="0.25">
      <c r="A18" s="49"/>
      <c r="B18" s="50"/>
      <c r="C18" s="50"/>
      <c r="D18" s="50"/>
      <c r="E18" s="38"/>
      <c r="F18" s="24"/>
      <c r="G18" s="63"/>
      <c r="H18" s="63">
        <f t="shared" si="0"/>
        <v>0</v>
      </c>
    </row>
    <row r="19" spans="1:8" x14ac:dyDescent="0.25">
      <c r="A19" s="49"/>
      <c r="B19" s="50"/>
      <c r="C19" s="50"/>
      <c r="D19" s="50"/>
      <c r="E19" s="38"/>
      <c r="F19" s="24"/>
      <c r="G19" s="63"/>
      <c r="H19" s="63">
        <f t="shared" si="0"/>
        <v>0</v>
      </c>
    </row>
    <row r="20" spans="1:8" x14ac:dyDescent="0.25">
      <c r="A20" s="49"/>
      <c r="B20" s="50"/>
      <c r="C20" s="50"/>
      <c r="D20" s="50"/>
      <c r="E20" s="38"/>
      <c r="F20" s="24"/>
      <c r="G20" s="63"/>
      <c r="H20" s="63">
        <f t="shared" si="0"/>
        <v>0</v>
      </c>
    </row>
    <row r="21" spans="1:8" x14ac:dyDescent="0.25">
      <c r="A21" s="49"/>
      <c r="B21" s="59"/>
      <c r="C21" s="59"/>
      <c r="D21" s="59"/>
      <c r="E21" s="38"/>
      <c r="F21" s="63"/>
      <c r="G21" s="38"/>
      <c r="H21" s="63"/>
    </row>
    <row r="22" spans="1:8" ht="15.75" thickBot="1" x14ac:dyDescent="0.3">
      <c r="A22" s="73"/>
      <c r="B22" s="74"/>
      <c r="C22" s="74"/>
      <c r="D22" s="74"/>
      <c r="E22" s="75" t="s">
        <v>24</v>
      </c>
      <c r="F22" s="76"/>
      <c r="G22" s="62">
        <f>SUM(G9:G21)</f>
        <v>0</v>
      </c>
      <c r="H22" s="76"/>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8A0C6-C2FD-43C9-A8FF-5EC0A9AE4733}">
  <sheetPr>
    <tabColor rgb="FF0070C0"/>
    <pageSetUpPr fitToPage="1"/>
  </sheetPr>
  <dimension ref="A1:G22"/>
  <sheetViews>
    <sheetView zoomScaleNormal="100" workbookViewId="0">
      <selection activeCell="B13" sqref="B13:D13"/>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51"/>
      <c r="B1" s="30" t="s">
        <v>149</v>
      </c>
      <c r="C1" s="30"/>
      <c r="D1" s="153"/>
      <c r="E1" s="153"/>
      <c r="F1" s="153"/>
      <c r="G1" s="153"/>
    </row>
    <row r="2" spans="1:7" ht="15.75" x14ac:dyDescent="0.25">
      <c r="A2" s="151"/>
      <c r="B2" s="31" t="s">
        <v>176</v>
      </c>
      <c r="C2" s="150"/>
      <c r="D2" s="153"/>
      <c r="E2" s="153"/>
      <c r="F2" s="153"/>
      <c r="G2" s="153"/>
    </row>
    <row r="3" spans="1:7" ht="15.75" x14ac:dyDescent="0.25">
      <c r="A3" s="151"/>
      <c r="B3" s="154" t="s">
        <v>177</v>
      </c>
      <c r="C3" s="150"/>
      <c r="D3" s="153"/>
      <c r="E3" s="155" t="s">
        <v>181</v>
      </c>
      <c r="F3" s="153"/>
      <c r="G3" s="153"/>
    </row>
    <row r="4" spans="1:7" ht="15.75" x14ac:dyDescent="0.25">
      <c r="A4" s="151"/>
      <c r="B4" s="156" t="s">
        <v>1</v>
      </c>
      <c r="C4" s="157" t="s">
        <v>2</v>
      </c>
      <c r="D4" s="153"/>
      <c r="E4" s="153"/>
      <c r="F4" s="153"/>
      <c r="G4" s="153"/>
    </row>
    <row r="5" spans="1:7" ht="15.75" x14ac:dyDescent="0.25">
      <c r="A5" s="151"/>
      <c r="B5" s="31" t="s">
        <v>64</v>
      </c>
      <c r="C5" s="150"/>
      <c r="D5" s="153"/>
      <c r="E5" s="153"/>
      <c r="F5" s="153"/>
      <c r="G5" s="153"/>
    </row>
    <row r="6" spans="1:7" ht="15.75" x14ac:dyDescent="0.25">
      <c r="A6" s="151"/>
      <c r="B6" s="31" t="s">
        <v>178</v>
      </c>
      <c r="C6" s="158"/>
      <c r="D6" s="159" t="s">
        <v>2</v>
      </c>
      <c r="E6" s="153"/>
      <c r="F6" s="153"/>
      <c r="G6" s="153"/>
    </row>
    <row r="7" spans="1:7" ht="26.85" customHeight="1" thickBot="1" x14ac:dyDescent="0.3">
      <c r="A7" s="151"/>
      <c r="B7" s="160" t="s">
        <v>2</v>
      </c>
      <c r="C7" s="161" t="s">
        <v>3</v>
      </c>
      <c r="D7" s="162" t="s">
        <v>4</v>
      </c>
      <c r="E7" s="163" t="s">
        <v>5</v>
      </c>
      <c r="F7" s="164" t="s">
        <v>6</v>
      </c>
      <c r="G7" s="164" t="s">
        <v>7</v>
      </c>
    </row>
    <row r="8" spans="1:7" ht="28.35" customHeight="1" x14ac:dyDescent="0.25">
      <c r="A8" s="151"/>
      <c r="B8" s="151" t="s">
        <v>8</v>
      </c>
      <c r="C8" s="165">
        <f>FINANCIAL!G18</f>
        <v>0</v>
      </c>
      <c r="D8" s="166"/>
      <c r="E8" s="166"/>
      <c r="F8" s="166"/>
      <c r="G8" s="167"/>
    </row>
    <row r="9" spans="1:7" x14ac:dyDescent="0.25">
      <c r="A9" s="151"/>
      <c r="B9" s="150"/>
      <c r="C9" s="168"/>
      <c r="D9" s="169"/>
      <c r="E9" s="169"/>
      <c r="F9" s="169"/>
      <c r="G9" s="167"/>
    </row>
    <row r="10" spans="1:7" x14ac:dyDescent="0.25">
      <c r="A10" s="151"/>
      <c r="B10" s="150" t="s">
        <v>9</v>
      </c>
      <c r="C10" s="168"/>
      <c r="D10" s="166">
        <f>'#9495.00 Vendor A '!D23</f>
        <v>0</v>
      </c>
      <c r="E10" s="166">
        <f>'#9495.00 Vendor A '!F23</f>
        <v>0</v>
      </c>
      <c r="F10" s="166">
        <f>'#9495.00 Vendor A '!H23</f>
        <v>0</v>
      </c>
      <c r="G10" s="167"/>
    </row>
    <row r="11" spans="1:7" x14ac:dyDescent="0.25">
      <c r="A11" s="151"/>
      <c r="B11" s="150" t="s">
        <v>10</v>
      </c>
      <c r="C11" s="168"/>
      <c r="D11" s="166">
        <f>'#9495.00 PM TIME '!E23</f>
        <v>0</v>
      </c>
      <c r="E11" s="166">
        <f>'#9495.00 PM TIME '!G23</f>
        <v>0</v>
      </c>
      <c r="F11" s="166">
        <f>'#9495.00 PM TIME '!I23</f>
        <v>0</v>
      </c>
      <c r="G11" s="167"/>
    </row>
    <row r="12" spans="1:7" x14ac:dyDescent="0.25">
      <c r="A12" s="151"/>
      <c r="B12" s="150" t="s">
        <v>11</v>
      </c>
      <c r="C12" s="169"/>
      <c r="D12" s="170">
        <f>'#9495.00 Misc'!G22</f>
        <v>0</v>
      </c>
      <c r="E12" s="170">
        <f>'#9495.00 Misc'!H22</f>
        <v>0</v>
      </c>
      <c r="F12" s="166">
        <f>D12-E12</f>
        <v>0</v>
      </c>
      <c r="G12" s="167"/>
    </row>
    <row r="13" spans="1:7" ht="13.35" customHeight="1" x14ac:dyDescent="0.25">
      <c r="A13" s="151"/>
      <c r="B13" s="150"/>
      <c r="C13" s="169"/>
      <c r="D13" s="170"/>
      <c r="E13" s="170"/>
      <c r="F13" s="166"/>
      <c r="G13" s="167"/>
    </row>
    <row r="14" spans="1:7" ht="24" customHeight="1" thickBot="1" x14ac:dyDescent="0.3">
      <c r="A14" s="171"/>
      <c r="B14" s="172" t="s">
        <v>12</v>
      </c>
      <c r="C14" s="173">
        <f>SUM(C8:C13)</f>
        <v>0</v>
      </c>
      <c r="D14" s="173">
        <f>SUM(D8:D13)</f>
        <v>0</v>
      </c>
      <c r="E14" s="173">
        <f>SUM(E8:E13)</f>
        <v>0</v>
      </c>
      <c r="F14" s="173">
        <f>SUM(D14-E14)</f>
        <v>0</v>
      </c>
      <c r="G14" s="173">
        <f>C8-D14</f>
        <v>0</v>
      </c>
    </row>
    <row r="15" spans="1:7" ht="13.35" customHeight="1" thickTop="1" x14ac:dyDescent="0.25">
      <c r="A15" s="151"/>
      <c r="B15" s="150"/>
      <c r="C15" s="150"/>
      <c r="D15" s="167"/>
      <c r="E15" s="167"/>
      <c r="F15" s="167"/>
      <c r="G15" s="167"/>
    </row>
    <row r="16" spans="1:7" ht="13.35" customHeight="1" x14ac:dyDescent="0.25">
      <c r="A16" s="151"/>
      <c r="B16" s="150"/>
      <c r="C16" s="150"/>
      <c r="D16" s="167"/>
      <c r="E16" s="167"/>
      <c r="F16" s="167"/>
      <c r="G16" s="167"/>
    </row>
    <row r="17" spans="1:7" ht="13.35" customHeight="1" x14ac:dyDescent="0.25">
      <c r="A17" s="151"/>
      <c r="B17" s="151" t="s">
        <v>251</v>
      </c>
      <c r="C17" s="150"/>
      <c r="D17" s="167"/>
      <c r="E17" s="167"/>
      <c r="F17" s="167"/>
      <c r="G17" s="167"/>
    </row>
    <row r="18" spans="1:7" ht="13.35" customHeight="1" x14ac:dyDescent="0.25">
      <c r="A18" s="151"/>
      <c r="B18" s="152"/>
      <c r="C18" s="150"/>
      <c r="D18" s="167"/>
      <c r="E18" s="167"/>
      <c r="F18" s="167"/>
      <c r="G18" s="167"/>
    </row>
    <row r="19" spans="1:7" ht="13.35" customHeight="1" x14ac:dyDescent="0.25">
      <c r="A19" s="151"/>
      <c r="B19" s="150"/>
      <c r="C19" s="150"/>
      <c r="D19" s="167"/>
      <c r="E19" s="167"/>
      <c r="F19" s="167"/>
      <c r="G19" s="167"/>
    </row>
    <row r="20" spans="1:7" ht="13.35" customHeight="1" x14ac:dyDescent="0.25">
      <c r="A20" s="151"/>
      <c r="B20" s="150"/>
      <c r="C20" s="150"/>
      <c r="D20" s="167"/>
      <c r="E20" s="167"/>
      <c r="F20" s="167"/>
      <c r="G20" s="167"/>
    </row>
    <row r="21" spans="1:7" ht="13.35" customHeight="1" x14ac:dyDescent="0.25">
      <c r="A21" s="151"/>
      <c r="B21" s="150"/>
      <c r="C21" s="150"/>
      <c r="D21" s="167"/>
      <c r="E21" s="167"/>
      <c r="F21" s="167"/>
      <c r="G21" s="167"/>
    </row>
    <row r="22" spans="1:7" ht="13.35" customHeight="1" x14ac:dyDescent="0.25">
      <c r="A22" s="151"/>
      <c r="B22" s="150"/>
      <c r="C22" s="150"/>
      <c r="D22" s="167"/>
      <c r="E22" s="167"/>
      <c r="F22" s="167"/>
      <c r="G22" s="167"/>
    </row>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7BC25-C1CD-447E-8C56-2E750893C45F}">
  <sheetPr>
    <tabColor rgb="FF0070C0"/>
    <pageSetUpPr fitToPage="1"/>
  </sheetPr>
  <dimension ref="A1:I29"/>
  <sheetViews>
    <sheetView topLeftCell="A36" zoomScaleNormal="100" workbookViewId="0">
      <selection activeCell="B13" sqref="B13:D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#9495.00'!B1</f>
        <v>HHS IMHI Boiler #3 Replacement</v>
      </c>
      <c r="B1" s="3"/>
      <c r="C1" s="4"/>
      <c r="D1" s="4"/>
      <c r="E1" s="4"/>
      <c r="F1" s="28"/>
      <c r="G1" s="28"/>
      <c r="H1" s="29"/>
      <c r="I1" s="29"/>
    </row>
    <row r="2" spans="1:9" ht="15.75" x14ac:dyDescent="0.25">
      <c r="A2" s="6" t="str">
        <f>'RECAP #9495.00'!B2</f>
        <v>Project # 9495.00</v>
      </c>
      <c r="B2" s="5"/>
      <c r="C2" s="4"/>
      <c r="D2" s="4"/>
      <c r="E2" s="4"/>
      <c r="F2" s="28"/>
      <c r="G2" s="28"/>
      <c r="H2" s="29"/>
      <c r="I2" s="29"/>
    </row>
    <row r="3" spans="1:9" ht="15.75" x14ac:dyDescent="0.25">
      <c r="A3" s="7" t="str">
        <f>'RECAP #9495.00'!B3</f>
        <v>Program code 949500</v>
      </c>
      <c r="B3" s="5"/>
      <c r="C3" s="4"/>
      <c r="D3" s="8" t="str">
        <f>'RECAP #9495.00'!E3</f>
        <v>Major Program 4E19</v>
      </c>
      <c r="E3" s="4"/>
      <c r="F3" s="28"/>
      <c r="G3" s="28"/>
      <c r="H3" s="29"/>
      <c r="I3" s="29"/>
    </row>
    <row r="4" spans="1:9" ht="15.75" x14ac:dyDescent="0.25">
      <c r="A4" s="30" t="s">
        <v>13</v>
      </c>
      <c r="B4" s="31"/>
      <c r="C4" s="32"/>
      <c r="D4" s="33" t="s">
        <v>14</v>
      </c>
      <c r="E4" s="28"/>
      <c r="F4" s="28"/>
      <c r="G4" s="28"/>
      <c r="H4" s="29"/>
      <c r="I4" s="29"/>
    </row>
    <row r="5" spans="1:9" ht="15.75" x14ac:dyDescent="0.25">
      <c r="A5" s="34" t="s">
        <v>65</v>
      </c>
      <c r="B5" s="35"/>
      <c r="C5" s="36"/>
      <c r="D5" s="37"/>
      <c r="E5" s="38"/>
      <c r="F5" s="39"/>
      <c r="G5" s="39"/>
      <c r="H5" s="35"/>
      <c r="I5" s="29"/>
    </row>
    <row r="6" spans="1:9" ht="15.75" x14ac:dyDescent="0.25">
      <c r="A6" s="11" t="str">
        <f>'RECAP #9495.00'!B6</f>
        <v>Project Manager - Oliver S. (JE)</v>
      </c>
      <c r="B6" s="11"/>
      <c r="C6" s="40"/>
      <c r="D6" s="41" t="s">
        <v>15</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x14ac:dyDescent="0.25">
      <c r="A9" s="49"/>
      <c r="B9" s="50"/>
      <c r="C9" s="51"/>
      <c r="D9" s="52"/>
      <c r="E9" s="53">
        <f>D9</f>
        <v>0</v>
      </c>
      <c r="F9" s="54"/>
      <c r="G9" s="54"/>
      <c r="H9" s="54">
        <f>E9</f>
        <v>0</v>
      </c>
      <c r="I9" s="55"/>
    </row>
    <row r="10" spans="1:9" x14ac:dyDescent="0.25">
      <c r="A10" s="49"/>
      <c r="B10" s="56"/>
      <c r="C10" s="51"/>
      <c r="D10" s="53"/>
      <c r="E10" s="53">
        <f t="shared" ref="E10:E21" si="0">E9+D10</f>
        <v>0</v>
      </c>
      <c r="F10" s="57"/>
      <c r="G10" s="54">
        <f t="shared" ref="G10:G21" si="1">G9+F10</f>
        <v>0</v>
      </c>
      <c r="H10" s="54">
        <f t="shared" ref="H10:H21" si="2">H9-F10+D10</f>
        <v>0</v>
      </c>
      <c r="I10" s="55"/>
    </row>
    <row r="11" spans="1:9" x14ac:dyDescent="0.25">
      <c r="A11" s="49"/>
      <c r="B11" s="50"/>
      <c r="C11" s="51"/>
      <c r="D11" s="53"/>
      <c r="E11" s="53">
        <f t="shared" si="0"/>
        <v>0</v>
      </c>
      <c r="F11" s="57"/>
      <c r="G11" s="54">
        <f t="shared" si="1"/>
        <v>0</v>
      </c>
      <c r="H11" s="54">
        <f t="shared" si="2"/>
        <v>0</v>
      </c>
      <c r="I11" s="55"/>
    </row>
    <row r="12" spans="1:9" x14ac:dyDescent="0.25">
      <c r="A12" s="49"/>
      <c r="B12" s="50"/>
      <c r="C12" s="51"/>
      <c r="D12" s="53"/>
      <c r="E12" s="53">
        <f t="shared" si="0"/>
        <v>0</v>
      </c>
      <c r="F12" s="57"/>
      <c r="G12" s="54">
        <f t="shared" si="1"/>
        <v>0</v>
      </c>
      <c r="H12" s="54">
        <f t="shared" si="2"/>
        <v>0</v>
      </c>
      <c r="I12" s="55"/>
    </row>
    <row r="13" spans="1:9" x14ac:dyDescent="0.25">
      <c r="A13" s="49"/>
      <c r="B13" s="50"/>
      <c r="C13" s="51"/>
      <c r="D13" s="53"/>
      <c r="E13" s="53">
        <f t="shared" si="0"/>
        <v>0</v>
      </c>
      <c r="F13" s="57"/>
      <c r="G13" s="54">
        <f t="shared" si="1"/>
        <v>0</v>
      </c>
      <c r="H13" s="54">
        <f t="shared" si="2"/>
        <v>0</v>
      </c>
      <c r="I13" s="55"/>
    </row>
    <row r="14" spans="1:9" x14ac:dyDescent="0.25">
      <c r="A14" s="49"/>
      <c r="B14" s="50"/>
      <c r="C14" s="51"/>
      <c r="D14" s="53"/>
      <c r="E14" s="53">
        <f t="shared" si="0"/>
        <v>0</v>
      </c>
      <c r="F14" s="54"/>
      <c r="G14" s="54">
        <f t="shared" si="1"/>
        <v>0</v>
      </c>
      <c r="H14" s="54">
        <f t="shared" si="2"/>
        <v>0</v>
      </c>
      <c r="I14" s="55"/>
    </row>
    <row r="15" spans="1:9" x14ac:dyDescent="0.25">
      <c r="A15" s="49"/>
      <c r="B15" s="50"/>
      <c r="C15" s="51"/>
      <c r="D15" s="53"/>
      <c r="E15" s="53">
        <f t="shared" si="0"/>
        <v>0</v>
      </c>
      <c r="F15" s="57"/>
      <c r="G15" s="54">
        <f t="shared" si="1"/>
        <v>0</v>
      </c>
      <c r="H15" s="54">
        <f t="shared" si="2"/>
        <v>0</v>
      </c>
      <c r="I15" s="55"/>
    </row>
    <row r="16" spans="1:9" x14ac:dyDescent="0.25">
      <c r="A16" s="49"/>
      <c r="B16" s="50"/>
      <c r="C16" s="51"/>
      <c r="D16" s="53"/>
      <c r="E16" s="53">
        <f t="shared" si="0"/>
        <v>0</v>
      </c>
      <c r="F16" s="57"/>
      <c r="G16" s="54">
        <f t="shared" si="1"/>
        <v>0</v>
      </c>
      <c r="H16" s="54">
        <f t="shared" si="2"/>
        <v>0</v>
      </c>
      <c r="I16" s="55"/>
    </row>
    <row r="17" spans="1:9" x14ac:dyDescent="0.25">
      <c r="A17" s="49"/>
      <c r="B17" s="50"/>
      <c r="C17" s="51"/>
      <c r="D17" s="53"/>
      <c r="E17" s="53">
        <f t="shared" si="0"/>
        <v>0</v>
      </c>
      <c r="F17" s="57"/>
      <c r="G17" s="54">
        <f t="shared" si="1"/>
        <v>0</v>
      </c>
      <c r="H17" s="54">
        <f t="shared" si="2"/>
        <v>0</v>
      </c>
      <c r="I17" s="55"/>
    </row>
    <row r="18" spans="1:9" x14ac:dyDescent="0.25">
      <c r="A18" s="49"/>
      <c r="B18" s="50"/>
      <c r="C18" s="51"/>
      <c r="D18" s="53"/>
      <c r="E18" s="53">
        <f t="shared" si="0"/>
        <v>0</v>
      </c>
      <c r="F18" s="57"/>
      <c r="G18" s="54">
        <f t="shared" si="1"/>
        <v>0</v>
      </c>
      <c r="H18" s="54">
        <f t="shared" si="2"/>
        <v>0</v>
      </c>
      <c r="I18" s="55"/>
    </row>
    <row r="19" spans="1:9" x14ac:dyDescent="0.25">
      <c r="A19" s="49"/>
      <c r="B19" s="50"/>
      <c r="C19" s="51"/>
      <c r="D19" s="53"/>
      <c r="E19" s="53">
        <f t="shared" si="0"/>
        <v>0</v>
      </c>
      <c r="F19" s="54"/>
      <c r="G19" s="54">
        <f t="shared" si="1"/>
        <v>0</v>
      </c>
      <c r="H19" s="54">
        <f t="shared" si="2"/>
        <v>0</v>
      </c>
      <c r="I19" s="55"/>
    </row>
    <row r="20" spans="1:9" x14ac:dyDescent="0.25">
      <c r="A20" s="49"/>
      <c r="B20" s="50"/>
      <c r="C20" s="51"/>
      <c r="D20" s="53"/>
      <c r="E20" s="53">
        <f t="shared" si="0"/>
        <v>0</v>
      </c>
      <c r="F20" s="54"/>
      <c r="G20" s="54">
        <f t="shared" si="1"/>
        <v>0</v>
      </c>
      <c r="H20" s="54">
        <f t="shared" si="2"/>
        <v>0</v>
      </c>
      <c r="I20" s="55"/>
    </row>
    <row r="21" spans="1:9" x14ac:dyDescent="0.25">
      <c r="A21" s="49"/>
      <c r="B21" s="50"/>
      <c r="C21" s="58"/>
      <c r="D21" s="53"/>
      <c r="E21" s="53">
        <f t="shared" si="0"/>
        <v>0</v>
      </c>
      <c r="F21" s="54"/>
      <c r="G21" s="54">
        <f t="shared" si="1"/>
        <v>0</v>
      </c>
      <c r="H21" s="54">
        <f t="shared" si="2"/>
        <v>0</v>
      </c>
      <c r="I21" s="55"/>
    </row>
    <row r="22" spans="1:9" x14ac:dyDescent="0.25">
      <c r="A22" s="49"/>
      <c r="B22" s="51"/>
      <c r="C22" s="59"/>
      <c r="D22" s="54"/>
      <c r="E22" s="54"/>
      <c r="F22" s="54"/>
      <c r="G22" s="54"/>
      <c r="H22" s="54"/>
      <c r="I22" s="55"/>
    </row>
    <row r="23" spans="1:9" ht="15.75" thickBot="1" x14ac:dyDescent="0.3">
      <c r="A23" s="49"/>
      <c r="B23" s="60"/>
      <c r="C23" s="61" t="s">
        <v>24</v>
      </c>
      <c r="D23" s="62">
        <f>SUM(D9:D22)</f>
        <v>0</v>
      </c>
      <c r="E23" s="62"/>
      <c r="F23" s="62">
        <f>SUM(F9:F22)</f>
        <v>0</v>
      </c>
      <c r="G23" s="62"/>
      <c r="H23" s="62">
        <f>D23-F23</f>
        <v>0</v>
      </c>
      <c r="I23" s="55"/>
    </row>
    <row r="24" spans="1:9" ht="15.75" thickTop="1" x14ac:dyDescent="0.25">
      <c r="A24" s="49"/>
      <c r="B24" s="51"/>
      <c r="C24" s="59"/>
      <c r="D24" s="54"/>
      <c r="E24" s="54"/>
      <c r="F24" s="54"/>
      <c r="G24" s="54"/>
      <c r="H24" s="54"/>
      <c r="I24" s="55"/>
    </row>
    <row r="25" spans="1:9" x14ac:dyDescent="0.25">
      <c r="A25" s="49"/>
      <c r="B25" s="51"/>
      <c r="C25" s="59"/>
      <c r="D25" s="54"/>
      <c r="E25" s="54"/>
      <c r="F25" s="54"/>
      <c r="G25" s="54"/>
      <c r="H25" s="54"/>
      <c r="I25" s="55"/>
    </row>
    <row r="26" spans="1:9" x14ac:dyDescent="0.25">
      <c r="A26" s="49"/>
      <c r="B26" s="51"/>
      <c r="C26" s="136" t="s">
        <v>110</v>
      </c>
      <c r="D26" s="137">
        <v>0</v>
      </c>
      <c r="E26" s="137"/>
      <c r="F26" s="137"/>
      <c r="G26" s="137"/>
      <c r="H26" s="137">
        <f>D26-F26</f>
        <v>0</v>
      </c>
      <c r="I26" s="55"/>
    </row>
    <row r="27" spans="1:9" x14ac:dyDescent="0.25">
      <c r="A27" s="49"/>
      <c r="B27" s="51"/>
      <c r="C27" s="136" t="s">
        <v>111</v>
      </c>
      <c r="D27" s="137">
        <v>0</v>
      </c>
      <c r="E27" s="137"/>
      <c r="F27" s="137"/>
      <c r="G27" s="137"/>
      <c r="H27" s="137">
        <f>D27-F27</f>
        <v>0</v>
      </c>
      <c r="I27" s="55"/>
    </row>
    <row r="28" spans="1:9" ht="15.75" thickBot="1" x14ac:dyDescent="0.3">
      <c r="A28" s="49"/>
      <c r="B28" s="51"/>
      <c r="C28" s="138" t="s">
        <v>67</v>
      </c>
      <c r="D28" s="139">
        <f>SUM(D26:D27)</f>
        <v>0</v>
      </c>
      <c r="E28" s="140"/>
      <c r="F28" s="139">
        <f>SUM(F26:F27)</f>
        <v>0</v>
      </c>
      <c r="G28" s="140"/>
      <c r="H28" s="139">
        <f>SUM(H26:H27)</f>
        <v>0</v>
      </c>
      <c r="I28" s="55"/>
    </row>
    <row r="29" spans="1:9" ht="15" customHeight="1" thickTop="1" x14ac:dyDescent="0.25"/>
  </sheetData>
  <conditionalFormatting sqref="I8:I23">
    <cfRule type="cellIs" dxfId="49" priority="1" operator="greaterThan">
      <formula>$H$23</formula>
    </cfRule>
  </conditionalFormatting>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BF20-9D9C-4F09-BE96-A0F6F6231FA0}">
  <sheetPr>
    <tabColor indexed="30"/>
    <pageSetUpPr fitToPage="1"/>
  </sheetPr>
  <dimension ref="A1:J24"/>
  <sheetViews>
    <sheetView topLeftCell="A54" zoomScaleNormal="100" workbookViewId="0">
      <selection activeCell="B13" sqref="B13:D13"/>
    </sheetView>
  </sheetViews>
  <sheetFormatPr defaultColWidth="11.42578125" defaultRowHeight="15" customHeight="1" x14ac:dyDescent="0.25"/>
  <cols>
    <col min="1" max="1" width="24.5703125" customWidth="1"/>
    <col min="2" max="3" width="9.42578125" customWidth="1"/>
    <col min="4" max="4" width="43.710937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#9495.00'!B1</f>
        <v>HHS IMHI Boiler #3 Replacement</v>
      </c>
      <c r="B1" s="3"/>
      <c r="C1" s="3"/>
      <c r="D1" s="4"/>
      <c r="E1" s="4"/>
      <c r="F1" s="4"/>
      <c r="G1" s="28"/>
      <c r="H1" s="28"/>
      <c r="I1" s="29"/>
      <c r="J1" s="29"/>
    </row>
    <row r="2" spans="1:10" ht="15.75" x14ac:dyDescent="0.25">
      <c r="A2" s="6" t="str">
        <f>'RECAP #9495.00'!B2</f>
        <v>Project # 9495.00</v>
      </c>
      <c r="B2" s="5"/>
      <c r="C2" s="5"/>
      <c r="D2" s="4"/>
      <c r="E2" s="4"/>
      <c r="F2" s="4"/>
      <c r="G2" s="28"/>
      <c r="H2" s="28"/>
      <c r="I2" s="29"/>
      <c r="J2" s="29"/>
    </row>
    <row r="3" spans="1:10" ht="15.75" x14ac:dyDescent="0.25">
      <c r="A3" s="7" t="str">
        <f>'RECAP #9495.00'!B3</f>
        <v>Program code 949500</v>
      </c>
      <c r="B3" s="5"/>
      <c r="C3" s="5"/>
      <c r="D3" s="4"/>
      <c r="E3" s="8" t="str">
        <f>'RECAP #9495.00'!E3</f>
        <v>Major Program 4E19</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231</v>
      </c>
      <c r="F6" s="42"/>
      <c r="G6" s="43"/>
      <c r="H6" s="39"/>
      <c r="I6" s="35"/>
      <c r="J6" s="29"/>
    </row>
    <row r="7" spans="1:10" ht="15.75" x14ac:dyDescent="0.25">
      <c r="A7" s="11" t="str">
        <f>'RECAP #9495.00'!B6</f>
        <v>Project Manager - Oliver S. (JE)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x14ac:dyDescent="0.25">
      <c r="A9" s="65"/>
      <c r="B9" s="50"/>
      <c r="C9" s="50"/>
      <c r="D9" s="59" t="s">
        <v>29</v>
      </c>
      <c r="E9" s="52"/>
      <c r="F9" s="53">
        <f>E9</f>
        <v>0</v>
      </c>
      <c r="G9" s="54"/>
      <c r="H9" s="54"/>
      <c r="I9" s="147">
        <f>F9</f>
        <v>0</v>
      </c>
      <c r="J9" s="55"/>
    </row>
    <row r="10" spans="1:10" x14ac:dyDescent="0.25">
      <c r="A10" s="70" t="s">
        <v>260</v>
      </c>
      <c r="B10" s="50">
        <v>45937</v>
      </c>
      <c r="C10" s="65" t="s">
        <v>261</v>
      </c>
      <c r="D10" s="144" t="s">
        <v>262</v>
      </c>
      <c r="E10" s="53"/>
      <c r="F10" s="53">
        <f t="shared" ref="F10:F21" si="0">F9+E10</f>
        <v>0</v>
      </c>
      <c r="G10" s="145">
        <v>274.14</v>
      </c>
      <c r="H10" s="54">
        <f t="shared" ref="H10:H21" si="1">H9+G10</f>
        <v>274.14</v>
      </c>
      <c r="I10" s="63">
        <f t="shared" ref="I10:I21" si="2">I9-G10+E10</f>
        <v>-274.14</v>
      </c>
      <c r="J10" s="55"/>
    </row>
    <row r="11" spans="1:10" x14ac:dyDescent="0.25">
      <c r="A11" s="70" t="s">
        <v>260</v>
      </c>
      <c r="B11" s="50">
        <v>45937</v>
      </c>
      <c r="C11" s="175">
        <v>9500</v>
      </c>
      <c r="D11" s="66" t="s">
        <v>263</v>
      </c>
      <c r="E11" s="53"/>
      <c r="F11" s="53">
        <f t="shared" si="0"/>
        <v>0</v>
      </c>
      <c r="G11" s="145">
        <v>1410.3</v>
      </c>
      <c r="H11" s="54">
        <f t="shared" si="1"/>
        <v>1684.44</v>
      </c>
      <c r="I11" s="63">
        <f t="shared" si="2"/>
        <v>-1684.44</v>
      </c>
      <c r="J11" s="55"/>
    </row>
    <row r="12" spans="1:10" x14ac:dyDescent="0.25">
      <c r="A12" s="70" t="s">
        <v>264</v>
      </c>
      <c r="B12" s="50">
        <v>45937</v>
      </c>
      <c r="C12" s="65">
        <v>2507</v>
      </c>
      <c r="D12" s="59" t="s">
        <v>265</v>
      </c>
      <c r="E12" s="53"/>
      <c r="F12" s="53">
        <f t="shared" si="0"/>
        <v>0</v>
      </c>
      <c r="G12" s="147">
        <v>-274.14</v>
      </c>
      <c r="H12" s="54">
        <f t="shared" si="1"/>
        <v>1410.3000000000002</v>
      </c>
      <c r="I12" s="63">
        <f t="shared" si="2"/>
        <v>-1410.3000000000002</v>
      </c>
      <c r="J12" s="55"/>
    </row>
    <row r="13" spans="1:10" x14ac:dyDescent="0.25">
      <c r="A13" s="70" t="s">
        <v>264</v>
      </c>
      <c r="B13" s="50">
        <v>45937</v>
      </c>
      <c r="C13" s="175">
        <v>9500</v>
      </c>
      <c r="D13" s="59" t="s">
        <v>265</v>
      </c>
      <c r="E13" s="53"/>
      <c r="F13" s="53">
        <f t="shared" si="0"/>
        <v>0</v>
      </c>
      <c r="G13" s="147">
        <v>-1410.3</v>
      </c>
      <c r="H13" s="54">
        <f t="shared" si="1"/>
        <v>0</v>
      </c>
      <c r="I13" s="54">
        <f t="shared" si="2"/>
        <v>-2.2737367544323206E-13</v>
      </c>
      <c r="J13" s="55"/>
    </row>
    <row r="14" spans="1:10" x14ac:dyDescent="0.25">
      <c r="A14" s="65"/>
      <c r="B14" s="50"/>
      <c r="C14" s="50"/>
      <c r="D14" s="59"/>
      <c r="E14" s="53"/>
      <c r="F14" s="53">
        <f t="shared" si="0"/>
        <v>0</v>
      </c>
      <c r="G14" s="54"/>
      <c r="H14" s="54">
        <f t="shared" si="1"/>
        <v>0</v>
      </c>
      <c r="I14" s="54">
        <f t="shared" si="2"/>
        <v>-2.2737367544323206E-13</v>
      </c>
      <c r="J14" s="55"/>
    </row>
    <row r="15" spans="1:10" x14ac:dyDescent="0.25">
      <c r="A15" s="65"/>
      <c r="B15" s="50"/>
      <c r="C15" s="50"/>
      <c r="D15" s="59"/>
      <c r="E15" s="53"/>
      <c r="F15" s="53">
        <f t="shared" si="0"/>
        <v>0</v>
      </c>
      <c r="G15" s="57"/>
      <c r="H15" s="54">
        <f t="shared" si="1"/>
        <v>0</v>
      </c>
      <c r="I15" s="54">
        <f t="shared" si="2"/>
        <v>-2.2737367544323206E-13</v>
      </c>
      <c r="J15" s="55"/>
    </row>
    <row r="16" spans="1:10" x14ac:dyDescent="0.25">
      <c r="A16" s="65"/>
      <c r="B16" s="50"/>
      <c r="C16" s="50"/>
      <c r="D16" s="59"/>
      <c r="E16" s="53"/>
      <c r="F16" s="53">
        <f t="shared" si="0"/>
        <v>0</v>
      </c>
      <c r="G16" s="57"/>
      <c r="H16" s="54">
        <f t="shared" si="1"/>
        <v>0</v>
      </c>
      <c r="I16" s="54">
        <f t="shared" si="2"/>
        <v>-2.2737367544323206E-13</v>
      </c>
      <c r="J16" s="55"/>
    </row>
    <row r="17" spans="1:10" x14ac:dyDescent="0.25">
      <c r="A17" s="65"/>
      <c r="B17" s="50"/>
      <c r="C17" s="50"/>
      <c r="D17" s="59"/>
      <c r="E17" s="53"/>
      <c r="F17" s="53">
        <f t="shared" si="0"/>
        <v>0</v>
      </c>
      <c r="G17" s="57"/>
      <c r="H17" s="54">
        <f t="shared" si="1"/>
        <v>0</v>
      </c>
      <c r="I17" s="54">
        <f t="shared" si="2"/>
        <v>-2.2737367544323206E-13</v>
      </c>
      <c r="J17" s="55"/>
    </row>
    <row r="18" spans="1:10" x14ac:dyDescent="0.25">
      <c r="A18" s="65"/>
      <c r="B18" s="50"/>
      <c r="C18" s="50"/>
      <c r="D18" s="59"/>
      <c r="E18" s="53"/>
      <c r="F18" s="53">
        <f t="shared" si="0"/>
        <v>0</v>
      </c>
      <c r="G18" s="57"/>
      <c r="H18" s="54">
        <f t="shared" si="1"/>
        <v>0</v>
      </c>
      <c r="I18" s="54">
        <f t="shared" si="2"/>
        <v>-2.2737367544323206E-13</v>
      </c>
      <c r="J18" s="55"/>
    </row>
    <row r="19" spans="1:10" x14ac:dyDescent="0.25">
      <c r="A19" s="65"/>
      <c r="B19" s="50"/>
      <c r="C19" s="50"/>
      <c r="D19" s="59"/>
      <c r="E19" s="53"/>
      <c r="F19" s="53">
        <f t="shared" si="0"/>
        <v>0</v>
      </c>
      <c r="G19" s="54"/>
      <c r="H19" s="54">
        <f t="shared" si="1"/>
        <v>0</v>
      </c>
      <c r="I19" s="54">
        <f t="shared" si="2"/>
        <v>-2.2737367544323206E-13</v>
      </c>
      <c r="J19" s="55"/>
    </row>
    <row r="20" spans="1:10" x14ac:dyDescent="0.25">
      <c r="A20" s="65"/>
      <c r="B20" s="50"/>
      <c r="C20" s="50"/>
      <c r="D20" s="59"/>
      <c r="E20" s="53"/>
      <c r="F20" s="53">
        <f t="shared" si="0"/>
        <v>0</v>
      </c>
      <c r="G20" s="54"/>
      <c r="H20" s="54">
        <f t="shared" si="1"/>
        <v>0</v>
      </c>
      <c r="I20" s="54">
        <f t="shared" si="2"/>
        <v>-2.2737367544323206E-13</v>
      </c>
      <c r="J20" s="55"/>
    </row>
    <row r="21" spans="1:10" x14ac:dyDescent="0.25">
      <c r="A21" s="65"/>
      <c r="B21" s="50"/>
      <c r="C21" s="50"/>
      <c r="D21" s="38"/>
      <c r="E21" s="53"/>
      <c r="F21" s="53">
        <f t="shared" si="0"/>
        <v>0</v>
      </c>
      <c r="G21" s="54"/>
      <c r="H21" s="54">
        <f t="shared" si="1"/>
        <v>0</v>
      </c>
      <c r="I21" s="54">
        <f t="shared" si="2"/>
        <v>-2.2737367544323206E-13</v>
      </c>
      <c r="J21" s="55"/>
    </row>
    <row r="22" spans="1:10" x14ac:dyDescent="0.25">
      <c r="A22" s="49"/>
      <c r="B22" s="51"/>
      <c r="C22" s="51"/>
      <c r="D22" s="59"/>
      <c r="E22" s="54"/>
      <c r="F22" s="54"/>
      <c r="G22" s="54"/>
      <c r="H22" s="54"/>
      <c r="I22" s="54"/>
      <c r="J22" s="55"/>
    </row>
    <row r="23" spans="1:10" ht="15.75" thickBot="1" x14ac:dyDescent="0.3">
      <c r="A23" s="49"/>
      <c r="B23" s="60"/>
      <c r="C23" s="60"/>
      <c r="D23" s="61" t="s">
        <v>24</v>
      </c>
      <c r="E23" s="62">
        <f>SUM(E9:E22)</f>
        <v>0</v>
      </c>
      <c r="F23" s="62"/>
      <c r="G23" s="62">
        <f>SUM(G9:G22)</f>
        <v>0</v>
      </c>
      <c r="H23" s="62"/>
      <c r="I23" s="62">
        <f>E23-G23</f>
        <v>0</v>
      </c>
      <c r="J23" s="55"/>
    </row>
    <row r="24" spans="1:10" ht="15" customHeight="1" thickTop="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D5CD-B65A-498B-864D-58FB5989CAC0}">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#9495.00'!B1</f>
        <v>HHS IMHI Boiler #3 Replacement</v>
      </c>
      <c r="B1" s="3"/>
      <c r="C1" s="3"/>
      <c r="D1" s="3"/>
      <c r="E1" s="4"/>
      <c r="F1" s="4"/>
      <c r="G1" s="4"/>
      <c r="H1" s="28"/>
    </row>
    <row r="2" spans="1:8" ht="15.75" x14ac:dyDescent="0.25">
      <c r="A2" s="6" t="str">
        <f>'RECAP #9495.00'!B2</f>
        <v>Project # 9495.00</v>
      </c>
      <c r="B2" s="5"/>
      <c r="C2" s="5"/>
      <c r="D2" s="5"/>
      <c r="E2" s="4"/>
      <c r="F2" s="4"/>
      <c r="G2" s="4"/>
      <c r="H2" s="28"/>
    </row>
    <row r="3" spans="1:8" ht="15.75" x14ac:dyDescent="0.25">
      <c r="A3" s="7" t="str">
        <f>'RECAP #9495.00'!B3</f>
        <v>Program code 949500</v>
      </c>
      <c r="B3" s="5"/>
      <c r="C3" s="5"/>
      <c r="D3" s="5"/>
      <c r="E3" s="8" t="str">
        <f>'RECAP #9495.00'!E3</f>
        <v>Major Program 4E19</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95</v>
      </c>
      <c r="F6" s="35"/>
      <c r="G6" s="38"/>
      <c r="H6" s="39"/>
    </row>
    <row r="7" spans="1:8" ht="15.75" x14ac:dyDescent="0.25">
      <c r="A7" s="11" t="str">
        <f>'RECAP #9495.00'!B6</f>
        <v>Project Manager - Oliver S. (JE)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x14ac:dyDescent="0.25">
      <c r="A9" s="58"/>
      <c r="B9" s="50"/>
      <c r="C9" s="49"/>
      <c r="D9" s="49"/>
      <c r="E9" s="70"/>
      <c r="F9" s="71"/>
      <c r="G9" s="63"/>
      <c r="H9" s="63">
        <f>G9</f>
        <v>0</v>
      </c>
    </row>
    <row r="10" spans="1:8" x14ac:dyDescent="0.25">
      <c r="A10" s="65"/>
      <c r="B10" s="50"/>
      <c r="C10" s="59"/>
      <c r="D10" s="59"/>
      <c r="E10" s="38"/>
      <c r="F10" s="24"/>
      <c r="G10" s="63"/>
      <c r="H10" s="63">
        <f>H9+G10</f>
        <v>0</v>
      </c>
    </row>
    <row r="11" spans="1:8" x14ac:dyDescent="0.25">
      <c r="A11" s="65"/>
      <c r="B11" s="50"/>
      <c r="C11" s="50"/>
      <c r="D11" s="50"/>
      <c r="E11" s="38"/>
      <c r="F11" s="24"/>
      <c r="G11" s="63"/>
      <c r="H11" s="63">
        <f t="shared" ref="H11:H20" si="0">H10+G11</f>
        <v>0</v>
      </c>
    </row>
    <row r="12" spans="1:8" x14ac:dyDescent="0.25">
      <c r="A12" s="65" t="s">
        <v>2</v>
      </c>
      <c r="B12" s="50" t="s">
        <v>2</v>
      </c>
      <c r="C12" s="50"/>
      <c r="D12" s="50"/>
      <c r="E12" s="38" t="s">
        <v>2</v>
      </c>
      <c r="F12" s="24"/>
      <c r="G12" s="63"/>
      <c r="H12" s="63">
        <f t="shared" si="0"/>
        <v>0</v>
      </c>
    </row>
    <row r="13" spans="1:8" x14ac:dyDescent="0.25">
      <c r="A13" s="65" t="s">
        <v>2</v>
      </c>
      <c r="B13" s="50" t="s">
        <v>2</v>
      </c>
      <c r="C13" s="50"/>
      <c r="D13" s="50"/>
      <c r="E13" s="38" t="s">
        <v>2</v>
      </c>
      <c r="F13" s="24"/>
      <c r="G13" s="63"/>
      <c r="H13" s="63">
        <f t="shared" si="0"/>
        <v>0</v>
      </c>
    </row>
    <row r="14" spans="1:8" x14ac:dyDescent="0.25">
      <c r="A14" s="65"/>
      <c r="B14" s="50"/>
      <c r="C14" s="50"/>
      <c r="D14" s="50"/>
      <c r="E14" s="38"/>
      <c r="F14" s="24"/>
      <c r="G14" s="63"/>
      <c r="H14" s="63">
        <f t="shared" si="0"/>
        <v>0</v>
      </c>
    </row>
    <row r="15" spans="1:8" x14ac:dyDescent="0.25">
      <c r="A15" s="65"/>
      <c r="B15" s="50"/>
      <c r="C15" s="50"/>
      <c r="D15" s="50"/>
      <c r="E15" s="72"/>
      <c r="F15" s="24"/>
      <c r="G15" s="63"/>
      <c r="H15" s="63">
        <f t="shared" si="0"/>
        <v>0</v>
      </c>
    </row>
    <row r="16" spans="1:8" x14ac:dyDescent="0.25">
      <c r="A16" s="65"/>
      <c r="B16" s="50"/>
      <c r="C16" s="50"/>
      <c r="D16" s="50"/>
      <c r="E16" s="38"/>
      <c r="F16" s="24"/>
      <c r="G16" s="63"/>
      <c r="H16" s="63">
        <f t="shared" si="0"/>
        <v>0</v>
      </c>
    </row>
    <row r="17" spans="1:8" x14ac:dyDescent="0.25">
      <c r="A17" s="49"/>
      <c r="B17" s="50"/>
      <c r="C17" s="50"/>
      <c r="D17" s="50"/>
      <c r="E17" s="38"/>
      <c r="F17" s="24"/>
      <c r="G17" s="63"/>
      <c r="H17" s="63">
        <f t="shared" si="0"/>
        <v>0</v>
      </c>
    </row>
    <row r="18" spans="1:8" x14ac:dyDescent="0.25">
      <c r="A18" s="49"/>
      <c r="B18" s="50"/>
      <c r="C18" s="50"/>
      <c r="D18" s="50"/>
      <c r="E18" s="38"/>
      <c r="F18" s="24"/>
      <c r="G18" s="63"/>
      <c r="H18" s="63">
        <f t="shared" si="0"/>
        <v>0</v>
      </c>
    </row>
    <row r="19" spans="1:8" x14ac:dyDescent="0.25">
      <c r="A19" s="49"/>
      <c r="B19" s="50"/>
      <c r="C19" s="50"/>
      <c r="D19" s="50"/>
      <c r="E19" s="38"/>
      <c r="F19" s="24"/>
      <c r="G19" s="63"/>
      <c r="H19" s="63">
        <f t="shared" si="0"/>
        <v>0</v>
      </c>
    </row>
    <row r="20" spans="1:8" x14ac:dyDescent="0.25">
      <c r="A20" s="49"/>
      <c r="B20" s="50"/>
      <c r="C20" s="50"/>
      <c r="D20" s="50"/>
      <c r="E20" s="38"/>
      <c r="F20" s="24"/>
      <c r="G20" s="63"/>
      <c r="H20" s="63">
        <f t="shared" si="0"/>
        <v>0</v>
      </c>
    </row>
    <row r="21" spans="1:8" x14ac:dyDescent="0.25">
      <c r="A21" s="49"/>
      <c r="B21" s="59"/>
      <c r="C21" s="59"/>
      <c r="D21" s="59"/>
      <c r="E21" s="38"/>
      <c r="F21" s="63"/>
      <c r="G21" s="38"/>
      <c r="H21" s="63"/>
    </row>
    <row r="22" spans="1:8" ht="15.75" thickBot="1" x14ac:dyDescent="0.3">
      <c r="A22" s="73"/>
      <c r="B22" s="74"/>
      <c r="C22" s="74"/>
      <c r="D22" s="74"/>
      <c r="E22" s="75" t="s">
        <v>24</v>
      </c>
      <c r="F22" s="76"/>
      <c r="G22" s="62">
        <f>SUM(G9:G21)</f>
        <v>0</v>
      </c>
      <c r="H22" s="76"/>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40BD7-C025-4206-8E58-5E640FFFE08F}">
  <sheetPr>
    <pageSetUpPr fitToPage="1"/>
  </sheetPr>
  <dimension ref="A1:G18"/>
  <sheetViews>
    <sheetView zoomScaleNormal="100" workbookViewId="0">
      <selection activeCell="E23" sqref="E23"/>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150</v>
      </c>
      <c r="C1" s="3"/>
      <c r="D1" s="4"/>
      <c r="E1" s="4"/>
      <c r="F1" s="4"/>
      <c r="G1" s="4"/>
    </row>
    <row r="2" spans="1:7" ht="15.75" x14ac:dyDescent="0.25">
      <c r="A2" s="1"/>
      <c r="B2" s="6" t="s">
        <v>182</v>
      </c>
      <c r="C2" s="5"/>
      <c r="D2" s="4"/>
      <c r="E2" s="4"/>
      <c r="F2" s="4"/>
      <c r="G2" s="4"/>
    </row>
    <row r="3" spans="1:7" ht="15.75" x14ac:dyDescent="0.25">
      <c r="A3" s="1"/>
      <c r="B3" s="7" t="s">
        <v>183</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462</v>
      </c>
      <c r="C6" s="12"/>
      <c r="D6" s="13" t="s">
        <v>2</v>
      </c>
      <c r="E6" s="4"/>
      <c r="F6" s="4"/>
      <c r="G6" s="4"/>
    </row>
    <row r="7" spans="1:7" ht="31.5" customHeight="1" thickBot="1" x14ac:dyDescent="0.3">
      <c r="A7" s="1"/>
      <c r="B7" s="14" t="s">
        <v>2</v>
      </c>
      <c r="C7" s="15" t="s">
        <v>3</v>
      </c>
      <c r="D7" s="16" t="s">
        <v>4</v>
      </c>
      <c r="E7" s="17" t="s">
        <v>5</v>
      </c>
      <c r="F7" s="18" t="s">
        <v>6</v>
      </c>
      <c r="G7" s="18" t="s">
        <v>7</v>
      </c>
    </row>
    <row r="8" spans="1:7" ht="28.35" customHeight="1" x14ac:dyDescent="0.25">
      <c r="A8" s="1"/>
      <c r="B8" s="1" t="s">
        <v>8</v>
      </c>
      <c r="C8" s="19">
        <f>FINANCIAL!G19</f>
        <v>370000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73" t="s">
        <v>250</v>
      </c>
      <c r="B10" s="247" t="s">
        <v>253</v>
      </c>
      <c r="C10" s="248"/>
      <c r="D10" s="251">
        <f>'#9496.00 McGough Construction'!D23</f>
        <v>17972.330000000002</v>
      </c>
      <c r="E10" s="251">
        <f>'#9496.00 McGough Construction'!F23</f>
        <v>17972.330000000002</v>
      </c>
      <c r="F10" s="251">
        <f>'#9496.00 McGough Construction'!H23</f>
        <v>0</v>
      </c>
      <c r="G10" s="250"/>
    </row>
    <row r="11" spans="1:7" s="223" customFormat="1" ht="12.75" customHeight="1" x14ac:dyDescent="0.25">
      <c r="A11" s="246"/>
      <c r="B11" s="247" t="s">
        <v>10</v>
      </c>
      <c r="C11" s="248"/>
      <c r="D11" s="251">
        <f>'#9496.00 PM TIME'!E35</f>
        <v>10000</v>
      </c>
      <c r="E11" s="251">
        <f>'#9496.00 PM TIME'!G35</f>
        <v>5848.71</v>
      </c>
      <c r="F11" s="251">
        <f>'#9496.00 PM TIME'!I35</f>
        <v>4151.29</v>
      </c>
      <c r="G11" s="250"/>
    </row>
    <row r="12" spans="1:7" s="223" customFormat="1" ht="12.75" customHeight="1" x14ac:dyDescent="0.25">
      <c r="A12" s="246"/>
      <c r="B12" s="247" t="s">
        <v>11</v>
      </c>
      <c r="C12" s="249"/>
      <c r="D12" s="252">
        <f>'#9496.00 Misc'!G22</f>
        <v>2168</v>
      </c>
      <c r="E12" s="252">
        <f>'#9496.00 Misc'!G22</f>
        <v>2168</v>
      </c>
      <c r="F12" s="251">
        <v>0</v>
      </c>
      <c r="G12" s="250"/>
    </row>
    <row r="13" spans="1:7" s="223" customFormat="1" ht="12.75" customHeight="1" x14ac:dyDescent="0.25">
      <c r="A13" s="246"/>
      <c r="B13" s="247" t="s">
        <v>395</v>
      </c>
      <c r="C13" s="249"/>
      <c r="D13" s="252">
        <f>'#9496.00 CMB Architects'!D23</f>
        <v>37360</v>
      </c>
      <c r="E13" s="252">
        <f>'#9496.00 CMB Architects'!F23</f>
        <v>25296</v>
      </c>
      <c r="F13" s="251">
        <f>'#9496.00 CMB Architects'!H23</f>
        <v>12064</v>
      </c>
      <c r="G13" s="250"/>
    </row>
    <row r="14" spans="1:7" s="223" customFormat="1" ht="12.75" customHeight="1" x14ac:dyDescent="0.25">
      <c r="A14" s="246"/>
      <c r="B14" s="247" t="s">
        <v>1118</v>
      </c>
      <c r="C14" s="249"/>
      <c r="D14" s="252">
        <f>'#9496.00 McGough Constructi (2)'!D23</f>
        <v>32155.59</v>
      </c>
      <c r="E14" s="252">
        <f>'#9496.00 McGough Constructi (2)'!F23</f>
        <v>7553.43</v>
      </c>
      <c r="F14" s="251">
        <f>'#9496.00 McGough Constructi (2)'!H23</f>
        <v>24602.16</v>
      </c>
      <c r="G14" s="250"/>
    </row>
    <row r="15" spans="1:7" s="223" customFormat="1" ht="12.75" customHeight="1" x14ac:dyDescent="0.25">
      <c r="A15" s="246"/>
      <c r="B15" s="247" t="s">
        <v>1145</v>
      </c>
      <c r="C15" s="249"/>
      <c r="D15" s="252">
        <f>'#9496.00 Timekey Enterprise'!D23</f>
        <v>226518</v>
      </c>
      <c r="E15" s="252">
        <f>'#9496.00 Timekey Enterprise'!F23</f>
        <v>5071.45</v>
      </c>
      <c r="F15" s="251">
        <f>'#9496.00 Timekey Enterprise'!H23</f>
        <v>221446.55</v>
      </c>
      <c r="G15" s="250"/>
    </row>
    <row r="16" spans="1:7" s="223" customFormat="1" ht="12.75" customHeight="1" x14ac:dyDescent="0.25">
      <c r="A16" s="246"/>
      <c r="B16" s="247"/>
      <c r="C16" s="249"/>
      <c r="D16" s="252"/>
      <c r="E16" s="252"/>
      <c r="F16" s="251"/>
      <c r="G16" s="250"/>
    </row>
    <row r="17" spans="1:7" ht="24" customHeight="1" thickBot="1" x14ac:dyDescent="0.3">
      <c r="A17" s="25"/>
      <c r="B17" s="26" t="s">
        <v>12</v>
      </c>
      <c r="C17" s="27">
        <f>SUM(C8:C16)</f>
        <v>370000</v>
      </c>
      <c r="D17" s="27">
        <f>SUM(D8:D16)</f>
        <v>326173.92</v>
      </c>
      <c r="E17" s="27">
        <f>SUM(E8:E16)</f>
        <v>63909.919999999998</v>
      </c>
      <c r="F17" s="27">
        <f>SUM(D17-E17)</f>
        <v>262264</v>
      </c>
      <c r="G17" s="27">
        <f>C8-D17</f>
        <v>43826.080000000016</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D7A34-561C-4D5F-B438-4044B2FED772}">
  <sheetPr>
    <tabColor rgb="FF0070C0"/>
    <pageSetUpPr fitToPage="1"/>
  </sheetPr>
  <dimension ref="A1:I176"/>
  <sheetViews>
    <sheetView topLeftCell="A6" zoomScaleNormal="100" workbookViewId="0">
      <selection activeCell="C35" sqref="C35"/>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1.28515625" style="274" bestFit="1" customWidth="1"/>
    <col min="9" max="9" width="6.42578125" style="274" bestFit="1"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#9496.00'!B1</f>
        <v>DOC NCCF Replace Windows in Education Building</v>
      </c>
      <c r="B1" s="30"/>
      <c r="C1" s="153"/>
      <c r="D1" s="153"/>
      <c r="E1" s="153"/>
      <c r="F1" s="156"/>
      <c r="G1" s="156"/>
      <c r="H1" s="179"/>
      <c r="I1" s="179"/>
    </row>
    <row r="2" spans="1:9" ht="15.75" x14ac:dyDescent="0.25">
      <c r="A2" s="31" t="str">
        <f>'RECAP #9496.00'!B2</f>
        <v>Project # 9496.00</v>
      </c>
      <c r="B2" s="150"/>
      <c r="C2" s="153"/>
      <c r="D2" s="153"/>
      <c r="E2" s="153"/>
      <c r="F2" s="156"/>
      <c r="G2" s="156"/>
      <c r="H2" s="179"/>
      <c r="I2" s="179"/>
    </row>
    <row r="3" spans="1:9" ht="15.75" x14ac:dyDescent="0.25">
      <c r="A3" s="154" t="str">
        <f>'RECAP #9496.00'!B3</f>
        <v>Program code 949600</v>
      </c>
      <c r="B3" s="150"/>
      <c r="C3" s="153"/>
      <c r="D3" s="155" t="str">
        <f>'RECAP #9496.00'!E3</f>
        <v>Major Program 4E01</v>
      </c>
      <c r="E3" s="153"/>
      <c r="F3" s="156"/>
      <c r="G3" s="156"/>
      <c r="H3" s="179"/>
      <c r="I3" s="179"/>
    </row>
    <row r="4" spans="1:9" ht="15.75" x14ac:dyDescent="0.25">
      <c r="A4" s="30" t="s">
        <v>253</v>
      </c>
      <c r="B4" s="31"/>
      <c r="C4" s="179"/>
      <c r="D4" s="180" t="s">
        <v>254</v>
      </c>
      <c r="E4" s="156"/>
      <c r="F4" s="156"/>
      <c r="G4" s="156"/>
      <c r="H4" s="179"/>
      <c r="I4" s="179"/>
    </row>
    <row r="5" spans="1:9" ht="15.75" x14ac:dyDescent="0.25">
      <c r="A5" s="181" t="s">
        <v>104</v>
      </c>
      <c r="B5" s="179"/>
      <c r="C5" s="182"/>
      <c r="D5" s="37" t="s">
        <v>255</v>
      </c>
      <c r="E5" s="42"/>
      <c r="F5" s="156"/>
      <c r="G5" s="156"/>
      <c r="H5" s="179"/>
      <c r="I5" s="179"/>
    </row>
    <row r="6" spans="1:9" ht="15.75" x14ac:dyDescent="0.25">
      <c r="A6" s="31" t="str">
        <f>'RECAP #9496.00'!B6</f>
        <v>Project Manager - Jennie E</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463</v>
      </c>
      <c r="B9" s="276">
        <v>46045</v>
      </c>
      <c r="C9" s="277" t="s">
        <v>109</v>
      </c>
      <c r="D9" s="278">
        <v>17978.830000000002</v>
      </c>
      <c r="E9" s="279">
        <f>D9</f>
        <v>17978.830000000002</v>
      </c>
      <c r="F9" s="280"/>
      <c r="G9" s="280"/>
      <c r="H9" s="280">
        <f>E9</f>
        <v>17978.830000000002</v>
      </c>
      <c r="I9" s="281"/>
    </row>
    <row r="10" spans="1:9" s="282" customFormat="1" ht="12.75" customHeight="1" x14ac:dyDescent="0.25">
      <c r="A10" s="275" t="s">
        <v>551</v>
      </c>
      <c r="B10" s="283">
        <v>46065</v>
      </c>
      <c r="C10" s="277" t="s">
        <v>552</v>
      </c>
      <c r="D10" s="279"/>
      <c r="E10" s="279">
        <f t="shared" ref="E10:E21" si="0">E9+D10</f>
        <v>17978.830000000002</v>
      </c>
      <c r="F10" s="284">
        <v>1050.8499999999999</v>
      </c>
      <c r="G10" s="280">
        <f t="shared" ref="G10:G21" si="1">G9+F10</f>
        <v>1050.8499999999999</v>
      </c>
      <c r="H10" s="280">
        <f t="shared" ref="H10:H21" si="2">H9-F10+D10</f>
        <v>16927.980000000003</v>
      </c>
      <c r="I10" s="281"/>
    </row>
    <row r="11" spans="1:9" s="282" customFormat="1" ht="12.75" customHeight="1" x14ac:dyDescent="0.25">
      <c r="A11" s="275" t="s">
        <v>640</v>
      </c>
      <c r="B11" s="276">
        <v>46091</v>
      </c>
      <c r="C11" s="277" t="s">
        <v>641</v>
      </c>
      <c r="D11" s="279"/>
      <c r="E11" s="279">
        <f t="shared" si="0"/>
        <v>17978.830000000002</v>
      </c>
      <c r="F11" s="284">
        <v>2475.96</v>
      </c>
      <c r="G11" s="280">
        <f t="shared" si="1"/>
        <v>3526.81</v>
      </c>
      <c r="H11" s="280">
        <f t="shared" si="2"/>
        <v>14452.020000000004</v>
      </c>
      <c r="I11" s="281"/>
    </row>
    <row r="12" spans="1:9" s="282" customFormat="1" ht="12.75" customHeight="1" x14ac:dyDescent="0.25">
      <c r="A12" s="275" t="s">
        <v>762</v>
      </c>
      <c r="B12" s="276">
        <v>46125</v>
      </c>
      <c r="C12" s="277" t="s">
        <v>763</v>
      </c>
      <c r="D12" s="279"/>
      <c r="E12" s="279">
        <f t="shared" si="0"/>
        <v>17978.830000000002</v>
      </c>
      <c r="F12" s="284">
        <v>4984.45</v>
      </c>
      <c r="G12" s="280">
        <f t="shared" si="1"/>
        <v>8511.26</v>
      </c>
      <c r="H12" s="280">
        <f t="shared" si="2"/>
        <v>9467.5700000000033</v>
      </c>
      <c r="I12" s="281"/>
    </row>
    <row r="13" spans="1:9" s="282" customFormat="1" ht="12.75" customHeight="1" x14ac:dyDescent="0.25">
      <c r="A13" s="275" t="s">
        <v>924</v>
      </c>
      <c r="B13" s="276">
        <v>46164</v>
      </c>
      <c r="C13" s="277" t="s">
        <v>925</v>
      </c>
      <c r="D13" s="279"/>
      <c r="E13" s="279">
        <f t="shared" si="0"/>
        <v>17978.830000000002</v>
      </c>
      <c r="F13" s="284">
        <v>3975.23</v>
      </c>
      <c r="G13" s="280">
        <f t="shared" si="1"/>
        <v>12486.49</v>
      </c>
      <c r="H13" s="280">
        <f t="shared" si="2"/>
        <v>5492.3400000000038</v>
      </c>
      <c r="I13" s="281"/>
    </row>
    <row r="14" spans="1:9" s="282" customFormat="1" ht="12.75" customHeight="1" x14ac:dyDescent="0.25">
      <c r="A14" s="275" t="s">
        <v>1038</v>
      </c>
      <c r="B14" s="276">
        <v>46189</v>
      </c>
      <c r="C14" s="277" t="s">
        <v>1039</v>
      </c>
      <c r="D14" s="279"/>
      <c r="E14" s="279">
        <f t="shared" si="0"/>
        <v>17978.830000000002</v>
      </c>
      <c r="F14" s="284">
        <v>4131.71</v>
      </c>
      <c r="G14" s="280">
        <f t="shared" si="1"/>
        <v>16618.2</v>
      </c>
      <c r="H14" s="280">
        <f t="shared" si="2"/>
        <v>1360.6300000000037</v>
      </c>
      <c r="I14" s="281"/>
    </row>
    <row r="15" spans="1:9" s="282" customFormat="1" ht="12.75" customHeight="1" x14ac:dyDescent="0.25">
      <c r="A15" s="275" t="s">
        <v>1156</v>
      </c>
      <c r="B15" s="276">
        <v>46209</v>
      </c>
      <c r="C15" s="277" t="s">
        <v>1157</v>
      </c>
      <c r="D15" s="285">
        <v>-6.5</v>
      </c>
      <c r="E15" s="279">
        <f t="shared" si="0"/>
        <v>17972.330000000002</v>
      </c>
      <c r="F15" s="284">
        <v>1354.13</v>
      </c>
      <c r="G15" s="280">
        <f t="shared" si="1"/>
        <v>17972.330000000002</v>
      </c>
      <c r="H15" s="280">
        <f t="shared" si="2"/>
        <v>3.637978807091713E-12</v>
      </c>
      <c r="I15" s="281"/>
    </row>
    <row r="16" spans="1:9" s="282" customFormat="1" ht="12.75" customHeight="1" x14ac:dyDescent="0.25">
      <c r="A16" s="275"/>
      <c r="B16" s="276"/>
      <c r="C16" s="277"/>
      <c r="D16" s="279"/>
      <c r="E16" s="279">
        <f t="shared" si="0"/>
        <v>17972.330000000002</v>
      </c>
      <c r="F16" s="284"/>
      <c r="G16" s="280">
        <f t="shared" si="1"/>
        <v>17972.330000000002</v>
      </c>
      <c r="H16" s="280">
        <f t="shared" si="2"/>
        <v>3.637978807091713E-12</v>
      </c>
      <c r="I16" s="281"/>
    </row>
    <row r="17" spans="1:9" s="282" customFormat="1" ht="12.75" customHeight="1" x14ac:dyDescent="0.25">
      <c r="A17" s="275"/>
      <c r="B17" s="276"/>
      <c r="C17" s="277"/>
      <c r="D17" s="279"/>
      <c r="E17" s="279">
        <f t="shared" si="0"/>
        <v>17972.330000000002</v>
      </c>
      <c r="F17" s="284"/>
      <c r="G17" s="280">
        <f t="shared" si="1"/>
        <v>17972.330000000002</v>
      </c>
      <c r="H17" s="280">
        <f t="shared" si="2"/>
        <v>3.637978807091713E-12</v>
      </c>
      <c r="I17" s="281"/>
    </row>
    <row r="18" spans="1:9" s="282" customFormat="1" ht="12.75" customHeight="1" x14ac:dyDescent="0.25">
      <c r="A18" s="275"/>
      <c r="B18" s="276"/>
      <c r="C18" s="277"/>
      <c r="D18" s="279"/>
      <c r="E18" s="279">
        <f t="shared" si="0"/>
        <v>17972.330000000002</v>
      </c>
      <c r="F18" s="284"/>
      <c r="G18" s="280">
        <f t="shared" si="1"/>
        <v>17972.330000000002</v>
      </c>
      <c r="H18" s="280">
        <f t="shared" si="2"/>
        <v>3.637978807091713E-12</v>
      </c>
      <c r="I18" s="281"/>
    </row>
    <row r="19" spans="1:9" s="282" customFormat="1" ht="12.75" customHeight="1" x14ac:dyDescent="0.25">
      <c r="A19" s="275"/>
      <c r="B19" s="276"/>
      <c r="C19" s="277"/>
      <c r="D19" s="279"/>
      <c r="E19" s="279">
        <f t="shared" si="0"/>
        <v>17972.330000000002</v>
      </c>
      <c r="F19" s="280"/>
      <c r="G19" s="280">
        <f t="shared" si="1"/>
        <v>17972.330000000002</v>
      </c>
      <c r="H19" s="280">
        <f t="shared" si="2"/>
        <v>3.637978807091713E-12</v>
      </c>
      <c r="I19" s="281"/>
    </row>
    <row r="20" spans="1:9" s="282" customFormat="1" ht="12.75" customHeight="1" x14ac:dyDescent="0.25">
      <c r="A20" s="275"/>
      <c r="B20" s="276"/>
      <c r="C20" s="277"/>
      <c r="D20" s="279"/>
      <c r="E20" s="279">
        <f t="shared" si="0"/>
        <v>17972.330000000002</v>
      </c>
      <c r="F20" s="280"/>
      <c r="G20" s="280">
        <f t="shared" si="1"/>
        <v>17972.330000000002</v>
      </c>
      <c r="H20" s="280">
        <f t="shared" si="2"/>
        <v>3.637978807091713E-12</v>
      </c>
      <c r="I20" s="281"/>
    </row>
    <row r="21" spans="1:9" s="282" customFormat="1" ht="12.75" customHeight="1" x14ac:dyDescent="0.25">
      <c r="A21" s="275"/>
      <c r="B21" s="276"/>
      <c r="C21" s="286"/>
      <c r="D21" s="279"/>
      <c r="E21" s="279">
        <f t="shared" si="0"/>
        <v>17972.330000000002</v>
      </c>
      <c r="F21" s="280"/>
      <c r="G21" s="280">
        <f t="shared" si="1"/>
        <v>17972.330000000002</v>
      </c>
      <c r="H21" s="280">
        <f t="shared" si="2"/>
        <v>3.637978807091713E-12</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17972.330000000002</v>
      </c>
      <c r="E23" s="290"/>
      <c r="F23" s="290">
        <f>SUM(F9:F22)</f>
        <v>17972.330000000002</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v>17378.830000000002</v>
      </c>
      <c r="E26" s="292"/>
      <c r="F26" s="292">
        <f>1050.85+2416.46+4810.45+3855.23+3891.71+1354.13</f>
        <v>17378.830000000002</v>
      </c>
      <c r="G26" s="292"/>
      <c r="H26" s="292">
        <f>D26-F26</f>
        <v>0</v>
      </c>
      <c r="I26" s="281"/>
    </row>
    <row r="27" spans="1:9" s="282" customFormat="1" ht="12.75" customHeight="1" x14ac:dyDescent="0.25">
      <c r="A27" s="275"/>
      <c r="B27" s="277"/>
      <c r="C27" s="287" t="s">
        <v>111</v>
      </c>
      <c r="D27" s="292">
        <f>600-6.5</f>
        <v>593.5</v>
      </c>
      <c r="E27" s="292"/>
      <c r="F27" s="292">
        <f>59.5+174+120+240</f>
        <v>593.5</v>
      </c>
      <c r="G27" s="292"/>
      <c r="H27" s="292">
        <f>D27-F27</f>
        <v>0</v>
      </c>
      <c r="I27" s="281"/>
    </row>
    <row r="28" spans="1:9" s="282" customFormat="1" ht="12.75" customHeight="1" thickBot="1" x14ac:dyDescent="0.3">
      <c r="A28" s="275"/>
      <c r="B28" s="277"/>
      <c r="C28" s="293" t="s">
        <v>67</v>
      </c>
      <c r="D28" s="290">
        <f>SUM(D26:D27)</f>
        <v>17972.330000000002</v>
      </c>
      <c r="E28" s="294"/>
      <c r="F28" s="290">
        <f>SUM(F26:F27)</f>
        <v>17972.330000000002</v>
      </c>
      <c r="G28" s="294"/>
      <c r="H28" s="290">
        <f>SUM(H26:H27)</f>
        <v>0</v>
      </c>
      <c r="I28" s="281"/>
    </row>
    <row r="29" spans="1:9" s="282" customFormat="1" ht="12.75" customHeight="1" thickTop="1" x14ac:dyDescent="0.25"/>
    <row r="30" spans="1:9" s="282" customFormat="1" ht="12.75" customHeight="1" x14ac:dyDescent="0.25"/>
    <row r="31" spans="1:9" s="282" customFormat="1" ht="12.75" customHeight="1" x14ac:dyDescent="0.25"/>
    <row r="32" spans="1:9" s="282" customFormat="1" ht="12.75" customHeight="1" x14ac:dyDescent="0.25"/>
    <row r="33" s="282" customFormat="1" ht="12.75" customHeight="1" x14ac:dyDescent="0.25"/>
    <row r="34" s="282" customFormat="1" ht="12.75" customHeight="1" x14ac:dyDescent="0.25"/>
    <row r="35" s="282" customFormat="1" ht="12.75" customHeight="1" x14ac:dyDescent="0.25"/>
    <row r="36" s="282" customFormat="1" ht="12.75" customHeight="1" x14ac:dyDescent="0.25"/>
    <row r="37" s="282" customFormat="1" ht="12.75" customHeight="1" x14ac:dyDescent="0.25"/>
    <row r="38" s="282" customFormat="1" ht="12.75" customHeight="1" x14ac:dyDescent="0.25"/>
    <row r="39" s="282" customFormat="1" ht="12.75" customHeight="1" x14ac:dyDescent="0.25"/>
    <row r="40" s="282" customFormat="1" ht="12.75" customHeight="1" x14ac:dyDescent="0.25"/>
    <row r="41" s="282" customFormat="1" ht="12.75" customHeight="1" x14ac:dyDescent="0.25"/>
    <row r="42" s="282" customFormat="1" ht="12.75" customHeight="1" x14ac:dyDescent="0.25"/>
    <row r="43" s="282" customFormat="1" ht="12.75" customHeight="1" x14ac:dyDescent="0.25"/>
    <row r="44" s="282" customFormat="1" ht="12.75" customHeight="1" x14ac:dyDescent="0.25"/>
    <row r="45" s="282" customFormat="1" ht="12.75" customHeight="1" x14ac:dyDescent="0.25"/>
    <row r="46" s="282" customFormat="1" ht="12.75" customHeight="1" x14ac:dyDescent="0.25"/>
    <row r="47" s="282" customFormat="1" ht="12.75" customHeight="1" x14ac:dyDescent="0.25"/>
    <row r="48" s="282" customFormat="1" ht="12.75" customHeight="1" x14ac:dyDescent="0.25"/>
    <row r="49" s="282" customFormat="1" ht="12.75" customHeight="1" x14ac:dyDescent="0.25"/>
    <row r="50" s="282" customFormat="1" ht="12.75" customHeight="1" x14ac:dyDescent="0.25"/>
    <row r="51" s="282" customFormat="1" ht="12.75" customHeight="1" x14ac:dyDescent="0.25"/>
    <row r="52" s="282" customFormat="1" ht="12.75" customHeight="1" x14ac:dyDescent="0.25"/>
    <row r="53" s="282" customFormat="1" ht="12.75" customHeight="1" x14ac:dyDescent="0.25"/>
    <row r="54" s="282" customFormat="1" ht="12.75" customHeight="1" x14ac:dyDescent="0.25"/>
    <row r="55" s="282" customFormat="1" ht="12.75" customHeight="1" x14ac:dyDescent="0.25"/>
    <row r="56" s="282" customFormat="1" ht="12.75" customHeight="1" x14ac:dyDescent="0.25"/>
    <row r="57" s="282" customFormat="1" ht="12.75" customHeight="1" x14ac:dyDescent="0.25"/>
    <row r="58" s="282" customFormat="1" ht="12.75" customHeight="1" x14ac:dyDescent="0.25"/>
    <row r="59" s="282" customFormat="1" ht="12.75" customHeight="1" x14ac:dyDescent="0.25"/>
    <row r="60" s="282" customFormat="1" ht="12.75" customHeight="1" x14ac:dyDescent="0.25"/>
    <row r="61" s="282" customFormat="1" ht="12.75" customHeight="1" x14ac:dyDescent="0.25"/>
    <row r="62" s="282" customFormat="1" ht="12.75" customHeight="1" x14ac:dyDescent="0.25"/>
    <row r="63" s="282" customFormat="1" ht="12.75" customHeight="1" x14ac:dyDescent="0.25"/>
    <row r="64" s="282" customFormat="1" ht="12.75" customHeight="1" x14ac:dyDescent="0.25"/>
    <row r="65" s="282" customFormat="1" ht="12.75" customHeight="1" x14ac:dyDescent="0.25"/>
    <row r="66" s="282" customFormat="1" ht="12.75" customHeight="1" x14ac:dyDescent="0.25"/>
    <row r="67" s="282" customFormat="1" ht="12.75" customHeight="1" x14ac:dyDescent="0.25"/>
    <row r="68" s="282" customFormat="1" ht="12.75" customHeight="1" x14ac:dyDescent="0.25"/>
    <row r="69" s="282" customFormat="1" ht="12.75" customHeight="1" x14ac:dyDescent="0.25"/>
    <row r="70" s="282" customFormat="1" ht="12.75" customHeight="1" x14ac:dyDescent="0.25"/>
    <row r="71" s="282" customFormat="1" ht="12.75" customHeight="1" x14ac:dyDescent="0.25"/>
    <row r="72" s="282" customFormat="1" ht="12.75" customHeight="1" x14ac:dyDescent="0.25"/>
    <row r="73" s="282" customFormat="1" ht="12.75" customHeight="1" x14ac:dyDescent="0.25"/>
    <row r="74" s="282" customFormat="1" ht="12.75" customHeight="1" x14ac:dyDescent="0.25"/>
    <row r="75" s="282" customFormat="1" ht="12.75" customHeight="1" x14ac:dyDescent="0.25"/>
    <row r="76" s="282" customFormat="1" ht="12.75" customHeight="1" x14ac:dyDescent="0.25"/>
    <row r="77" s="282" customFormat="1" ht="12.75" customHeight="1" x14ac:dyDescent="0.25"/>
    <row r="78" s="282" customFormat="1" ht="12.75" customHeight="1" x14ac:dyDescent="0.25"/>
    <row r="79" s="282" customFormat="1" ht="12.75" customHeight="1" x14ac:dyDescent="0.25"/>
    <row r="80" s="282" customFormat="1" ht="12.75" customHeight="1" x14ac:dyDescent="0.25"/>
    <row r="81" s="282" customFormat="1" ht="12.75" customHeight="1" x14ac:dyDescent="0.25"/>
    <row r="82" s="282" customFormat="1" ht="12.75" customHeight="1" x14ac:dyDescent="0.25"/>
    <row r="83" s="282" customFormat="1" ht="12.75" customHeight="1" x14ac:dyDescent="0.25"/>
    <row r="84" s="282" customFormat="1" ht="12.75" customHeight="1" x14ac:dyDescent="0.25"/>
    <row r="85" s="282" customFormat="1" ht="12.75" customHeight="1" x14ac:dyDescent="0.25"/>
    <row r="86" s="282" customFormat="1" ht="12.75" customHeight="1" x14ac:dyDescent="0.25"/>
    <row r="87" s="282" customFormat="1" ht="12.75" customHeight="1" x14ac:dyDescent="0.25"/>
    <row r="88" s="282" customFormat="1" ht="12.75" customHeight="1" x14ac:dyDescent="0.25"/>
    <row r="89" s="282" customFormat="1" ht="12.75" customHeight="1" x14ac:dyDescent="0.25"/>
    <row r="90" s="282" customFormat="1" ht="12.75" customHeight="1" x14ac:dyDescent="0.25"/>
    <row r="91" s="282" customFormat="1" ht="12.75" customHeight="1" x14ac:dyDescent="0.25"/>
    <row r="92" s="282" customFormat="1" ht="12.75" customHeight="1" x14ac:dyDescent="0.25"/>
    <row r="93" s="282" customFormat="1" ht="12.75" customHeight="1" x14ac:dyDescent="0.25"/>
    <row r="94" s="282" customFormat="1" ht="12.75" customHeight="1" x14ac:dyDescent="0.25"/>
    <row r="95" s="282" customFormat="1" ht="12.75" customHeight="1" x14ac:dyDescent="0.25"/>
    <row r="96" s="282" customFormat="1" ht="12.75" customHeight="1" x14ac:dyDescent="0.25"/>
    <row r="97" s="282" customFormat="1" ht="12.75" customHeight="1" x14ac:dyDescent="0.25"/>
    <row r="98" s="282" customFormat="1" ht="12.75" customHeight="1" x14ac:dyDescent="0.25"/>
    <row r="99" s="282" customFormat="1" ht="12.75" customHeight="1" x14ac:dyDescent="0.25"/>
    <row r="100" s="282" customFormat="1" ht="12.75" customHeight="1" x14ac:dyDescent="0.25"/>
    <row r="101" s="282" customFormat="1" ht="12.75" customHeight="1" x14ac:dyDescent="0.25"/>
    <row r="102" s="282" customFormat="1" ht="12.75" customHeight="1" x14ac:dyDescent="0.25"/>
    <row r="103" s="282" customFormat="1" ht="12.75" customHeight="1" x14ac:dyDescent="0.25"/>
    <row r="104" s="282" customFormat="1" ht="12.75" customHeight="1" x14ac:dyDescent="0.25"/>
    <row r="105" s="282" customFormat="1" ht="12.75" customHeight="1" x14ac:dyDescent="0.25"/>
    <row r="106" s="282" customFormat="1" ht="12.75" customHeight="1" x14ac:dyDescent="0.25"/>
    <row r="107" s="282" customFormat="1" ht="12.75" customHeight="1" x14ac:dyDescent="0.25"/>
    <row r="108" s="282" customFormat="1" ht="12.75" customHeight="1" x14ac:dyDescent="0.25"/>
    <row r="109" s="282" customFormat="1" ht="12.75" customHeight="1" x14ac:dyDescent="0.25"/>
    <row r="110" s="282" customFormat="1" ht="12.75" customHeight="1" x14ac:dyDescent="0.25"/>
    <row r="111" s="282" customFormat="1" ht="12.75" customHeight="1" x14ac:dyDescent="0.25"/>
    <row r="112" s="282" customFormat="1" ht="12.75" customHeight="1" x14ac:dyDescent="0.25"/>
    <row r="113" s="282" customFormat="1" ht="12.75" customHeight="1" x14ac:dyDescent="0.25"/>
    <row r="114" s="282" customFormat="1" ht="12.75" customHeight="1" x14ac:dyDescent="0.25"/>
    <row r="115" s="282" customFormat="1" ht="12.75" customHeight="1" x14ac:dyDescent="0.25"/>
    <row r="116" s="282" customFormat="1" ht="12.75" customHeight="1" x14ac:dyDescent="0.25"/>
    <row r="117" s="282" customFormat="1" ht="12.75" customHeight="1" x14ac:dyDescent="0.25"/>
    <row r="118" s="282" customFormat="1" ht="12.75" customHeight="1" x14ac:dyDescent="0.25"/>
    <row r="119" s="282" customFormat="1" ht="12.75" customHeight="1" x14ac:dyDescent="0.25"/>
    <row r="120" s="282" customFormat="1" ht="12.75" customHeight="1" x14ac:dyDescent="0.25"/>
    <row r="121" s="282" customFormat="1" ht="12.75" customHeight="1" x14ac:dyDescent="0.25"/>
    <row r="122" s="282" customFormat="1" ht="12.75" customHeight="1" x14ac:dyDescent="0.25"/>
    <row r="123" s="282" customFormat="1" ht="12.75" customHeight="1" x14ac:dyDescent="0.25"/>
    <row r="124" s="282" customFormat="1" ht="12.75" customHeight="1" x14ac:dyDescent="0.25"/>
    <row r="125" s="282" customFormat="1" ht="12.75" customHeight="1" x14ac:dyDescent="0.25"/>
    <row r="126" s="282" customFormat="1" ht="12.75" customHeight="1" x14ac:dyDescent="0.25"/>
    <row r="127" s="282" customFormat="1" ht="12.75" customHeight="1" x14ac:dyDescent="0.25"/>
    <row r="128" s="282" customFormat="1" ht="12.75" customHeight="1" x14ac:dyDescent="0.25"/>
    <row r="129" s="282" customFormat="1" ht="12.75" customHeight="1" x14ac:dyDescent="0.25"/>
    <row r="130" s="282" customFormat="1" ht="12.75" customHeight="1" x14ac:dyDescent="0.25"/>
    <row r="131" s="282" customFormat="1" ht="12.75" customHeight="1" x14ac:dyDescent="0.25"/>
    <row r="132" s="282" customFormat="1" ht="12.75" customHeight="1" x14ac:dyDescent="0.25"/>
    <row r="133" s="282" customFormat="1" ht="12.75" customHeight="1" x14ac:dyDescent="0.25"/>
    <row r="134" s="282" customFormat="1" ht="12.75" customHeight="1" x14ac:dyDescent="0.25"/>
    <row r="135" s="282" customFormat="1" ht="12.75" customHeight="1" x14ac:dyDescent="0.25"/>
    <row r="136" s="282" customFormat="1" ht="12.75" customHeight="1" x14ac:dyDescent="0.25"/>
    <row r="137" s="282" customFormat="1" ht="12.75" customHeight="1" x14ac:dyDescent="0.25"/>
    <row r="138" s="282" customFormat="1" ht="12.75" customHeight="1" x14ac:dyDescent="0.25"/>
    <row r="139" s="282" customFormat="1" ht="12.75" customHeight="1" x14ac:dyDescent="0.25"/>
    <row r="140" s="282" customFormat="1" ht="12.75" customHeight="1" x14ac:dyDescent="0.25"/>
    <row r="141" s="282" customFormat="1" ht="12.75" customHeight="1" x14ac:dyDescent="0.25"/>
    <row r="142" s="282" customFormat="1" ht="12.75" customHeight="1" x14ac:dyDescent="0.25"/>
    <row r="143" s="282" customFormat="1" ht="12.75" customHeight="1" x14ac:dyDescent="0.25"/>
    <row r="144" s="282" customFormat="1" ht="12.75" customHeight="1" x14ac:dyDescent="0.25"/>
    <row r="145" s="282" customFormat="1" ht="12.75" customHeight="1" x14ac:dyDescent="0.25"/>
    <row r="146" s="282" customFormat="1" ht="12.75" customHeight="1" x14ac:dyDescent="0.25"/>
    <row r="147" s="282" customFormat="1" ht="12.75" customHeight="1" x14ac:dyDescent="0.25"/>
    <row r="148" s="282" customFormat="1" ht="12.75" customHeight="1" x14ac:dyDescent="0.25"/>
    <row r="149" s="282" customFormat="1" ht="12.75" customHeight="1" x14ac:dyDescent="0.25"/>
    <row r="150" s="282" customFormat="1" ht="12.75" customHeight="1" x14ac:dyDescent="0.25"/>
    <row r="151" s="282" customFormat="1" ht="12.75" customHeight="1" x14ac:dyDescent="0.25"/>
    <row r="152" s="282" customFormat="1" ht="12.75" customHeight="1" x14ac:dyDescent="0.25"/>
    <row r="153" s="282" customFormat="1" ht="12.75" customHeight="1" x14ac:dyDescent="0.25"/>
    <row r="154" s="282" customFormat="1" ht="12.75" customHeight="1" x14ac:dyDescent="0.25"/>
    <row r="155" s="282" customFormat="1" ht="12.75" customHeight="1" x14ac:dyDescent="0.25"/>
    <row r="156" s="282" customFormat="1" ht="12.75" customHeight="1" x14ac:dyDescent="0.25"/>
    <row r="157" s="282" customFormat="1" ht="12.75" customHeight="1" x14ac:dyDescent="0.25"/>
    <row r="158" s="282" customFormat="1" ht="12.75" customHeight="1" x14ac:dyDescent="0.25"/>
    <row r="159" s="282" customFormat="1" ht="12.75" customHeight="1" x14ac:dyDescent="0.25"/>
    <row r="160" s="282" customFormat="1" ht="12.75" customHeight="1" x14ac:dyDescent="0.25"/>
    <row r="161" s="282" customFormat="1" ht="12.75" customHeight="1" x14ac:dyDescent="0.25"/>
    <row r="162" s="282" customFormat="1" ht="12.75" customHeight="1" x14ac:dyDescent="0.25"/>
    <row r="163" s="282" customFormat="1" ht="12.75" customHeight="1" x14ac:dyDescent="0.25"/>
    <row r="164" s="282" customFormat="1" ht="12.75" customHeight="1" x14ac:dyDescent="0.25"/>
    <row r="165" s="282" customFormat="1" ht="12.75" customHeight="1" x14ac:dyDescent="0.25"/>
    <row r="166" s="282" customFormat="1" ht="12.75" customHeight="1" x14ac:dyDescent="0.25"/>
    <row r="167" s="282" customFormat="1" ht="12.75" customHeight="1" x14ac:dyDescent="0.25"/>
    <row r="168" s="282" customFormat="1" ht="12.75" customHeight="1" x14ac:dyDescent="0.25"/>
    <row r="169" s="282" customFormat="1" ht="12.75" customHeight="1" x14ac:dyDescent="0.25"/>
    <row r="170" s="282" customFormat="1" ht="12.75" customHeight="1" x14ac:dyDescent="0.25"/>
    <row r="171" s="282" customFormat="1" ht="12.75" customHeight="1" x14ac:dyDescent="0.25"/>
    <row r="172" s="282" customFormat="1" ht="12.75" customHeight="1" x14ac:dyDescent="0.25"/>
    <row r="173" s="282" customFormat="1" ht="12.75" customHeight="1" x14ac:dyDescent="0.25"/>
    <row r="174" s="282" customFormat="1" ht="12.75" customHeight="1" x14ac:dyDescent="0.25"/>
    <row r="175" s="282" customFormat="1" ht="12.75" customHeight="1" x14ac:dyDescent="0.25"/>
    <row r="176" s="282" customFormat="1" ht="12.75" customHeight="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C3394-390E-497E-BAC4-A211461A6AD1}">
  <sheetPr>
    <pageSetUpPr fitToPage="1"/>
  </sheetPr>
  <dimension ref="A1:J38"/>
  <sheetViews>
    <sheetView topLeftCell="A14" zoomScaleNormal="100" workbookViewId="0">
      <selection activeCell="F41" sqref="F41:F42"/>
    </sheetView>
  </sheetViews>
  <sheetFormatPr defaultColWidth="11.42578125" defaultRowHeight="15" customHeight="1" x14ac:dyDescent="0.25"/>
  <cols>
    <col min="1" max="1" width="24.5703125" customWidth="1"/>
    <col min="2" max="3" width="9.42578125" customWidth="1"/>
    <col min="4" max="4" width="41.7109375" customWidth="1"/>
    <col min="5" max="5" width="12.5703125" customWidth="1"/>
    <col min="6" max="6" width="13.5703125" customWidth="1"/>
    <col min="7" max="7" width="12.42578125" customWidth="1"/>
    <col min="8" max="8" width="10.5703125" customWidth="1"/>
    <col min="9" max="9" width="11.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#9496.00'!B1</f>
        <v>DOC NCCF Replace Windows in Education Building</v>
      </c>
      <c r="B1" s="3"/>
      <c r="C1" s="3"/>
      <c r="D1" s="4"/>
      <c r="E1" s="4"/>
      <c r="F1" s="4"/>
      <c r="G1" s="28"/>
      <c r="H1" s="28"/>
      <c r="I1" s="29"/>
      <c r="J1" s="29"/>
    </row>
    <row r="2" spans="1:10" ht="15.75" x14ac:dyDescent="0.25">
      <c r="A2" s="6" t="str">
        <f>'RECAP #9496.00'!B2</f>
        <v>Project # 9496.00</v>
      </c>
      <c r="B2" s="5"/>
      <c r="C2" s="5"/>
      <c r="D2" s="4"/>
      <c r="E2" s="4"/>
      <c r="F2" s="4"/>
      <c r="G2" s="28"/>
      <c r="H2" s="28"/>
      <c r="I2" s="29"/>
      <c r="J2" s="29"/>
    </row>
    <row r="3" spans="1:10" ht="15.75" x14ac:dyDescent="0.25">
      <c r="A3" s="7" t="str">
        <f>'RECAP #9496.00'!B3</f>
        <v>Program code 949600</v>
      </c>
      <c r="B3" s="5"/>
      <c r="C3" s="5"/>
      <c r="D3" s="4"/>
      <c r="E3" s="8" t="str">
        <f>'RECAP #9496.00'!E3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232</v>
      </c>
      <c r="F6" s="42"/>
      <c r="G6" s="43"/>
      <c r="H6" s="39"/>
      <c r="I6" s="35"/>
      <c r="J6" s="29"/>
    </row>
    <row r="7" spans="1:10" ht="15.75" x14ac:dyDescent="0.25">
      <c r="A7" s="11" t="str">
        <f>'RECAP #9496.00'!B6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v>10000</v>
      </c>
      <c r="F9" s="233">
        <f>E9</f>
        <v>10000</v>
      </c>
      <c r="G9" s="234"/>
      <c r="H9" s="234"/>
      <c r="I9" s="234">
        <f>F9</f>
        <v>10000</v>
      </c>
      <c r="J9" s="235"/>
    </row>
    <row r="10" spans="1:10" s="223" customFormat="1" ht="12.75" customHeight="1" x14ac:dyDescent="0.25">
      <c r="A10" s="176" t="s">
        <v>314</v>
      </c>
      <c r="B10" s="177">
        <v>45968</v>
      </c>
      <c r="C10" s="241" t="s">
        <v>261</v>
      </c>
      <c r="D10" s="148" t="s">
        <v>315</v>
      </c>
      <c r="E10" s="233"/>
      <c r="F10" s="233">
        <f t="shared" ref="F10:F33" si="0">F9+E10</f>
        <v>10000</v>
      </c>
      <c r="G10" s="237">
        <v>44.07</v>
      </c>
      <c r="H10" s="234">
        <f t="shared" ref="H10:H33" si="1">H9+G10</f>
        <v>44.07</v>
      </c>
      <c r="I10" s="234">
        <f t="shared" ref="I10:I33" si="2">I9-G10+E10</f>
        <v>9955.93</v>
      </c>
      <c r="J10" s="235"/>
    </row>
    <row r="11" spans="1:10" s="223" customFormat="1" ht="12.75" customHeight="1" x14ac:dyDescent="0.25">
      <c r="A11" s="176" t="s">
        <v>314</v>
      </c>
      <c r="B11" s="177">
        <v>45968</v>
      </c>
      <c r="C11" s="241">
        <v>9500</v>
      </c>
      <c r="D11" s="149" t="s">
        <v>316</v>
      </c>
      <c r="E11" s="233"/>
      <c r="F11" s="233">
        <f t="shared" si="0"/>
        <v>10000</v>
      </c>
      <c r="G11" s="237">
        <v>438.1</v>
      </c>
      <c r="H11" s="234">
        <f t="shared" si="1"/>
        <v>482.17</v>
      </c>
      <c r="I11" s="234">
        <f t="shared" si="2"/>
        <v>9517.83</v>
      </c>
      <c r="J11" s="235"/>
    </row>
    <row r="12" spans="1:10" s="223" customFormat="1" ht="12.75" customHeight="1" x14ac:dyDescent="0.2">
      <c r="A12" s="70" t="s">
        <v>364</v>
      </c>
      <c r="B12" s="50">
        <v>45996</v>
      </c>
      <c r="C12" s="53" t="s">
        <v>261</v>
      </c>
      <c r="D12" s="144" t="s">
        <v>365</v>
      </c>
      <c r="E12" s="233"/>
      <c r="F12" s="233">
        <f t="shared" si="0"/>
        <v>10000</v>
      </c>
      <c r="G12" s="237">
        <v>6.95</v>
      </c>
      <c r="H12" s="234">
        <f t="shared" si="1"/>
        <v>489.12</v>
      </c>
      <c r="I12" s="234">
        <f t="shared" si="2"/>
        <v>9510.8799999999992</v>
      </c>
      <c r="J12" s="235"/>
    </row>
    <row r="13" spans="1:10" s="223" customFormat="1" ht="12.75" customHeight="1" x14ac:dyDescent="0.2">
      <c r="A13" s="70" t="s">
        <v>364</v>
      </c>
      <c r="B13" s="50">
        <v>45996</v>
      </c>
      <c r="C13" s="268">
        <v>9500</v>
      </c>
      <c r="D13" s="66" t="s">
        <v>366</v>
      </c>
      <c r="E13" s="233"/>
      <c r="F13" s="233">
        <f t="shared" si="0"/>
        <v>10000</v>
      </c>
      <c r="G13" s="237">
        <v>44.3</v>
      </c>
      <c r="H13" s="234">
        <f t="shared" si="1"/>
        <v>533.41999999999996</v>
      </c>
      <c r="I13" s="234">
        <f t="shared" si="2"/>
        <v>9466.58</v>
      </c>
      <c r="J13" s="235"/>
    </row>
    <row r="14" spans="1:10" s="223" customFormat="1" ht="12.75" customHeight="1" x14ac:dyDescent="0.2">
      <c r="A14" s="70" t="s">
        <v>548</v>
      </c>
      <c r="B14" s="50">
        <v>46062</v>
      </c>
      <c r="C14" s="53" t="s">
        <v>261</v>
      </c>
      <c r="D14" s="144" t="s">
        <v>549</v>
      </c>
      <c r="E14" s="233"/>
      <c r="F14" s="233">
        <f t="shared" si="0"/>
        <v>10000</v>
      </c>
      <c r="G14" s="237">
        <v>34.96</v>
      </c>
      <c r="H14" s="234">
        <f t="shared" si="1"/>
        <v>568.38</v>
      </c>
      <c r="I14" s="234">
        <f t="shared" si="2"/>
        <v>9431.6200000000008</v>
      </c>
      <c r="J14" s="235"/>
    </row>
    <row r="15" spans="1:10" s="223" customFormat="1" ht="12.75" customHeight="1" x14ac:dyDescent="0.2">
      <c r="A15" s="70" t="s">
        <v>548</v>
      </c>
      <c r="B15" s="50">
        <v>46062</v>
      </c>
      <c r="C15" s="268">
        <v>9500</v>
      </c>
      <c r="D15" s="66" t="s">
        <v>550</v>
      </c>
      <c r="E15" s="233"/>
      <c r="F15" s="233">
        <f t="shared" si="0"/>
        <v>10000</v>
      </c>
      <c r="G15" s="237">
        <v>437.4</v>
      </c>
      <c r="H15" s="234">
        <f t="shared" si="1"/>
        <v>1005.78</v>
      </c>
      <c r="I15" s="234">
        <f t="shared" si="2"/>
        <v>8994.2200000000012</v>
      </c>
      <c r="J15" s="235"/>
    </row>
    <row r="16" spans="1:10" s="223" customFormat="1" ht="12.75" customHeight="1" x14ac:dyDescent="0.2">
      <c r="A16" s="70" t="s">
        <v>644</v>
      </c>
      <c r="B16" s="50">
        <v>46090</v>
      </c>
      <c r="C16" s="53" t="s">
        <v>261</v>
      </c>
      <c r="D16" s="144" t="s">
        <v>645</v>
      </c>
      <c r="E16" s="233"/>
      <c r="F16" s="233">
        <f t="shared" si="0"/>
        <v>10000</v>
      </c>
      <c r="G16" s="237">
        <v>116.64</v>
      </c>
      <c r="H16" s="234">
        <f t="shared" si="1"/>
        <v>1122.42</v>
      </c>
      <c r="I16" s="234">
        <f t="shared" si="2"/>
        <v>8877.5800000000017</v>
      </c>
      <c r="J16" s="235"/>
    </row>
    <row r="17" spans="1:10" s="223" customFormat="1" ht="12.75" customHeight="1" x14ac:dyDescent="0.2">
      <c r="A17" s="70" t="s">
        <v>644</v>
      </c>
      <c r="B17" s="50">
        <v>46090</v>
      </c>
      <c r="C17" s="268">
        <v>9500</v>
      </c>
      <c r="D17" s="66" t="s">
        <v>646</v>
      </c>
      <c r="E17" s="233"/>
      <c r="F17" s="233">
        <f t="shared" si="0"/>
        <v>10000</v>
      </c>
      <c r="G17" s="237">
        <v>1343.9</v>
      </c>
      <c r="H17" s="234">
        <f t="shared" si="1"/>
        <v>2466.3200000000002</v>
      </c>
      <c r="I17" s="234">
        <f t="shared" si="2"/>
        <v>7533.6800000000021</v>
      </c>
      <c r="J17" s="235"/>
    </row>
    <row r="18" spans="1:10" s="223" customFormat="1" ht="12.75" customHeight="1" x14ac:dyDescent="0.2">
      <c r="A18" s="70" t="s">
        <v>744</v>
      </c>
      <c r="B18" s="50">
        <v>46118</v>
      </c>
      <c r="C18" s="53" t="s">
        <v>261</v>
      </c>
      <c r="D18" s="144" t="s">
        <v>745</v>
      </c>
      <c r="E18" s="233"/>
      <c r="F18" s="233">
        <f t="shared" si="0"/>
        <v>10000</v>
      </c>
      <c r="G18" s="237">
        <v>78.239999999999995</v>
      </c>
      <c r="H18" s="234">
        <f t="shared" si="1"/>
        <v>2544.56</v>
      </c>
      <c r="I18" s="234">
        <f t="shared" si="2"/>
        <v>7455.4400000000023</v>
      </c>
      <c r="J18" s="235"/>
    </row>
    <row r="19" spans="1:10" s="223" customFormat="1" ht="12.75" customHeight="1" x14ac:dyDescent="0.2">
      <c r="A19" s="70" t="s">
        <v>744</v>
      </c>
      <c r="B19" s="50">
        <v>46118</v>
      </c>
      <c r="C19" s="268">
        <v>9500</v>
      </c>
      <c r="D19" s="66" t="s">
        <v>746</v>
      </c>
      <c r="E19" s="233"/>
      <c r="F19" s="233">
        <f t="shared" si="0"/>
        <v>10000</v>
      </c>
      <c r="G19" s="237">
        <v>631.4</v>
      </c>
      <c r="H19" s="234">
        <f t="shared" si="1"/>
        <v>3175.96</v>
      </c>
      <c r="I19" s="234">
        <f t="shared" si="2"/>
        <v>6824.0400000000027</v>
      </c>
      <c r="J19" s="235"/>
    </row>
    <row r="20" spans="1:10" s="223" customFormat="1" ht="12.75" customHeight="1" x14ac:dyDescent="0.2">
      <c r="A20" s="70" t="s">
        <v>869</v>
      </c>
      <c r="B20" s="50">
        <v>46149</v>
      </c>
      <c r="C20" s="53" t="s">
        <v>261</v>
      </c>
      <c r="D20" s="144" t="s">
        <v>870</v>
      </c>
      <c r="E20" s="233"/>
      <c r="F20" s="233">
        <f t="shared" si="0"/>
        <v>10000</v>
      </c>
      <c r="G20" s="237">
        <v>96.6</v>
      </c>
      <c r="H20" s="234">
        <f t="shared" si="1"/>
        <v>3272.56</v>
      </c>
      <c r="I20" s="234">
        <f t="shared" si="2"/>
        <v>6727.4400000000023</v>
      </c>
      <c r="J20" s="235"/>
    </row>
    <row r="21" spans="1:10" s="223" customFormat="1" ht="12.75" customHeight="1" x14ac:dyDescent="0.2">
      <c r="A21" s="70" t="s">
        <v>869</v>
      </c>
      <c r="B21" s="50">
        <v>46149</v>
      </c>
      <c r="C21" s="268">
        <v>9500</v>
      </c>
      <c r="D21" s="66" t="s">
        <v>871</v>
      </c>
      <c r="E21" s="233"/>
      <c r="F21" s="233">
        <f t="shared" si="0"/>
        <v>10000</v>
      </c>
      <c r="G21" s="237">
        <v>1034.3</v>
      </c>
      <c r="H21" s="234">
        <f t="shared" si="1"/>
        <v>4306.8599999999997</v>
      </c>
      <c r="I21" s="234">
        <f t="shared" si="2"/>
        <v>5693.1400000000021</v>
      </c>
      <c r="J21" s="235"/>
    </row>
    <row r="22" spans="1:10" s="223" customFormat="1" ht="12.75" customHeight="1" x14ac:dyDescent="0.2">
      <c r="A22" s="70" t="s">
        <v>984</v>
      </c>
      <c r="B22" s="50">
        <v>46181</v>
      </c>
      <c r="C22" s="53" t="s">
        <v>261</v>
      </c>
      <c r="D22" s="144" t="s">
        <v>985</v>
      </c>
      <c r="E22" s="233"/>
      <c r="F22" s="233">
        <f t="shared" si="0"/>
        <v>10000</v>
      </c>
      <c r="G22" s="237">
        <v>15.79</v>
      </c>
      <c r="H22" s="234">
        <f t="shared" si="1"/>
        <v>4322.6499999999996</v>
      </c>
      <c r="I22" s="234">
        <f t="shared" si="2"/>
        <v>5677.3500000000022</v>
      </c>
      <c r="J22" s="235"/>
    </row>
    <row r="23" spans="1:10" s="223" customFormat="1" ht="12.75" customHeight="1" x14ac:dyDescent="0.2">
      <c r="A23" s="70" t="s">
        <v>984</v>
      </c>
      <c r="B23" s="50">
        <v>46181</v>
      </c>
      <c r="C23" s="268">
        <v>9500</v>
      </c>
      <c r="D23" s="66" t="s">
        <v>986</v>
      </c>
      <c r="E23" s="233"/>
      <c r="F23" s="233">
        <f t="shared" si="0"/>
        <v>10000</v>
      </c>
      <c r="G23" s="237">
        <v>218.8</v>
      </c>
      <c r="H23" s="234">
        <f t="shared" si="1"/>
        <v>4541.45</v>
      </c>
      <c r="I23" s="234">
        <f t="shared" si="2"/>
        <v>5458.550000000002</v>
      </c>
      <c r="J23" s="235"/>
    </row>
    <row r="24" spans="1:10" s="223" customFormat="1" ht="12.75" customHeight="1" x14ac:dyDescent="0.2">
      <c r="A24" s="70" t="s">
        <v>1186</v>
      </c>
      <c r="B24" s="50">
        <v>46211</v>
      </c>
      <c r="C24" s="53" t="s">
        <v>261</v>
      </c>
      <c r="D24" s="144" t="s">
        <v>1187</v>
      </c>
      <c r="E24" s="233"/>
      <c r="F24" s="233">
        <f t="shared" si="0"/>
        <v>10000</v>
      </c>
      <c r="G24" s="237">
        <v>37.380000000000003</v>
      </c>
      <c r="H24" s="234">
        <f t="shared" si="1"/>
        <v>4578.83</v>
      </c>
      <c r="I24" s="234">
        <f t="shared" si="2"/>
        <v>5421.1700000000019</v>
      </c>
      <c r="J24" s="235"/>
    </row>
    <row r="25" spans="1:10" s="223" customFormat="1" ht="12.75" customHeight="1" x14ac:dyDescent="0.2">
      <c r="A25" s="70" t="s">
        <v>1186</v>
      </c>
      <c r="B25" s="50">
        <v>46211</v>
      </c>
      <c r="C25" s="268">
        <v>9500</v>
      </c>
      <c r="D25" s="66" t="s">
        <v>1188</v>
      </c>
      <c r="E25" s="233"/>
      <c r="F25" s="233">
        <f t="shared" si="0"/>
        <v>10000</v>
      </c>
      <c r="G25" s="237">
        <v>483.3</v>
      </c>
      <c r="H25" s="234">
        <f t="shared" si="1"/>
        <v>5062.13</v>
      </c>
      <c r="I25" s="234">
        <f t="shared" si="2"/>
        <v>4937.8700000000017</v>
      </c>
      <c r="J25" s="235"/>
    </row>
    <row r="26" spans="1:10" s="223" customFormat="1" ht="12.75" customHeight="1" x14ac:dyDescent="0.2">
      <c r="A26" s="70" t="s">
        <v>1265</v>
      </c>
      <c r="B26" s="50">
        <v>46218</v>
      </c>
      <c r="C26" s="53" t="s">
        <v>261</v>
      </c>
      <c r="D26" s="144" t="s">
        <v>1266</v>
      </c>
      <c r="E26" s="233"/>
      <c r="F26" s="233">
        <f t="shared" si="0"/>
        <v>10000</v>
      </c>
      <c r="G26" s="237">
        <v>15.02</v>
      </c>
      <c r="H26" s="234">
        <f t="shared" si="1"/>
        <v>5077.1500000000005</v>
      </c>
      <c r="I26" s="234">
        <f t="shared" si="2"/>
        <v>4922.8500000000013</v>
      </c>
      <c r="J26" s="235"/>
    </row>
    <row r="27" spans="1:10" s="223" customFormat="1" ht="12.75" customHeight="1" x14ac:dyDescent="0.2">
      <c r="A27" s="70" t="s">
        <v>1436</v>
      </c>
      <c r="B27" s="365">
        <v>46241</v>
      </c>
      <c r="C27" s="53" t="s">
        <v>261</v>
      </c>
      <c r="D27" s="144" t="s">
        <v>1437</v>
      </c>
      <c r="E27" s="233"/>
      <c r="F27" s="233">
        <f t="shared" si="0"/>
        <v>10000</v>
      </c>
      <c r="G27" s="237">
        <v>38.700000000000003</v>
      </c>
      <c r="H27" s="234">
        <f t="shared" si="1"/>
        <v>5115.8500000000004</v>
      </c>
      <c r="I27" s="234">
        <f t="shared" si="2"/>
        <v>4884.1500000000015</v>
      </c>
      <c r="J27" s="235"/>
    </row>
    <row r="28" spans="1:10" s="223" customFormat="1" ht="12.75" customHeight="1" x14ac:dyDescent="0.2">
      <c r="A28" s="70" t="s">
        <v>1436</v>
      </c>
      <c r="B28" s="365">
        <v>46241</v>
      </c>
      <c r="C28" s="268">
        <v>9500</v>
      </c>
      <c r="D28" s="66" t="s">
        <v>1438</v>
      </c>
      <c r="E28" s="233"/>
      <c r="F28" s="233">
        <f t="shared" si="0"/>
        <v>10000</v>
      </c>
      <c r="G28" s="237">
        <v>436.7</v>
      </c>
      <c r="H28" s="234">
        <f t="shared" si="1"/>
        <v>5552.55</v>
      </c>
      <c r="I28" s="234">
        <f t="shared" si="2"/>
        <v>4447.4500000000016</v>
      </c>
      <c r="J28" s="235"/>
    </row>
    <row r="29" spans="1:10" s="223" customFormat="1" ht="12.75" customHeight="1" x14ac:dyDescent="0.2">
      <c r="A29" s="70" t="s">
        <v>1531</v>
      </c>
      <c r="B29" s="365">
        <v>46272</v>
      </c>
      <c r="C29" s="53" t="s">
        <v>261</v>
      </c>
      <c r="D29" s="144" t="s">
        <v>1532</v>
      </c>
      <c r="E29" s="233"/>
      <c r="F29" s="233">
        <f t="shared" si="0"/>
        <v>10000</v>
      </c>
      <c r="G29" s="237">
        <v>27.86</v>
      </c>
      <c r="H29" s="234">
        <f t="shared" si="1"/>
        <v>5580.41</v>
      </c>
      <c r="I29" s="234">
        <f t="shared" si="2"/>
        <v>4419.590000000002</v>
      </c>
      <c r="J29" s="235"/>
    </row>
    <row r="30" spans="1:10" s="223" customFormat="1" ht="12.75" customHeight="1" x14ac:dyDescent="0.2">
      <c r="A30" s="70" t="s">
        <v>1531</v>
      </c>
      <c r="B30" s="365">
        <v>46272</v>
      </c>
      <c r="C30" s="268">
        <v>9500</v>
      </c>
      <c r="D30" s="66" t="s">
        <v>1533</v>
      </c>
      <c r="E30" s="233"/>
      <c r="F30" s="233">
        <f t="shared" si="0"/>
        <v>10000</v>
      </c>
      <c r="G30" s="237">
        <v>268.3</v>
      </c>
      <c r="H30" s="234">
        <f t="shared" si="1"/>
        <v>5848.71</v>
      </c>
      <c r="I30" s="234">
        <f t="shared" si="2"/>
        <v>4151.2900000000018</v>
      </c>
      <c r="J30" s="235"/>
    </row>
    <row r="31" spans="1:10" s="223" customFormat="1" ht="12.75" customHeight="1" x14ac:dyDescent="0.2">
      <c r="A31" s="70"/>
      <c r="B31" s="365"/>
      <c r="C31" s="268"/>
      <c r="D31" s="66"/>
      <c r="E31" s="233"/>
      <c r="F31" s="233">
        <f t="shared" si="0"/>
        <v>10000</v>
      </c>
      <c r="G31" s="238"/>
      <c r="H31" s="234">
        <f t="shared" si="1"/>
        <v>5848.71</v>
      </c>
      <c r="I31" s="234">
        <f t="shared" si="2"/>
        <v>4151.2900000000018</v>
      </c>
      <c r="J31" s="235"/>
    </row>
    <row r="32" spans="1:10" s="223" customFormat="1" ht="12.75" customHeight="1" x14ac:dyDescent="0.2">
      <c r="A32" s="70"/>
      <c r="B32" s="365"/>
      <c r="C32" s="268"/>
      <c r="D32" s="66"/>
      <c r="E32" s="233"/>
      <c r="F32" s="233">
        <f t="shared" si="0"/>
        <v>10000</v>
      </c>
      <c r="G32" s="238"/>
      <c r="H32" s="234">
        <f t="shared" si="1"/>
        <v>5848.71</v>
      </c>
      <c r="I32" s="234">
        <f t="shared" si="2"/>
        <v>4151.2900000000018</v>
      </c>
      <c r="J32" s="235"/>
    </row>
    <row r="33" spans="1:10" s="223" customFormat="1" ht="12.75" customHeight="1" x14ac:dyDescent="0.2">
      <c r="A33" s="70"/>
      <c r="B33" s="50"/>
      <c r="C33" s="53"/>
      <c r="D33" s="144"/>
      <c r="E33" s="233"/>
      <c r="F33" s="233">
        <f t="shared" si="0"/>
        <v>10000</v>
      </c>
      <c r="G33" s="237"/>
      <c r="H33" s="234">
        <f t="shared" si="1"/>
        <v>5848.71</v>
      </c>
      <c r="I33" s="234">
        <f t="shared" si="2"/>
        <v>4151.2900000000018</v>
      </c>
      <c r="J33" s="235"/>
    </row>
    <row r="34" spans="1:10" s="223" customFormat="1" ht="12.75" customHeight="1" x14ac:dyDescent="0.25">
      <c r="A34" s="230"/>
      <c r="B34" s="231"/>
      <c r="C34" s="241"/>
      <c r="D34" s="240"/>
      <c r="E34" s="234"/>
      <c r="F34" s="234"/>
      <c r="G34" s="234"/>
      <c r="H34" s="234"/>
      <c r="I34" s="234"/>
      <c r="J34" s="235"/>
    </row>
    <row r="35" spans="1:10" s="223" customFormat="1" ht="12.75" customHeight="1" thickBot="1" x14ac:dyDescent="0.3">
      <c r="A35" s="230"/>
      <c r="B35" s="243"/>
      <c r="C35" s="241"/>
      <c r="D35" s="244" t="s">
        <v>24</v>
      </c>
      <c r="E35" s="245">
        <f>SUM(E9:E34)</f>
        <v>10000</v>
      </c>
      <c r="F35" s="245"/>
      <c r="G35" s="245">
        <f>SUM(G9:G34)</f>
        <v>5848.71</v>
      </c>
      <c r="H35" s="245"/>
      <c r="I35" s="245">
        <f>E35-G35</f>
        <v>4151.29</v>
      </c>
      <c r="J35" s="235"/>
    </row>
    <row r="36" spans="1:10" s="223" customFormat="1" ht="12.75" customHeight="1" thickTop="1" x14ac:dyDescent="0.25"/>
    <row r="37" spans="1:10" s="223" customFormat="1" ht="12.75" customHeight="1" x14ac:dyDescent="0.25"/>
    <row r="38" spans="1:10" s="223"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7AB9C-6A6E-4E84-9CB2-D5293D47FC3B}">
  <sheetPr>
    <pageSetUpPr fitToPage="1"/>
  </sheetPr>
  <dimension ref="A1:H87"/>
  <sheetViews>
    <sheetView zoomScaleNormal="100" workbookViewId="0">
      <selection activeCell="B22" sqref="B22"/>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140625" customWidth="1"/>
    <col min="6" max="6" width="14"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#9496.00'!B1</f>
        <v>DOC NCCF Replace Windows in Education Building</v>
      </c>
      <c r="B1" s="3"/>
      <c r="C1" s="3"/>
      <c r="D1" s="3"/>
      <c r="E1" s="4"/>
      <c r="F1" s="4"/>
      <c r="G1" s="4"/>
      <c r="H1" s="28"/>
    </row>
    <row r="2" spans="1:8" ht="15.75" x14ac:dyDescent="0.25">
      <c r="A2" s="6" t="str">
        <f>'RECAP #9496.00'!B2</f>
        <v>Project # 9496.00</v>
      </c>
      <c r="B2" s="5"/>
      <c r="C2" s="5"/>
      <c r="D2" s="5"/>
      <c r="E2" s="4"/>
      <c r="F2" s="4"/>
      <c r="G2" s="4"/>
      <c r="H2" s="28"/>
    </row>
    <row r="3" spans="1:8" ht="15.75" x14ac:dyDescent="0.25">
      <c r="A3" s="7" t="str">
        <f>'RECAP #9496.00'!B3</f>
        <v>Program code 949600</v>
      </c>
      <c r="B3" s="5"/>
      <c r="C3" s="5"/>
      <c r="D3" s="5"/>
      <c r="E3" s="8" t="str">
        <f>'RECAP #9496.00'!E3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624</v>
      </c>
      <c r="F6" s="35"/>
      <c r="G6" s="38"/>
      <c r="H6" s="39"/>
    </row>
    <row r="7" spans="1:8" ht="15.75" x14ac:dyDescent="0.25">
      <c r="A7" s="11" t="str">
        <f>'RECAP #9496.00'!B6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937</v>
      </c>
      <c r="B9" s="177">
        <v>46168</v>
      </c>
      <c r="C9" s="241" t="s">
        <v>361</v>
      </c>
      <c r="D9" s="241" t="s">
        <v>362</v>
      </c>
      <c r="E9" s="70" t="s">
        <v>652</v>
      </c>
      <c r="F9" s="259" t="s">
        <v>938</v>
      </c>
      <c r="G9" s="237">
        <v>1968</v>
      </c>
      <c r="H9" s="260">
        <f>G9</f>
        <v>1968</v>
      </c>
    </row>
    <row r="10" spans="1:8" s="223" customFormat="1" ht="12.75" customHeight="1" x14ac:dyDescent="0.2">
      <c r="A10" s="176" t="s">
        <v>1017</v>
      </c>
      <c r="B10" s="177">
        <v>46188</v>
      </c>
      <c r="C10" s="241" t="s">
        <v>361</v>
      </c>
      <c r="D10" s="241" t="s">
        <v>362</v>
      </c>
      <c r="E10" s="38" t="s">
        <v>368</v>
      </c>
      <c r="F10" s="272" t="s">
        <v>1018</v>
      </c>
      <c r="G10" s="237">
        <v>200</v>
      </c>
      <c r="H10" s="260">
        <f>H9+G10</f>
        <v>2168</v>
      </c>
    </row>
    <row r="11" spans="1:8" s="223" customFormat="1" ht="12.75" customHeight="1" x14ac:dyDescent="0.25">
      <c r="A11" s="241"/>
      <c r="B11" s="177"/>
      <c r="C11" s="177"/>
      <c r="D11" s="177"/>
      <c r="E11" s="258"/>
      <c r="F11" s="252"/>
      <c r="G11" s="260"/>
      <c r="H11" s="260">
        <f t="shared" ref="H11:H20" si="0">H10+G11</f>
        <v>2168</v>
      </c>
    </row>
    <row r="12" spans="1:8" s="223" customFormat="1" ht="12.75" customHeight="1" x14ac:dyDescent="0.25">
      <c r="A12" s="241" t="s">
        <v>2</v>
      </c>
      <c r="B12" s="177" t="s">
        <v>2</v>
      </c>
      <c r="C12" s="177"/>
      <c r="D12" s="177"/>
      <c r="E12" s="258" t="s">
        <v>2</v>
      </c>
      <c r="F12" s="252"/>
      <c r="G12" s="260"/>
      <c r="H12" s="260">
        <f t="shared" si="0"/>
        <v>2168</v>
      </c>
    </row>
    <row r="13" spans="1:8" s="223" customFormat="1" ht="12.75" customHeight="1" x14ac:dyDescent="0.25">
      <c r="A13" s="241" t="s">
        <v>2</v>
      </c>
      <c r="B13" s="177" t="s">
        <v>2</v>
      </c>
      <c r="C13" s="177"/>
      <c r="D13" s="177"/>
      <c r="E13" s="258" t="s">
        <v>2</v>
      </c>
      <c r="F13" s="252"/>
      <c r="G13" s="260"/>
      <c r="H13" s="260">
        <f t="shared" si="0"/>
        <v>2168</v>
      </c>
    </row>
    <row r="14" spans="1:8" s="223" customFormat="1" ht="12.75" customHeight="1" x14ac:dyDescent="0.25">
      <c r="A14" s="241"/>
      <c r="B14" s="177"/>
      <c r="C14" s="177"/>
      <c r="D14" s="177"/>
      <c r="E14" s="258"/>
      <c r="F14" s="252"/>
      <c r="G14" s="260"/>
      <c r="H14" s="260">
        <f t="shared" si="0"/>
        <v>2168</v>
      </c>
    </row>
    <row r="15" spans="1:8" s="223" customFormat="1" ht="12.75" customHeight="1" x14ac:dyDescent="0.25">
      <c r="A15" s="241"/>
      <c r="B15" s="177"/>
      <c r="C15" s="177"/>
      <c r="D15" s="177"/>
      <c r="E15" s="261"/>
      <c r="F15" s="252"/>
      <c r="G15" s="260"/>
      <c r="H15" s="260">
        <f t="shared" si="0"/>
        <v>2168</v>
      </c>
    </row>
    <row r="16" spans="1:8" s="223" customFormat="1" ht="12.75" customHeight="1" x14ac:dyDescent="0.25">
      <c r="A16" s="241"/>
      <c r="B16" s="177"/>
      <c r="C16" s="177"/>
      <c r="D16" s="177"/>
      <c r="E16" s="258"/>
      <c r="F16" s="252"/>
      <c r="G16" s="260"/>
      <c r="H16" s="260">
        <f t="shared" si="0"/>
        <v>2168</v>
      </c>
    </row>
    <row r="17" spans="1:8" s="223" customFormat="1" ht="12.75" customHeight="1" x14ac:dyDescent="0.25">
      <c r="A17" s="230"/>
      <c r="B17" s="177"/>
      <c r="C17" s="177"/>
      <c r="D17" s="177"/>
      <c r="E17" s="258"/>
      <c r="F17" s="252"/>
      <c r="G17" s="260"/>
      <c r="H17" s="260">
        <f t="shared" si="0"/>
        <v>2168</v>
      </c>
    </row>
    <row r="18" spans="1:8" s="223" customFormat="1" ht="12.75" customHeight="1" x14ac:dyDescent="0.25">
      <c r="A18" s="230"/>
      <c r="B18" s="177"/>
      <c r="C18" s="177"/>
      <c r="D18" s="177"/>
      <c r="E18" s="258"/>
      <c r="F18" s="252"/>
      <c r="G18" s="260"/>
      <c r="H18" s="260">
        <f t="shared" si="0"/>
        <v>2168</v>
      </c>
    </row>
    <row r="19" spans="1:8" s="223" customFormat="1" ht="12.75" customHeight="1" x14ac:dyDescent="0.25">
      <c r="A19" s="230"/>
      <c r="B19" s="177"/>
      <c r="C19" s="177"/>
      <c r="D19" s="177"/>
      <c r="E19" s="258"/>
      <c r="F19" s="252"/>
      <c r="G19" s="260"/>
      <c r="H19" s="260">
        <f t="shared" si="0"/>
        <v>2168</v>
      </c>
    </row>
    <row r="20" spans="1:8" s="223" customFormat="1" ht="12.75" customHeight="1" x14ac:dyDescent="0.25">
      <c r="A20" s="230"/>
      <c r="B20" s="177"/>
      <c r="C20" s="177"/>
      <c r="D20" s="177"/>
      <c r="E20" s="258"/>
      <c r="F20" s="252"/>
      <c r="G20" s="260"/>
      <c r="H20" s="260">
        <f t="shared" si="0"/>
        <v>2168</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2168</v>
      </c>
      <c r="H22" s="265"/>
    </row>
    <row r="23" spans="1:8" s="223" customFormat="1" ht="12.75" customHeight="1" thickTop="1" x14ac:dyDescent="0.25"/>
    <row r="24" spans="1:8" s="223" customFormat="1" ht="12.75" customHeight="1" x14ac:dyDescent="0.25"/>
    <row r="25" spans="1:8" s="223" customFormat="1" ht="12.75" customHeight="1" x14ac:dyDescent="0.25"/>
    <row r="26" spans="1:8" s="223" customFormat="1" ht="12.75" customHeight="1" x14ac:dyDescent="0.25"/>
    <row r="27" spans="1:8" s="223" customFormat="1" ht="12.75" customHeight="1" x14ac:dyDescent="0.25"/>
    <row r="28" spans="1:8" s="223" customFormat="1" ht="12.75" customHeight="1" x14ac:dyDescent="0.25"/>
    <row r="29" spans="1:8" s="223" customFormat="1" ht="12.75" customHeight="1" x14ac:dyDescent="0.25"/>
    <row r="30" spans="1:8" s="223" customFormat="1" ht="12.75" customHeight="1" x14ac:dyDescent="0.25"/>
    <row r="31" spans="1:8" s="223" customFormat="1" ht="12.75" customHeight="1" x14ac:dyDescent="0.25"/>
    <row r="32" spans="1:8" s="223" customFormat="1" ht="12.75" customHeight="1" x14ac:dyDescent="0.25"/>
    <row r="33" s="223" customFormat="1" ht="12.75" customHeight="1" x14ac:dyDescent="0.25"/>
    <row r="34" s="223" customFormat="1" ht="12.75" customHeight="1" x14ac:dyDescent="0.25"/>
    <row r="35" s="223" customFormat="1" ht="12.75" customHeight="1" x14ac:dyDescent="0.25"/>
    <row r="36" s="223" customFormat="1" ht="12.75" customHeight="1" x14ac:dyDescent="0.25"/>
    <row r="37" s="223" customFormat="1" ht="12.75" customHeight="1" x14ac:dyDescent="0.25"/>
    <row r="38" s="223" customFormat="1" ht="12.75" customHeight="1" x14ac:dyDescent="0.25"/>
    <row r="39" s="223" customFormat="1" ht="12.75" customHeight="1" x14ac:dyDescent="0.25"/>
    <row r="40" s="223" customFormat="1" ht="12.75" customHeight="1" x14ac:dyDescent="0.25"/>
    <row r="41" s="223" customFormat="1" ht="12.75" customHeight="1" x14ac:dyDescent="0.25"/>
    <row r="42" s="223" customFormat="1" ht="12.75" customHeight="1" x14ac:dyDescent="0.25"/>
    <row r="43" s="223" customFormat="1" ht="12.75" customHeight="1" x14ac:dyDescent="0.25"/>
    <row r="44" s="223" customFormat="1" ht="12.75" customHeight="1" x14ac:dyDescent="0.25"/>
    <row r="45" s="223" customFormat="1" ht="12.75" customHeight="1" x14ac:dyDescent="0.25"/>
    <row r="46" s="223" customFormat="1" ht="12.75" customHeight="1" x14ac:dyDescent="0.25"/>
    <row r="47" s="223" customFormat="1" ht="12.75" customHeight="1" x14ac:dyDescent="0.25"/>
    <row r="48" s="223" customFormat="1" ht="12.75" customHeight="1" x14ac:dyDescent="0.25"/>
    <row r="49" s="223" customFormat="1" ht="12.75" customHeight="1" x14ac:dyDescent="0.25"/>
    <row r="50" s="223" customFormat="1" ht="12.75" customHeight="1" x14ac:dyDescent="0.25"/>
    <row r="51" s="223" customFormat="1" ht="12.75" customHeight="1" x14ac:dyDescent="0.25"/>
    <row r="52" s="223" customFormat="1" ht="12.75" customHeight="1" x14ac:dyDescent="0.25"/>
    <row r="53" s="223" customFormat="1" ht="12.75" customHeight="1" x14ac:dyDescent="0.25"/>
    <row r="54" s="223" customFormat="1" ht="12.75" customHeight="1" x14ac:dyDescent="0.25"/>
    <row r="55" s="223" customFormat="1" ht="12.75" customHeight="1" x14ac:dyDescent="0.25"/>
    <row r="56" s="223" customFormat="1" ht="12.75" customHeight="1" x14ac:dyDescent="0.25"/>
    <row r="57" s="223" customFormat="1" ht="12.75" customHeight="1" x14ac:dyDescent="0.25"/>
    <row r="58" s="223" customFormat="1" ht="12.75" customHeight="1" x14ac:dyDescent="0.25"/>
    <row r="59" s="223" customFormat="1" ht="12.75" customHeight="1" x14ac:dyDescent="0.25"/>
    <row r="60" s="223" customFormat="1" ht="12.75" customHeight="1" x14ac:dyDescent="0.25"/>
    <row r="61" s="223" customFormat="1" ht="12.75" customHeight="1" x14ac:dyDescent="0.25"/>
    <row r="62" s="223" customFormat="1" ht="12.75" customHeight="1" x14ac:dyDescent="0.25"/>
    <row r="63" s="223" customFormat="1" ht="12.75" customHeight="1" x14ac:dyDescent="0.25"/>
    <row r="64" s="223" customFormat="1" ht="12.75" customHeight="1" x14ac:dyDescent="0.25"/>
    <row r="65" s="223" customFormat="1" ht="12.75" customHeight="1" x14ac:dyDescent="0.25"/>
    <row r="66" s="223" customFormat="1" ht="12.75" customHeight="1" x14ac:dyDescent="0.25"/>
    <row r="67" s="223" customFormat="1" ht="12.75" customHeight="1" x14ac:dyDescent="0.25"/>
    <row r="68" s="223" customFormat="1" ht="12.75" customHeight="1" x14ac:dyDescent="0.25"/>
    <row r="69" s="223" customFormat="1" ht="12.75" customHeight="1" x14ac:dyDescent="0.25"/>
    <row r="70" s="223" customFormat="1" ht="12.75" customHeight="1" x14ac:dyDescent="0.25"/>
    <row r="71" s="223" customFormat="1" ht="12.75" customHeight="1" x14ac:dyDescent="0.25"/>
    <row r="72" s="223" customFormat="1" ht="12.75" customHeight="1" x14ac:dyDescent="0.25"/>
    <row r="73" s="223" customFormat="1" ht="12.75" customHeight="1" x14ac:dyDescent="0.25"/>
    <row r="74" s="223" customFormat="1" ht="12.75" customHeight="1" x14ac:dyDescent="0.25"/>
    <row r="75" s="223" customFormat="1" ht="12.75" customHeight="1" x14ac:dyDescent="0.25"/>
    <row r="76" s="223" customFormat="1" ht="12.75" customHeight="1" x14ac:dyDescent="0.25"/>
    <row r="77" s="223" customFormat="1" ht="12.75" customHeight="1" x14ac:dyDescent="0.25"/>
    <row r="78" s="223" customFormat="1" ht="12.75" customHeight="1" x14ac:dyDescent="0.25"/>
    <row r="79" s="223" customFormat="1" ht="12.75" customHeight="1" x14ac:dyDescent="0.25"/>
    <row r="80" s="223" customFormat="1" ht="12.75" customHeight="1" x14ac:dyDescent="0.25"/>
    <row r="81" s="223" customFormat="1" ht="12.75" customHeight="1" x14ac:dyDescent="0.25"/>
    <row r="82" s="223" customFormat="1" ht="12.75" customHeight="1" x14ac:dyDescent="0.25"/>
    <row r="83" s="223" customFormat="1" ht="12.75" customHeight="1" x14ac:dyDescent="0.25"/>
    <row r="84" s="223" customFormat="1" ht="12.75" customHeight="1" x14ac:dyDescent="0.25"/>
    <row r="85" s="223" customFormat="1" ht="12.75" customHeight="1" x14ac:dyDescent="0.25"/>
    <row r="86" s="223" customFormat="1" ht="12.75" customHeight="1" x14ac:dyDescent="0.25"/>
    <row r="87" s="223"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C6D72-189E-4399-8A47-E0DA8A81F3A6}">
  <sheetPr>
    <pageSetUpPr fitToPage="1"/>
  </sheetPr>
  <dimension ref="A1:I178"/>
  <sheetViews>
    <sheetView topLeftCell="A5" zoomScaleNormal="100" workbookViewId="0">
      <selection activeCell="K33" sqref="K3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#9496.00'!B1</f>
        <v>DOC NCCF Replace Windows in Education Building</v>
      </c>
      <c r="B1" s="3"/>
      <c r="C1" s="4"/>
      <c r="D1" s="4"/>
      <c r="E1" s="4"/>
      <c r="F1" s="28"/>
      <c r="G1" s="28"/>
      <c r="H1" s="29"/>
      <c r="I1" s="29"/>
    </row>
    <row r="2" spans="1:9" ht="15.75" x14ac:dyDescent="0.25">
      <c r="A2" s="6" t="str">
        <f>'RECAP #9496.00'!B2</f>
        <v>Project # 9496.00</v>
      </c>
      <c r="B2" s="5"/>
      <c r="C2" s="4"/>
      <c r="D2" s="4"/>
      <c r="E2" s="4"/>
      <c r="F2" s="28"/>
      <c r="G2" s="28"/>
      <c r="H2" s="29"/>
      <c r="I2" s="29"/>
    </row>
    <row r="3" spans="1:9" ht="15.75" x14ac:dyDescent="0.25">
      <c r="A3" s="7" t="str">
        <f>'RECAP #9496.00'!B3</f>
        <v>Program code 949600</v>
      </c>
      <c r="B3" s="5"/>
      <c r="C3" s="4"/>
      <c r="D3" s="8" t="str">
        <f>'RECAP #9496.00'!E3</f>
        <v>Major Program 4E01</v>
      </c>
      <c r="E3" s="4"/>
      <c r="F3" s="28"/>
      <c r="G3" s="28"/>
      <c r="H3" s="29"/>
      <c r="I3" s="29"/>
    </row>
    <row r="4" spans="1:9" ht="15.75" x14ac:dyDescent="0.25">
      <c r="A4" s="30" t="s">
        <v>395</v>
      </c>
      <c r="B4" s="31"/>
      <c r="C4" s="32"/>
      <c r="D4" s="33" t="s">
        <v>396</v>
      </c>
      <c r="E4" s="28"/>
      <c r="F4" s="28"/>
      <c r="G4" s="28"/>
      <c r="H4" s="29"/>
      <c r="I4" s="29"/>
    </row>
    <row r="5" spans="1:9" ht="15.75" x14ac:dyDescent="0.25">
      <c r="A5" s="34" t="s">
        <v>115</v>
      </c>
      <c r="B5" s="35"/>
      <c r="C5" s="36"/>
      <c r="D5" s="37" t="s">
        <v>622</v>
      </c>
      <c r="E5" s="38"/>
      <c r="F5" s="39"/>
      <c r="G5" s="39"/>
      <c r="H5" s="35"/>
      <c r="I5" s="29"/>
    </row>
    <row r="6" spans="1:9" ht="15.75" x14ac:dyDescent="0.25">
      <c r="A6" s="11" t="str">
        <f>'RECAP #9496.00'!B6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623</v>
      </c>
      <c r="B9" s="177">
        <v>46084</v>
      </c>
      <c r="C9" s="231" t="s">
        <v>109</v>
      </c>
      <c r="D9" s="232">
        <v>37360</v>
      </c>
      <c r="E9" s="233">
        <f>D9</f>
        <v>37360</v>
      </c>
      <c r="F9" s="234"/>
      <c r="G9" s="234"/>
      <c r="H9" s="234">
        <f>E9</f>
        <v>37360</v>
      </c>
      <c r="I9" s="235"/>
    </row>
    <row r="10" spans="1:9" s="223" customFormat="1" ht="12.75" customHeight="1" x14ac:dyDescent="0.25">
      <c r="A10" s="230" t="s">
        <v>674</v>
      </c>
      <c r="B10" s="236">
        <v>46101</v>
      </c>
      <c r="C10" s="231" t="s">
        <v>675</v>
      </c>
      <c r="D10" s="233"/>
      <c r="E10" s="233">
        <f t="shared" ref="E10:E21" si="0">E9+D10</f>
        <v>37360</v>
      </c>
      <c r="F10" s="237">
        <v>1500</v>
      </c>
      <c r="G10" s="234">
        <f t="shared" ref="G10:G21" si="1">G9+F10</f>
        <v>1500</v>
      </c>
      <c r="H10" s="234">
        <f t="shared" ref="H10:H21" si="2">H9-F10+D10</f>
        <v>35860</v>
      </c>
      <c r="I10" s="235"/>
    </row>
    <row r="11" spans="1:9" s="223" customFormat="1" ht="12.75" customHeight="1" x14ac:dyDescent="0.25">
      <c r="A11" s="230" t="s">
        <v>788</v>
      </c>
      <c r="B11" s="177">
        <v>46128</v>
      </c>
      <c r="C11" s="231" t="s">
        <v>789</v>
      </c>
      <c r="D11" s="233"/>
      <c r="E11" s="233">
        <f t="shared" si="0"/>
        <v>37360</v>
      </c>
      <c r="F11" s="237">
        <v>5345</v>
      </c>
      <c r="G11" s="234">
        <f t="shared" si="1"/>
        <v>6845</v>
      </c>
      <c r="H11" s="234">
        <f t="shared" si="2"/>
        <v>30515</v>
      </c>
      <c r="I11" s="235"/>
    </row>
    <row r="12" spans="1:9" s="223" customFormat="1" ht="12.75" customHeight="1" x14ac:dyDescent="0.25">
      <c r="A12" s="230" t="s">
        <v>911</v>
      </c>
      <c r="B12" s="177">
        <v>46162</v>
      </c>
      <c r="C12" s="231" t="s">
        <v>912</v>
      </c>
      <c r="D12" s="233"/>
      <c r="E12" s="233">
        <f t="shared" si="0"/>
        <v>37360</v>
      </c>
      <c r="F12" s="237">
        <v>8295</v>
      </c>
      <c r="G12" s="234">
        <f t="shared" si="1"/>
        <v>15140</v>
      </c>
      <c r="H12" s="234">
        <f t="shared" si="2"/>
        <v>22220</v>
      </c>
      <c r="I12" s="235"/>
    </row>
    <row r="13" spans="1:9" s="223" customFormat="1" ht="12.75" customHeight="1" x14ac:dyDescent="0.25">
      <c r="A13" s="230" t="s">
        <v>1084</v>
      </c>
      <c r="B13" s="177">
        <v>46192</v>
      </c>
      <c r="C13" s="231" t="s">
        <v>1085</v>
      </c>
      <c r="D13" s="233"/>
      <c r="E13" s="233">
        <f t="shared" si="0"/>
        <v>37360</v>
      </c>
      <c r="F13" s="237">
        <v>7140</v>
      </c>
      <c r="G13" s="234">
        <f t="shared" si="1"/>
        <v>22280</v>
      </c>
      <c r="H13" s="234">
        <f t="shared" si="2"/>
        <v>15080</v>
      </c>
      <c r="I13" s="235"/>
    </row>
    <row r="14" spans="1:9" s="223" customFormat="1" ht="12.75" customHeight="1" x14ac:dyDescent="0.25">
      <c r="A14" s="328" t="s">
        <v>1150</v>
      </c>
      <c r="B14" s="329">
        <v>46209</v>
      </c>
      <c r="C14" s="330" t="s">
        <v>1151</v>
      </c>
      <c r="D14" s="331"/>
      <c r="E14" s="331">
        <f t="shared" si="0"/>
        <v>37360</v>
      </c>
      <c r="F14" s="338">
        <v>754</v>
      </c>
      <c r="G14" s="332">
        <f t="shared" si="1"/>
        <v>23034</v>
      </c>
      <c r="H14" s="332">
        <f t="shared" si="2"/>
        <v>14326</v>
      </c>
      <c r="I14" s="333" t="s">
        <v>1285</v>
      </c>
    </row>
    <row r="15" spans="1:9" s="223" customFormat="1" ht="12.75" customHeight="1" x14ac:dyDescent="0.25">
      <c r="A15" s="230" t="s">
        <v>1298</v>
      </c>
      <c r="B15" s="177">
        <v>46225</v>
      </c>
      <c r="C15" s="231" t="s">
        <v>1286</v>
      </c>
      <c r="D15" s="232">
        <v>0</v>
      </c>
      <c r="E15" s="233">
        <f t="shared" si="0"/>
        <v>37360</v>
      </c>
      <c r="F15" s="238"/>
      <c r="G15" s="234">
        <f t="shared" si="1"/>
        <v>23034</v>
      </c>
      <c r="H15" s="234">
        <f t="shared" si="2"/>
        <v>14326</v>
      </c>
      <c r="I15" s="235"/>
    </row>
    <row r="16" spans="1:9" s="223" customFormat="1" ht="12.75" customHeight="1" x14ac:dyDescent="0.25">
      <c r="A16" s="230" t="s">
        <v>1443</v>
      </c>
      <c r="B16" s="177">
        <v>46251</v>
      </c>
      <c r="C16" s="231" t="s">
        <v>1444</v>
      </c>
      <c r="D16" s="233"/>
      <c r="E16" s="233">
        <f t="shared" si="0"/>
        <v>37360</v>
      </c>
      <c r="F16" s="237">
        <v>1508</v>
      </c>
      <c r="G16" s="234">
        <f t="shared" si="1"/>
        <v>24542</v>
      </c>
      <c r="H16" s="234">
        <f t="shared" si="2"/>
        <v>12818</v>
      </c>
      <c r="I16" s="235"/>
    </row>
    <row r="17" spans="1:9" s="223" customFormat="1" ht="12.75" customHeight="1" x14ac:dyDescent="0.25">
      <c r="A17" s="230" t="s">
        <v>1560</v>
      </c>
      <c r="B17" s="177">
        <v>46281</v>
      </c>
      <c r="C17" s="231" t="s">
        <v>1561</v>
      </c>
      <c r="D17" s="233"/>
      <c r="E17" s="233">
        <f t="shared" si="0"/>
        <v>37360</v>
      </c>
      <c r="F17" s="237">
        <v>754</v>
      </c>
      <c r="G17" s="234">
        <f t="shared" si="1"/>
        <v>25296</v>
      </c>
      <c r="H17" s="234">
        <f t="shared" si="2"/>
        <v>12064</v>
      </c>
      <c r="I17" s="235"/>
    </row>
    <row r="18" spans="1:9" s="223" customFormat="1" ht="12.75" customHeight="1" x14ac:dyDescent="0.25">
      <c r="A18" s="230"/>
      <c r="B18" s="177"/>
      <c r="C18" s="231"/>
      <c r="D18" s="233"/>
      <c r="E18" s="233">
        <f t="shared" si="0"/>
        <v>37360</v>
      </c>
      <c r="F18" s="238"/>
      <c r="G18" s="234">
        <f t="shared" si="1"/>
        <v>25296</v>
      </c>
      <c r="H18" s="234">
        <f t="shared" si="2"/>
        <v>12064</v>
      </c>
      <c r="I18" s="235"/>
    </row>
    <row r="19" spans="1:9" s="223" customFormat="1" ht="12.75" customHeight="1" x14ac:dyDescent="0.25">
      <c r="A19" s="230"/>
      <c r="B19" s="177"/>
      <c r="C19" s="231"/>
      <c r="D19" s="233"/>
      <c r="E19" s="233">
        <f t="shared" si="0"/>
        <v>37360</v>
      </c>
      <c r="F19" s="234"/>
      <c r="G19" s="234">
        <f t="shared" si="1"/>
        <v>25296</v>
      </c>
      <c r="H19" s="234">
        <f t="shared" si="2"/>
        <v>12064</v>
      </c>
      <c r="I19" s="235"/>
    </row>
    <row r="20" spans="1:9" s="223" customFormat="1" ht="12.75" customHeight="1" x14ac:dyDescent="0.25">
      <c r="A20" s="230"/>
      <c r="B20" s="177"/>
      <c r="C20" s="231"/>
      <c r="D20" s="233"/>
      <c r="E20" s="233">
        <f t="shared" si="0"/>
        <v>37360</v>
      </c>
      <c r="F20" s="234"/>
      <c r="G20" s="234">
        <f t="shared" si="1"/>
        <v>25296</v>
      </c>
      <c r="H20" s="234">
        <f t="shared" si="2"/>
        <v>12064</v>
      </c>
      <c r="I20" s="235"/>
    </row>
    <row r="21" spans="1:9" s="223" customFormat="1" ht="12.75" customHeight="1" x14ac:dyDescent="0.25">
      <c r="A21" s="230"/>
      <c r="B21" s="177"/>
      <c r="C21" s="239"/>
      <c r="D21" s="233"/>
      <c r="E21" s="233">
        <f t="shared" si="0"/>
        <v>37360</v>
      </c>
      <c r="F21" s="234"/>
      <c r="G21" s="234">
        <f t="shared" si="1"/>
        <v>25296</v>
      </c>
      <c r="H21" s="234">
        <f t="shared" si="2"/>
        <v>12064</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37360</v>
      </c>
      <c r="E23" s="245"/>
      <c r="F23" s="245">
        <f>SUM(F9:F22)</f>
        <v>25296</v>
      </c>
      <c r="G23" s="245"/>
      <c r="H23" s="245">
        <f>D23-F23</f>
        <v>12064</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t="s">
        <v>457</v>
      </c>
      <c r="D26" s="234">
        <v>4080</v>
      </c>
      <c r="E26" s="234"/>
      <c r="F26" s="234">
        <f>1500+2580</f>
        <v>4080</v>
      </c>
      <c r="G26" s="234"/>
      <c r="H26" s="234">
        <f>D26-F26</f>
        <v>0</v>
      </c>
      <c r="I26" s="235"/>
    </row>
    <row r="27" spans="1:9" s="223" customFormat="1" ht="12.75" customHeight="1" x14ac:dyDescent="0.25">
      <c r="A27" s="230"/>
      <c r="B27" s="231"/>
      <c r="C27" s="240" t="s">
        <v>121</v>
      </c>
      <c r="D27" s="234">
        <v>11060</v>
      </c>
      <c r="E27" s="234"/>
      <c r="F27" s="234">
        <f>2765+8295</f>
        <v>11060</v>
      </c>
      <c r="G27" s="234"/>
      <c r="H27" s="234">
        <f>D27-F27</f>
        <v>0</v>
      </c>
      <c r="I27" s="235"/>
    </row>
    <row r="28" spans="1:9" s="223" customFormat="1" ht="12.75" customHeight="1" x14ac:dyDescent="0.25">
      <c r="A28" s="230"/>
      <c r="B28" s="231"/>
      <c r="C28" s="240" t="s">
        <v>300</v>
      </c>
      <c r="D28" s="234">
        <v>7140</v>
      </c>
      <c r="E28" s="234"/>
      <c r="F28" s="234">
        <f>7140</f>
        <v>7140</v>
      </c>
      <c r="G28" s="234"/>
      <c r="H28" s="234">
        <f>D28-F28</f>
        <v>0</v>
      </c>
      <c r="I28" s="235"/>
    </row>
    <row r="29" spans="1:9" s="223" customFormat="1" ht="12.75" customHeight="1" x14ac:dyDescent="0.25">
      <c r="A29" s="230"/>
      <c r="B29" s="231"/>
      <c r="C29" s="253" t="s">
        <v>122</v>
      </c>
      <c r="D29" s="254">
        <v>15080</v>
      </c>
      <c r="E29" s="254"/>
      <c r="F29" s="254">
        <f>754+1508+754</f>
        <v>3016</v>
      </c>
      <c r="G29" s="254"/>
      <c r="H29" s="234">
        <f>D29-F29</f>
        <v>12064</v>
      </c>
      <c r="I29" s="235"/>
    </row>
    <row r="30" spans="1:9" s="223" customFormat="1" ht="12.75" customHeight="1" thickBot="1" x14ac:dyDescent="0.3">
      <c r="A30" s="230"/>
      <c r="B30" s="231"/>
      <c r="C30" s="255" t="s">
        <v>67</v>
      </c>
      <c r="D30" s="256">
        <f>SUM(D26:D29)</f>
        <v>37360</v>
      </c>
      <c r="E30" s="257"/>
      <c r="F30" s="256">
        <f>SUM(F26:F29)</f>
        <v>25296</v>
      </c>
      <c r="G30" s="257"/>
      <c r="H30" s="256">
        <f>SUM(H26:H29)</f>
        <v>12064</v>
      </c>
      <c r="I30" s="235"/>
    </row>
    <row r="31" spans="1:9" s="223" customFormat="1" ht="12.75" customHeight="1" thickTop="1" x14ac:dyDescent="0.25"/>
    <row r="32" spans="1:9" s="223" customFormat="1" ht="12.75" customHeight="1" x14ac:dyDescent="0.25"/>
    <row r="33" s="223" customFormat="1" ht="12.75" customHeight="1" x14ac:dyDescent="0.25"/>
    <row r="34" s="223" customFormat="1" ht="12.75" customHeight="1" x14ac:dyDescent="0.25"/>
    <row r="35" s="223" customFormat="1" ht="12.75" customHeight="1" x14ac:dyDescent="0.25"/>
    <row r="36" s="223" customFormat="1" ht="12.75" customHeight="1" x14ac:dyDescent="0.25"/>
    <row r="37" s="223" customFormat="1" ht="12.75" customHeight="1" x14ac:dyDescent="0.25"/>
    <row r="38" s="223" customFormat="1" ht="12.75" customHeight="1" x14ac:dyDescent="0.25"/>
    <row r="39" s="223" customFormat="1" ht="12.75" customHeight="1" x14ac:dyDescent="0.25"/>
    <row r="40" s="223" customFormat="1" ht="12.75" customHeight="1" x14ac:dyDescent="0.25"/>
    <row r="41" s="223" customFormat="1" ht="12.75" customHeight="1" x14ac:dyDescent="0.25"/>
    <row r="42" s="223" customFormat="1" ht="12.75" customHeight="1" x14ac:dyDescent="0.25"/>
    <row r="43" s="223" customFormat="1" ht="12.75" customHeight="1" x14ac:dyDescent="0.25"/>
    <row r="44" s="223" customFormat="1" ht="12.75" customHeight="1" x14ac:dyDescent="0.25"/>
    <row r="45" s="223" customFormat="1" ht="12.75" customHeight="1" x14ac:dyDescent="0.25"/>
    <row r="46" s="223" customFormat="1" ht="12.75" customHeight="1" x14ac:dyDescent="0.25"/>
    <row r="47" s="223" customFormat="1" ht="12.75" customHeight="1" x14ac:dyDescent="0.25"/>
    <row r="48" s="223" customFormat="1" ht="12.75" customHeight="1" x14ac:dyDescent="0.25"/>
    <row r="49" s="223" customFormat="1" ht="12.75" customHeight="1" x14ac:dyDescent="0.25"/>
    <row r="50" s="223" customFormat="1" ht="12.75" customHeight="1" x14ac:dyDescent="0.25"/>
    <row r="51" s="223" customFormat="1" ht="12.75" customHeight="1" x14ac:dyDescent="0.25"/>
    <row r="52" s="223" customFormat="1" ht="12.75" customHeight="1" x14ac:dyDescent="0.25"/>
    <row r="53" s="223" customFormat="1" ht="12.75" customHeight="1" x14ac:dyDescent="0.25"/>
    <row r="54" s="223" customFormat="1" ht="12.75" customHeight="1" x14ac:dyDescent="0.25"/>
    <row r="55" s="223" customFormat="1" ht="12.75" customHeight="1" x14ac:dyDescent="0.25"/>
    <row r="56" s="223" customFormat="1" ht="12.75" customHeight="1" x14ac:dyDescent="0.25"/>
    <row r="57" s="223" customFormat="1" ht="12.75" customHeight="1" x14ac:dyDescent="0.25"/>
    <row r="58" s="223" customFormat="1" ht="12.75" customHeight="1" x14ac:dyDescent="0.25"/>
    <row r="59" s="223" customFormat="1" ht="12.75" customHeight="1" x14ac:dyDescent="0.25"/>
    <row r="60" s="223" customFormat="1" ht="12.75" customHeight="1" x14ac:dyDescent="0.25"/>
    <row r="61" s="223" customFormat="1" ht="12.75" customHeight="1" x14ac:dyDescent="0.25"/>
    <row r="62" s="223" customFormat="1" ht="12.75" customHeight="1" x14ac:dyDescent="0.25"/>
    <row r="63" s="223" customFormat="1" ht="12.75" customHeight="1" x14ac:dyDescent="0.25"/>
    <row r="64" s="223" customFormat="1" ht="12.75" customHeight="1" x14ac:dyDescent="0.25"/>
    <row r="65" s="223" customFormat="1" ht="12.75" customHeight="1" x14ac:dyDescent="0.25"/>
    <row r="66" s="223" customFormat="1" ht="12.75" customHeight="1" x14ac:dyDescent="0.25"/>
    <row r="67" s="223" customFormat="1" ht="12.75" customHeight="1" x14ac:dyDescent="0.25"/>
    <row r="68" s="223" customFormat="1" ht="12.75" customHeight="1" x14ac:dyDescent="0.25"/>
    <row r="69" s="223" customFormat="1" ht="12.75" customHeight="1" x14ac:dyDescent="0.25"/>
    <row r="70" s="223" customFormat="1" ht="12.75" customHeight="1" x14ac:dyDescent="0.25"/>
    <row r="71" s="223" customFormat="1" ht="12.75" customHeight="1" x14ac:dyDescent="0.25"/>
    <row r="72" s="223" customFormat="1" ht="12.75" customHeight="1" x14ac:dyDescent="0.25"/>
    <row r="73" s="223" customFormat="1" ht="12.75" customHeight="1" x14ac:dyDescent="0.25"/>
    <row r="74" s="223" customFormat="1" ht="12.75" customHeight="1" x14ac:dyDescent="0.25"/>
    <row r="75" s="223" customFormat="1" ht="12.75" customHeight="1" x14ac:dyDescent="0.25"/>
    <row r="76" s="223" customFormat="1" ht="12.75" customHeight="1" x14ac:dyDescent="0.25"/>
    <row r="77" s="223" customFormat="1" ht="12.75" customHeight="1" x14ac:dyDescent="0.25"/>
    <row r="78" s="223" customFormat="1" ht="12.75" customHeight="1" x14ac:dyDescent="0.25"/>
    <row r="79" s="223" customFormat="1" ht="12.75" customHeight="1" x14ac:dyDescent="0.25"/>
    <row r="80" s="223" customFormat="1" ht="12.75" customHeight="1" x14ac:dyDescent="0.25"/>
    <row r="81" s="223" customFormat="1" ht="12.75" customHeight="1" x14ac:dyDescent="0.25"/>
    <row r="82" s="223" customFormat="1" ht="12.75" customHeight="1" x14ac:dyDescent="0.25"/>
    <row r="83" s="223" customFormat="1" ht="12.75" customHeight="1" x14ac:dyDescent="0.25"/>
    <row r="84" s="223" customFormat="1" ht="12.75" customHeight="1" x14ac:dyDescent="0.25"/>
    <row r="85" s="223" customFormat="1" ht="12.75" customHeight="1" x14ac:dyDescent="0.25"/>
    <row r="86" s="223" customFormat="1" ht="12.75" customHeight="1" x14ac:dyDescent="0.25"/>
    <row r="87" s="223" customFormat="1" ht="12.75" customHeight="1" x14ac:dyDescent="0.25"/>
    <row r="88" s="223" customFormat="1" ht="12.75" customHeight="1" x14ac:dyDescent="0.25"/>
    <row r="89" s="223" customFormat="1" ht="12.75" customHeight="1" x14ac:dyDescent="0.25"/>
    <row r="90" s="223" customFormat="1" ht="12.75" customHeight="1" x14ac:dyDescent="0.25"/>
    <row r="91" s="223" customFormat="1" ht="12.75" customHeight="1" x14ac:dyDescent="0.25"/>
    <row r="92" s="223" customFormat="1" ht="12.75" customHeight="1" x14ac:dyDescent="0.25"/>
    <row r="93" s="223" customFormat="1" ht="12.75" customHeight="1" x14ac:dyDescent="0.25"/>
    <row r="94" s="223" customFormat="1" ht="12.75" customHeight="1" x14ac:dyDescent="0.25"/>
    <row r="95" s="223" customFormat="1" ht="12.75" customHeight="1" x14ac:dyDescent="0.25"/>
    <row r="96" s="223" customFormat="1" ht="12.75" customHeight="1" x14ac:dyDescent="0.25"/>
    <row r="97" s="223" customFormat="1" ht="12.75" customHeight="1" x14ac:dyDescent="0.25"/>
    <row r="98" s="223" customFormat="1" ht="12.75" customHeight="1" x14ac:dyDescent="0.25"/>
    <row r="99" s="223" customFormat="1" ht="12.75" customHeight="1" x14ac:dyDescent="0.25"/>
    <row r="100" s="223" customFormat="1" ht="12.75" customHeight="1" x14ac:dyDescent="0.25"/>
    <row r="101" s="223" customFormat="1" ht="12.75" customHeight="1" x14ac:dyDescent="0.25"/>
    <row r="102" s="223" customFormat="1" ht="12.75" customHeight="1" x14ac:dyDescent="0.25"/>
    <row r="103" s="223" customFormat="1" ht="12.75" customHeight="1" x14ac:dyDescent="0.25"/>
    <row r="104" s="223" customFormat="1" ht="12.75" customHeight="1" x14ac:dyDescent="0.25"/>
    <row r="105" s="223" customFormat="1" ht="12.75" customHeight="1" x14ac:dyDescent="0.25"/>
    <row r="106" s="223" customFormat="1" ht="12.75" customHeight="1" x14ac:dyDescent="0.25"/>
    <row r="107" s="223" customFormat="1" ht="12.75" customHeight="1" x14ac:dyDescent="0.25"/>
    <row r="108" s="223" customFormat="1" ht="12.75" customHeight="1" x14ac:dyDescent="0.25"/>
    <row r="109" s="223" customFormat="1" ht="12.75" customHeight="1" x14ac:dyDescent="0.25"/>
    <row r="110" s="223" customFormat="1" ht="12.75" customHeight="1" x14ac:dyDescent="0.25"/>
    <row r="111" s="223" customFormat="1" ht="12.75" customHeight="1" x14ac:dyDescent="0.25"/>
    <row r="112" s="223" customFormat="1" ht="12.75" customHeight="1" x14ac:dyDescent="0.25"/>
    <row r="113" s="223" customFormat="1" ht="12.75" customHeight="1" x14ac:dyDescent="0.25"/>
    <row r="114" s="223" customFormat="1" ht="12.75" customHeight="1" x14ac:dyDescent="0.25"/>
    <row r="115" s="223" customFormat="1" ht="12.75" customHeight="1" x14ac:dyDescent="0.25"/>
    <row r="116" s="223" customFormat="1" ht="12.75" customHeight="1" x14ac:dyDescent="0.25"/>
    <row r="117" s="223" customFormat="1" ht="12.75" customHeight="1" x14ac:dyDescent="0.25"/>
    <row r="118" s="223" customFormat="1" ht="12.75" customHeight="1" x14ac:dyDescent="0.25"/>
    <row r="119" s="223" customFormat="1" ht="12.75" customHeight="1" x14ac:dyDescent="0.25"/>
    <row r="120" s="223" customFormat="1" ht="12.75" customHeight="1" x14ac:dyDescent="0.25"/>
    <row r="121" s="223" customFormat="1" ht="12.75" customHeight="1" x14ac:dyDescent="0.25"/>
    <row r="122" s="223" customFormat="1" ht="12.75" customHeight="1" x14ac:dyDescent="0.25"/>
    <row r="123" s="223" customFormat="1" ht="12.75" customHeight="1" x14ac:dyDescent="0.25"/>
    <row r="124" s="223" customFormat="1" ht="12.75" customHeight="1" x14ac:dyDescent="0.25"/>
    <row r="125" s="223" customFormat="1" ht="12.75" customHeight="1" x14ac:dyDescent="0.25"/>
    <row r="126" s="223" customFormat="1" ht="12.75" customHeight="1" x14ac:dyDescent="0.25"/>
    <row r="127" s="223" customFormat="1" ht="12.75" customHeight="1" x14ac:dyDescent="0.25"/>
    <row r="128" s="223" customFormat="1" ht="12.75" customHeight="1" x14ac:dyDescent="0.25"/>
    <row r="129" s="223" customFormat="1" ht="12.75" customHeight="1" x14ac:dyDescent="0.25"/>
    <row r="130" s="223" customFormat="1" ht="12.75" customHeight="1" x14ac:dyDescent="0.25"/>
    <row r="131" s="223" customFormat="1" ht="12.75" customHeight="1" x14ac:dyDescent="0.25"/>
    <row r="132" s="223" customFormat="1" ht="12.75" customHeight="1" x14ac:dyDescent="0.25"/>
    <row r="133" s="223" customFormat="1" ht="12.75" customHeight="1" x14ac:dyDescent="0.25"/>
    <row r="134" s="223" customFormat="1" ht="12.75" customHeight="1" x14ac:dyDescent="0.25"/>
    <row r="135" s="223" customFormat="1" ht="12.75" customHeight="1" x14ac:dyDescent="0.25"/>
    <row r="136" s="223" customFormat="1" ht="12.75" customHeight="1" x14ac:dyDescent="0.25"/>
    <row r="137" s="223" customFormat="1" ht="12.75" customHeight="1" x14ac:dyDescent="0.25"/>
    <row r="138" s="223" customFormat="1" ht="12.75" customHeight="1" x14ac:dyDescent="0.25"/>
    <row r="139" s="223" customFormat="1" ht="12.75" customHeight="1" x14ac:dyDescent="0.25"/>
    <row r="140" s="223" customFormat="1" ht="12.75" customHeight="1" x14ac:dyDescent="0.25"/>
    <row r="141" s="223" customFormat="1" ht="12.75" customHeight="1" x14ac:dyDescent="0.25"/>
    <row r="142" s="223" customFormat="1" ht="12.75" customHeight="1" x14ac:dyDescent="0.25"/>
    <row r="143" s="223" customFormat="1" ht="12.75" customHeight="1" x14ac:dyDescent="0.25"/>
    <row r="144" s="223" customFormat="1" ht="12.75" customHeight="1" x14ac:dyDescent="0.25"/>
    <row r="145" s="223" customFormat="1" ht="12.75" customHeight="1" x14ac:dyDescent="0.25"/>
    <row r="146" s="223" customFormat="1" ht="12.75" customHeight="1" x14ac:dyDescent="0.25"/>
    <row r="147" s="223" customFormat="1" ht="12.75" customHeight="1" x14ac:dyDescent="0.25"/>
    <row r="148" s="223" customFormat="1" ht="12.75" customHeight="1" x14ac:dyDescent="0.25"/>
    <row r="149" s="223" customFormat="1" ht="12.75" customHeight="1" x14ac:dyDescent="0.25"/>
    <row r="150" s="223" customFormat="1" ht="12.75" customHeight="1" x14ac:dyDescent="0.25"/>
    <row r="151" s="223" customFormat="1" ht="12.75" customHeight="1" x14ac:dyDescent="0.25"/>
    <row r="152" s="223" customFormat="1" ht="12.75" customHeight="1" x14ac:dyDescent="0.25"/>
    <row r="153" s="223" customFormat="1" ht="12.75" customHeight="1" x14ac:dyDescent="0.25"/>
    <row r="154" s="223" customFormat="1" ht="12.75" customHeight="1" x14ac:dyDescent="0.25"/>
    <row r="155" s="223" customFormat="1" ht="12.75" customHeight="1" x14ac:dyDescent="0.25"/>
    <row r="156" s="223" customFormat="1" ht="12.75" customHeight="1" x14ac:dyDescent="0.25"/>
    <row r="157" s="223" customFormat="1" ht="12.75" customHeight="1" x14ac:dyDescent="0.25"/>
    <row r="158" s="223" customFormat="1" ht="12.75" customHeight="1" x14ac:dyDescent="0.25"/>
    <row r="159" s="223" customFormat="1" ht="12.75" customHeight="1" x14ac:dyDescent="0.25"/>
    <row r="160" s="223" customFormat="1" ht="12.75" customHeight="1" x14ac:dyDescent="0.25"/>
    <row r="161" s="223" customFormat="1" ht="12.75" customHeight="1" x14ac:dyDescent="0.25"/>
    <row r="162" s="223" customFormat="1" ht="12.75" customHeight="1" x14ac:dyDescent="0.25"/>
    <row r="163" s="223" customFormat="1" ht="12.75" customHeight="1" x14ac:dyDescent="0.25"/>
    <row r="164" s="223" customFormat="1" ht="12.75" customHeight="1" x14ac:dyDescent="0.25"/>
    <row r="165" s="223" customFormat="1" ht="12.75" customHeight="1" x14ac:dyDescent="0.25"/>
    <row r="166" s="223" customFormat="1" ht="12.75" customHeight="1" x14ac:dyDescent="0.25"/>
    <row r="167" s="223" customFormat="1" ht="12.75" customHeight="1" x14ac:dyDescent="0.25"/>
    <row r="168" s="223" customFormat="1" ht="12.75" customHeight="1" x14ac:dyDescent="0.25"/>
    <row r="169" s="223" customFormat="1" ht="12.75" customHeight="1" x14ac:dyDescent="0.25"/>
    <row r="170" s="223" customFormat="1" ht="12.75" customHeight="1" x14ac:dyDescent="0.25"/>
    <row r="171" s="223" customFormat="1" ht="12.75" customHeight="1" x14ac:dyDescent="0.25"/>
    <row r="172" s="223" customFormat="1" ht="12.75" customHeight="1" x14ac:dyDescent="0.25"/>
    <row r="173" s="223" customFormat="1" ht="12.75" customHeight="1" x14ac:dyDescent="0.25"/>
    <row r="174" s="223" customFormat="1" ht="12.75" customHeight="1" x14ac:dyDescent="0.25"/>
    <row r="175" s="223" customFormat="1" ht="12.75" customHeight="1" x14ac:dyDescent="0.25"/>
    <row r="176" s="223" customFormat="1" ht="12.75" customHeight="1" x14ac:dyDescent="0.25"/>
    <row r="177" s="223" customFormat="1" ht="12.75" customHeight="1" x14ac:dyDescent="0.25"/>
    <row r="178" s="223" customFormat="1" ht="12.75" customHeight="1" x14ac:dyDescent="0.25"/>
  </sheetData>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E7981-BD76-4CFC-BC4C-F882145E2D46}">
  <sheetPr>
    <pageSetUpPr fitToPage="1"/>
  </sheetPr>
  <dimension ref="A1:I176"/>
  <sheetViews>
    <sheetView zoomScaleNormal="100" workbookViewId="0">
      <selection activeCell="F12" sqref="F12"/>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#9496.00'!B1</f>
        <v>DOC NCCF Replace Windows in Education Building</v>
      </c>
      <c r="B1" s="3"/>
      <c r="C1" s="4"/>
      <c r="D1" s="4"/>
      <c r="E1" s="4"/>
      <c r="F1" s="28"/>
      <c r="G1" s="28"/>
      <c r="H1" s="29"/>
      <c r="I1" s="29"/>
    </row>
    <row r="2" spans="1:9" ht="15.75" x14ac:dyDescent="0.25">
      <c r="A2" s="6" t="str">
        <f>'RECAP #9496.00'!B2</f>
        <v>Project # 9496.00</v>
      </c>
      <c r="B2" s="5"/>
      <c r="C2" s="4"/>
      <c r="D2" s="4"/>
      <c r="E2" s="4"/>
      <c r="F2" s="28"/>
      <c r="G2" s="28"/>
      <c r="H2" s="29"/>
      <c r="I2" s="29"/>
    </row>
    <row r="3" spans="1:9" ht="15.75" x14ac:dyDescent="0.25">
      <c r="A3" s="7" t="str">
        <f>'RECAP #9496.00'!B3</f>
        <v>Program code 949600</v>
      </c>
      <c r="B3" s="5"/>
      <c r="C3" s="4"/>
      <c r="D3" s="8" t="str">
        <f>'RECAP #9496.00'!E3</f>
        <v>Major Program 4E01</v>
      </c>
      <c r="E3" s="4"/>
      <c r="F3" s="28"/>
      <c r="G3" s="28"/>
      <c r="H3" s="29"/>
      <c r="I3" s="29"/>
    </row>
    <row r="4" spans="1:9" ht="15.75" x14ac:dyDescent="0.25">
      <c r="A4" s="30" t="s">
        <v>1118</v>
      </c>
      <c r="B4" s="31"/>
      <c r="C4" s="32"/>
      <c r="D4" s="33" t="s">
        <v>254</v>
      </c>
      <c r="E4" s="28"/>
      <c r="F4" s="28"/>
      <c r="G4" s="28"/>
      <c r="H4" s="29"/>
      <c r="I4" s="29"/>
    </row>
    <row r="5" spans="1:9" ht="15.75" x14ac:dyDescent="0.25">
      <c r="A5" s="34" t="s">
        <v>104</v>
      </c>
      <c r="B5" s="35"/>
      <c r="C5" s="36"/>
      <c r="D5" s="37" t="s">
        <v>255</v>
      </c>
      <c r="E5" s="38"/>
      <c r="F5" s="39"/>
      <c r="G5" s="39"/>
      <c r="H5" s="35"/>
      <c r="I5" s="29"/>
    </row>
    <row r="6" spans="1:9" ht="15.75" x14ac:dyDescent="0.25">
      <c r="A6" s="11" t="str">
        <f>'RECAP #9496.00'!B6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339" t="s">
        <v>1120</v>
      </c>
      <c r="B9" s="340">
        <v>46198</v>
      </c>
      <c r="C9" s="341" t="s">
        <v>109</v>
      </c>
      <c r="D9" s="342">
        <v>32155.59</v>
      </c>
      <c r="E9" s="343">
        <f>D9</f>
        <v>32155.59</v>
      </c>
      <c r="F9" s="344"/>
      <c r="G9" s="344"/>
      <c r="H9" s="344">
        <f>E9</f>
        <v>32155.59</v>
      </c>
      <c r="I9" s="333" t="s">
        <v>1285</v>
      </c>
    </row>
    <row r="10" spans="1:9" s="223" customFormat="1" ht="12.75" customHeight="1" x14ac:dyDescent="0.25">
      <c r="A10" s="230" t="s">
        <v>1304</v>
      </c>
      <c r="B10" s="177">
        <v>46225</v>
      </c>
      <c r="C10" s="231" t="s">
        <v>1286</v>
      </c>
      <c r="D10" s="232">
        <v>0</v>
      </c>
      <c r="E10" s="233">
        <f t="shared" ref="E10:E21" si="0">E9+D10</f>
        <v>32155.59</v>
      </c>
      <c r="F10" s="237"/>
      <c r="G10" s="234">
        <f t="shared" ref="G10:G21" si="1">G9+F10</f>
        <v>0</v>
      </c>
      <c r="H10" s="234">
        <f t="shared" ref="H10:H21" si="2">H9-F10+D10</f>
        <v>32155.59</v>
      </c>
      <c r="I10" s="235"/>
    </row>
    <row r="11" spans="1:9" s="223" customFormat="1" ht="12.75" customHeight="1" x14ac:dyDescent="0.25">
      <c r="A11" s="230" t="s">
        <v>1468</v>
      </c>
      <c r="B11" s="177">
        <v>46253</v>
      </c>
      <c r="C11" s="231" t="s">
        <v>1469</v>
      </c>
      <c r="D11" s="233"/>
      <c r="E11" s="233">
        <f t="shared" si="0"/>
        <v>32155.59</v>
      </c>
      <c r="F11" s="237">
        <v>4906.84</v>
      </c>
      <c r="G11" s="234">
        <f t="shared" si="1"/>
        <v>4906.84</v>
      </c>
      <c r="H11" s="234">
        <f t="shared" si="2"/>
        <v>27248.75</v>
      </c>
      <c r="I11" s="235"/>
    </row>
    <row r="12" spans="1:9" s="223" customFormat="1" ht="12.75" customHeight="1" x14ac:dyDescent="0.25">
      <c r="A12" s="230" t="s">
        <v>1542</v>
      </c>
      <c r="B12" s="177">
        <v>46279</v>
      </c>
      <c r="C12" s="231" t="s">
        <v>1543</v>
      </c>
      <c r="D12" s="233"/>
      <c r="E12" s="233">
        <f t="shared" si="0"/>
        <v>32155.59</v>
      </c>
      <c r="F12" s="237">
        <v>2646.59</v>
      </c>
      <c r="G12" s="234">
        <f t="shared" si="1"/>
        <v>7553.43</v>
      </c>
      <c r="H12" s="234">
        <f t="shared" si="2"/>
        <v>24602.16</v>
      </c>
      <c r="I12" s="235"/>
    </row>
    <row r="13" spans="1:9" s="223" customFormat="1" ht="12.75" customHeight="1" x14ac:dyDescent="0.25">
      <c r="A13" s="230"/>
      <c r="B13" s="177"/>
      <c r="C13" s="231"/>
      <c r="D13" s="233"/>
      <c r="E13" s="233">
        <f t="shared" si="0"/>
        <v>32155.59</v>
      </c>
      <c r="F13" s="237"/>
      <c r="G13" s="234">
        <f t="shared" si="1"/>
        <v>7553.43</v>
      </c>
      <c r="H13" s="234">
        <f t="shared" si="2"/>
        <v>24602.16</v>
      </c>
      <c r="I13" s="235"/>
    </row>
    <row r="14" spans="1:9" s="223" customFormat="1" ht="12.75" customHeight="1" x14ac:dyDescent="0.25">
      <c r="A14" s="230"/>
      <c r="B14" s="177"/>
      <c r="C14" s="231"/>
      <c r="D14" s="233"/>
      <c r="E14" s="233">
        <f t="shared" si="0"/>
        <v>32155.59</v>
      </c>
      <c r="F14" s="238"/>
      <c r="G14" s="234">
        <f t="shared" si="1"/>
        <v>7553.43</v>
      </c>
      <c r="H14" s="234">
        <f t="shared" si="2"/>
        <v>24602.16</v>
      </c>
      <c r="I14" s="235"/>
    </row>
    <row r="15" spans="1:9" s="223" customFormat="1" ht="12.75" customHeight="1" x14ac:dyDescent="0.25">
      <c r="A15" s="230"/>
      <c r="B15" s="177"/>
      <c r="C15" s="231"/>
      <c r="D15" s="233"/>
      <c r="E15" s="233">
        <f t="shared" si="0"/>
        <v>32155.59</v>
      </c>
      <c r="F15" s="238"/>
      <c r="G15" s="234">
        <f t="shared" si="1"/>
        <v>7553.43</v>
      </c>
      <c r="H15" s="234">
        <f t="shared" si="2"/>
        <v>24602.16</v>
      </c>
      <c r="I15" s="235"/>
    </row>
    <row r="16" spans="1:9" s="223" customFormat="1" ht="12.75" customHeight="1" x14ac:dyDescent="0.25">
      <c r="A16" s="230"/>
      <c r="B16" s="177"/>
      <c r="C16" s="231"/>
      <c r="D16" s="233"/>
      <c r="E16" s="233">
        <f t="shared" si="0"/>
        <v>32155.59</v>
      </c>
      <c r="F16" s="238"/>
      <c r="G16" s="234">
        <f t="shared" si="1"/>
        <v>7553.43</v>
      </c>
      <c r="H16" s="234">
        <f t="shared" si="2"/>
        <v>24602.16</v>
      </c>
      <c r="I16" s="235"/>
    </row>
    <row r="17" spans="1:9" s="223" customFormat="1" ht="12.75" customHeight="1" x14ac:dyDescent="0.25">
      <c r="A17" s="230"/>
      <c r="B17" s="177"/>
      <c r="C17" s="231"/>
      <c r="D17" s="233"/>
      <c r="E17" s="233">
        <f t="shared" si="0"/>
        <v>32155.59</v>
      </c>
      <c r="F17" s="238"/>
      <c r="G17" s="234">
        <f t="shared" si="1"/>
        <v>7553.43</v>
      </c>
      <c r="H17" s="234">
        <f t="shared" si="2"/>
        <v>24602.16</v>
      </c>
      <c r="I17" s="235"/>
    </row>
    <row r="18" spans="1:9" s="223" customFormat="1" ht="12.75" customHeight="1" x14ac:dyDescent="0.25">
      <c r="A18" s="230"/>
      <c r="B18" s="177"/>
      <c r="C18" s="231"/>
      <c r="D18" s="233"/>
      <c r="E18" s="233">
        <f t="shared" si="0"/>
        <v>32155.59</v>
      </c>
      <c r="F18" s="238"/>
      <c r="G18" s="234">
        <f t="shared" si="1"/>
        <v>7553.43</v>
      </c>
      <c r="H18" s="234">
        <f t="shared" si="2"/>
        <v>24602.16</v>
      </c>
      <c r="I18" s="235"/>
    </row>
    <row r="19" spans="1:9" s="223" customFormat="1" ht="12.75" customHeight="1" x14ac:dyDescent="0.25">
      <c r="A19" s="230"/>
      <c r="B19" s="177"/>
      <c r="C19" s="231"/>
      <c r="D19" s="233"/>
      <c r="E19" s="233">
        <f t="shared" si="0"/>
        <v>32155.59</v>
      </c>
      <c r="F19" s="234"/>
      <c r="G19" s="234">
        <f t="shared" si="1"/>
        <v>7553.43</v>
      </c>
      <c r="H19" s="234">
        <f t="shared" si="2"/>
        <v>24602.16</v>
      </c>
      <c r="I19" s="235"/>
    </row>
    <row r="20" spans="1:9" s="223" customFormat="1" ht="12.75" customHeight="1" x14ac:dyDescent="0.25">
      <c r="A20" s="230"/>
      <c r="B20" s="177"/>
      <c r="C20" s="231"/>
      <c r="D20" s="233"/>
      <c r="E20" s="233">
        <f t="shared" si="0"/>
        <v>32155.59</v>
      </c>
      <c r="F20" s="234"/>
      <c r="G20" s="234">
        <f t="shared" si="1"/>
        <v>7553.43</v>
      </c>
      <c r="H20" s="234">
        <f t="shared" si="2"/>
        <v>24602.16</v>
      </c>
      <c r="I20" s="235"/>
    </row>
    <row r="21" spans="1:9" s="223" customFormat="1" ht="12.75" customHeight="1" x14ac:dyDescent="0.25">
      <c r="A21" s="230"/>
      <c r="B21" s="177"/>
      <c r="C21" s="239"/>
      <c r="D21" s="233"/>
      <c r="E21" s="233">
        <f t="shared" si="0"/>
        <v>32155.59</v>
      </c>
      <c r="F21" s="234"/>
      <c r="G21" s="234">
        <f t="shared" si="1"/>
        <v>7553.43</v>
      </c>
      <c r="H21" s="234">
        <f t="shared" si="2"/>
        <v>24602.16</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32155.59</v>
      </c>
      <c r="E23" s="245"/>
      <c r="F23" s="245">
        <f>SUM(F9:F22)</f>
        <v>7553.43</v>
      </c>
      <c r="G23" s="245"/>
      <c r="H23" s="245">
        <f>D23-F23</f>
        <v>24602.16</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29755.59</v>
      </c>
      <c r="E26" s="254"/>
      <c r="F26" s="254">
        <f>4672.84+2646.59</f>
        <v>7319.43</v>
      </c>
      <c r="G26" s="254"/>
      <c r="H26" s="254">
        <f>D26-F26</f>
        <v>22436.16</v>
      </c>
      <c r="I26" s="235"/>
    </row>
    <row r="27" spans="1:9" s="223" customFormat="1" ht="12.75" customHeight="1" x14ac:dyDescent="0.25">
      <c r="A27" s="230"/>
      <c r="B27" s="231"/>
      <c r="C27" s="253" t="s">
        <v>111</v>
      </c>
      <c r="D27" s="254">
        <v>2400</v>
      </c>
      <c r="E27" s="254"/>
      <c r="F27" s="254">
        <f>234</f>
        <v>234</v>
      </c>
      <c r="G27" s="254"/>
      <c r="H27" s="254">
        <f>D27-F27</f>
        <v>2166</v>
      </c>
      <c r="I27" s="235"/>
    </row>
    <row r="28" spans="1:9" s="223" customFormat="1" ht="12.75" customHeight="1" thickBot="1" x14ac:dyDescent="0.3">
      <c r="A28" s="230"/>
      <c r="B28" s="231"/>
      <c r="C28" s="255" t="s">
        <v>67</v>
      </c>
      <c r="D28" s="256">
        <f>SUM(D26:D27)</f>
        <v>32155.59</v>
      </c>
      <c r="E28" s="257"/>
      <c r="F28" s="256">
        <f>SUM(F26:F27)</f>
        <v>7553.43</v>
      </c>
      <c r="G28" s="257"/>
      <c r="H28" s="256">
        <f>SUM(H26:H27)</f>
        <v>24602.16</v>
      </c>
      <c r="I28" s="235"/>
    </row>
    <row r="29" spans="1:9" s="223" customFormat="1" ht="12.75" customHeight="1" thickTop="1" x14ac:dyDescent="0.25"/>
    <row r="30" spans="1:9" s="223" customFormat="1" ht="12.75" customHeight="1" x14ac:dyDescent="0.25"/>
    <row r="31" spans="1:9" s="223" customFormat="1" ht="12.75" customHeight="1" x14ac:dyDescent="0.25"/>
    <row r="32" spans="1:9" s="223" customFormat="1" ht="12.75" customHeight="1" x14ac:dyDescent="0.25"/>
    <row r="33" s="223" customFormat="1" ht="12.75" customHeight="1" x14ac:dyDescent="0.25"/>
    <row r="34" s="223" customFormat="1" ht="12.75" customHeight="1" x14ac:dyDescent="0.25"/>
    <row r="35" s="223" customFormat="1" ht="12.75" customHeight="1" x14ac:dyDescent="0.25"/>
    <row r="36" s="223" customFormat="1" ht="12.75" customHeight="1" x14ac:dyDescent="0.25"/>
    <row r="37" s="223" customFormat="1" ht="12.75" customHeight="1" x14ac:dyDescent="0.25"/>
    <row r="38" s="223" customFormat="1" ht="12.75" customHeight="1" x14ac:dyDescent="0.25"/>
    <row r="39" s="223" customFormat="1" ht="12.75" customHeight="1" x14ac:dyDescent="0.25"/>
    <row r="40" s="223" customFormat="1" ht="12.75" customHeight="1" x14ac:dyDescent="0.25"/>
    <row r="41" s="223" customFormat="1" ht="12.75" customHeight="1" x14ac:dyDescent="0.25"/>
    <row r="42" s="223" customFormat="1" ht="12.75" customHeight="1" x14ac:dyDescent="0.25"/>
    <row r="43" s="223" customFormat="1" ht="12.75" customHeight="1" x14ac:dyDescent="0.25"/>
    <row r="44" s="223" customFormat="1" ht="12.75" customHeight="1" x14ac:dyDescent="0.25"/>
    <row r="45" s="223" customFormat="1" ht="12.75" customHeight="1" x14ac:dyDescent="0.25"/>
    <row r="46" s="223" customFormat="1" ht="12.75" customHeight="1" x14ac:dyDescent="0.25"/>
    <row r="47" s="223" customFormat="1" ht="12.75" customHeight="1" x14ac:dyDescent="0.25"/>
    <row r="48" s="223" customFormat="1" ht="12.75" customHeight="1" x14ac:dyDescent="0.25"/>
    <row r="49" s="223" customFormat="1" ht="12.75" customHeight="1" x14ac:dyDescent="0.25"/>
    <row r="50" s="223" customFormat="1" ht="12.75" customHeight="1" x14ac:dyDescent="0.25"/>
    <row r="51" s="223" customFormat="1" ht="12.75" customHeight="1" x14ac:dyDescent="0.25"/>
    <row r="52" s="223" customFormat="1" ht="12.75" customHeight="1" x14ac:dyDescent="0.25"/>
    <row r="53" s="223" customFormat="1" ht="12.75" customHeight="1" x14ac:dyDescent="0.25"/>
    <row r="54" s="223" customFormat="1" ht="12.75" customHeight="1" x14ac:dyDescent="0.25"/>
    <row r="55" s="223" customFormat="1" ht="12.75" customHeight="1" x14ac:dyDescent="0.25"/>
    <row r="56" s="223" customFormat="1" ht="12.75" customHeight="1" x14ac:dyDescent="0.25"/>
    <row r="57" s="223" customFormat="1" ht="12.75" customHeight="1" x14ac:dyDescent="0.25"/>
    <row r="58" s="223" customFormat="1" ht="12.75" customHeight="1" x14ac:dyDescent="0.25"/>
    <row r="59" s="223" customFormat="1" ht="12.75" customHeight="1" x14ac:dyDescent="0.25"/>
    <row r="60" s="223" customFormat="1" ht="12.75" customHeight="1" x14ac:dyDescent="0.25"/>
    <row r="61" s="223" customFormat="1" ht="12.75" customHeight="1" x14ac:dyDescent="0.25"/>
    <row r="62" s="223" customFormat="1" ht="12.75" customHeight="1" x14ac:dyDescent="0.25"/>
    <row r="63" s="223" customFormat="1" ht="12.75" customHeight="1" x14ac:dyDescent="0.25"/>
    <row r="64" s="223" customFormat="1" ht="12.75" customHeight="1" x14ac:dyDescent="0.25"/>
    <row r="65" s="223" customFormat="1" ht="12.75" customHeight="1" x14ac:dyDescent="0.25"/>
    <row r="66" s="223" customFormat="1" ht="12.75" customHeight="1" x14ac:dyDescent="0.25"/>
    <row r="67" s="223" customFormat="1" ht="12.75" customHeight="1" x14ac:dyDescent="0.25"/>
    <row r="68" s="223" customFormat="1" ht="12.75" customHeight="1" x14ac:dyDescent="0.25"/>
    <row r="69" s="223" customFormat="1" ht="12.75" customHeight="1" x14ac:dyDescent="0.25"/>
    <row r="70" s="223" customFormat="1" ht="12.75" customHeight="1" x14ac:dyDescent="0.25"/>
    <row r="71" s="223" customFormat="1" ht="12.75" customHeight="1" x14ac:dyDescent="0.25"/>
    <row r="72" s="223" customFormat="1" ht="12.75" customHeight="1" x14ac:dyDescent="0.25"/>
    <row r="73" s="223" customFormat="1" ht="12.75" customHeight="1" x14ac:dyDescent="0.25"/>
    <row r="74" s="223" customFormat="1" ht="12.75" customHeight="1" x14ac:dyDescent="0.25"/>
    <row r="75" s="223" customFormat="1" ht="12.75" customHeight="1" x14ac:dyDescent="0.25"/>
    <row r="76" s="223" customFormat="1" ht="12.75" customHeight="1" x14ac:dyDescent="0.25"/>
    <row r="77" s="223" customFormat="1" ht="12.75" customHeight="1" x14ac:dyDescent="0.25"/>
    <row r="78" s="223" customFormat="1" ht="12.75" customHeight="1" x14ac:dyDescent="0.25"/>
    <row r="79" s="223" customFormat="1" ht="12.75" customHeight="1" x14ac:dyDescent="0.25"/>
    <row r="80" s="223" customFormat="1" ht="12.75" customHeight="1" x14ac:dyDescent="0.25"/>
    <row r="81" s="223" customFormat="1" ht="12.75" customHeight="1" x14ac:dyDescent="0.25"/>
    <row r="82" s="223" customFormat="1" ht="12.75" customHeight="1" x14ac:dyDescent="0.25"/>
    <row r="83" s="223" customFormat="1" ht="12.75" customHeight="1" x14ac:dyDescent="0.25"/>
    <row r="84" s="223" customFormat="1" ht="12.75" customHeight="1" x14ac:dyDescent="0.25"/>
    <row r="85" s="223" customFormat="1" ht="12.75" customHeight="1" x14ac:dyDescent="0.25"/>
    <row r="86" s="223" customFormat="1" ht="12.75" customHeight="1" x14ac:dyDescent="0.25"/>
    <row r="87" s="223" customFormat="1" ht="12.75" customHeight="1" x14ac:dyDescent="0.25"/>
    <row r="88" s="223" customFormat="1" ht="12.75" customHeight="1" x14ac:dyDescent="0.25"/>
    <row r="89" s="223" customFormat="1" ht="12.75" customHeight="1" x14ac:dyDescent="0.25"/>
    <row r="90" s="223" customFormat="1" ht="12.75" customHeight="1" x14ac:dyDescent="0.25"/>
    <row r="91" s="223" customFormat="1" ht="12.75" customHeight="1" x14ac:dyDescent="0.25"/>
    <row r="92" s="223" customFormat="1" ht="12.75" customHeight="1" x14ac:dyDescent="0.25"/>
    <row r="93" s="223" customFormat="1" ht="12.75" customHeight="1" x14ac:dyDescent="0.25"/>
    <row r="94" s="223" customFormat="1" ht="12.75" customHeight="1" x14ac:dyDescent="0.25"/>
    <row r="95" s="223" customFormat="1" ht="12.75" customHeight="1" x14ac:dyDescent="0.25"/>
    <row r="96" s="223" customFormat="1" ht="12.75" customHeight="1" x14ac:dyDescent="0.25"/>
    <row r="97" s="223" customFormat="1" ht="12.75" customHeight="1" x14ac:dyDescent="0.25"/>
    <row r="98" s="223" customFormat="1" ht="12.75" customHeight="1" x14ac:dyDescent="0.25"/>
    <row r="99" s="223" customFormat="1" ht="12.75" customHeight="1" x14ac:dyDescent="0.25"/>
    <row r="100" s="223" customFormat="1" ht="12.75" customHeight="1" x14ac:dyDescent="0.25"/>
    <row r="101" s="223" customFormat="1" ht="12.75" customHeight="1" x14ac:dyDescent="0.25"/>
    <row r="102" s="223" customFormat="1" ht="12.75" customHeight="1" x14ac:dyDescent="0.25"/>
    <row r="103" s="223" customFormat="1" ht="12.75" customHeight="1" x14ac:dyDescent="0.25"/>
    <row r="104" s="223" customFormat="1" ht="12.75" customHeight="1" x14ac:dyDescent="0.25"/>
    <row r="105" s="223" customFormat="1" ht="12.75" customHeight="1" x14ac:dyDescent="0.25"/>
    <row r="106" s="223" customFormat="1" ht="12.75" customHeight="1" x14ac:dyDescent="0.25"/>
    <row r="107" s="223" customFormat="1" ht="12.75" customHeight="1" x14ac:dyDescent="0.25"/>
    <row r="108" s="223" customFormat="1" ht="12.75" customHeight="1" x14ac:dyDescent="0.25"/>
    <row r="109" s="223" customFormat="1" ht="12.75" customHeight="1" x14ac:dyDescent="0.25"/>
    <row r="110" s="223" customFormat="1" ht="12.75" customHeight="1" x14ac:dyDescent="0.25"/>
    <row r="111" s="223" customFormat="1" ht="12.75" customHeight="1" x14ac:dyDescent="0.25"/>
    <row r="112" s="223" customFormat="1" ht="12.75" customHeight="1" x14ac:dyDescent="0.25"/>
    <row r="113" s="223" customFormat="1" ht="12.75" customHeight="1" x14ac:dyDescent="0.25"/>
    <row r="114" s="223" customFormat="1" ht="12.75" customHeight="1" x14ac:dyDescent="0.25"/>
    <row r="115" s="223" customFormat="1" ht="12.75" customHeight="1" x14ac:dyDescent="0.25"/>
    <row r="116" s="223" customFormat="1" ht="12.75" customHeight="1" x14ac:dyDescent="0.25"/>
    <row r="117" s="223" customFormat="1" ht="12.75" customHeight="1" x14ac:dyDescent="0.25"/>
    <row r="118" s="223" customFormat="1" ht="12.75" customHeight="1" x14ac:dyDescent="0.25"/>
    <row r="119" s="223" customFormat="1" ht="12.75" customHeight="1" x14ac:dyDescent="0.25"/>
    <row r="120" s="223" customFormat="1" ht="12.75" customHeight="1" x14ac:dyDescent="0.25"/>
    <row r="121" s="223" customFormat="1" ht="12.75" customHeight="1" x14ac:dyDescent="0.25"/>
    <row r="122" s="223" customFormat="1" ht="12.75" customHeight="1" x14ac:dyDescent="0.25"/>
    <row r="123" s="223" customFormat="1" ht="12.75" customHeight="1" x14ac:dyDescent="0.25"/>
    <row r="124" s="223" customFormat="1" ht="12.75" customHeight="1" x14ac:dyDescent="0.25"/>
    <row r="125" s="223" customFormat="1" ht="12.75" customHeight="1" x14ac:dyDescent="0.25"/>
    <row r="126" s="223" customFormat="1" ht="12.75" customHeight="1" x14ac:dyDescent="0.25"/>
    <row r="127" s="223" customFormat="1" ht="12.75" customHeight="1" x14ac:dyDescent="0.25"/>
    <row r="128" s="223" customFormat="1" ht="12.75" customHeight="1" x14ac:dyDescent="0.25"/>
    <row r="129" s="223" customFormat="1" ht="12.75" customHeight="1" x14ac:dyDescent="0.25"/>
    <row r="130" s="223" customFormat="1" ht="12.75" customHeight="1" x14ac:dyDescent="0.25"/>
    <row r="131" s="223" customFormat="1" ht="12.75" customHeight="1" x14ac:dyDescent="0.25"/>
    <row r="132" s="223" customFormat="1" ht="12.75" customHeight="1" x14ac:dyDescent="0.25"/>
    <row r="133" s="223" customFormat="1" ht="12.75" customHeight="1" x14ac:dyDescent="0.25"/>
    <row r="134" s="223" customFormat="1" ht="12.75" customHeight="1" x14ac:dyDescent="0.25"/>
    <row r="135" s="223" customFormat="1" ht="12.75" customHeight="1" x14ac:dyDescent="0.25"/>
    <row r="136" s="223" customFormat="1" ht="12.75" customHeight="1" x14ac:dyDescent="0.25"/>
    <row r="137" s="223" customFormat="1" ht="12.75" customHeight="1" x14ac:dyDescent="0.25"/>
    <row r="138" s="223" customFormat="1" ht="12.75" customHeight="1" x14ac:dyDescent="0.25"/>
    <row r="139" s="223" customFormat="1" ht="12.75" customHeight="1" x14ac:dyDescent="0.25"/>
    <row r="140" s="223" customFormat="1" ht="12.75" customHeight="1" x14ac:dyDescent="0.25"/>
    <row r="141" s="223" customFormat="1" ht="12.75" customHeight="1" x14ac:dyDescent="0.25"/>
    <row r="142" s="223" customFormat="1" ht="12.75" customHeight="1" x14ac:dyDescent="0.25"/>
    <row r="143" s="223" customFormat="1" ht="12.75" customHeight="1" x14ac:dyDescent="0.25"/>
    <row r="144" s="223" customFormat="1" ht="12.75" customHeight="1" x14ac:dyDescent="0.25"/>
    <row r="145" s="223" customFormat="1" ht="12.75" customHeight="1" x14ac:dyDescent="0.25"/>
    <row r="146" s="223" customFormat="1" ht="12.75" customHeight="1" x14ac:dyDescent="0.25"/>
    <row r="147" s="223" customFormat="1" ht="12.75" customHeight="1" x14ac:dyDescent="0.25"/>
    <row r="148" s="223" customFormat="1" ht="12.75" customHeight="1" x14ac:dyDescent="0.25"/>
    <row r="149" s="223" customFormat="1" ht="12.75" customHeight="1" x14ac:dyDescent="0.25"/>
    <row r="150" s="223" customFormat="1" ht="12.75" customHeight="1" x14ac:dyDescent="0.25"/>
    <row r="151" s="223" customFormat="1" ht="12.75" customHeight="1" x14ac:dyDescent="0.25"/>
    <row r="152" s="223" customFormat="1" ht="12.75" customHeight="1" x14ac:dyDescent="0.25"/>
    <row r="153" s="223" customFormat="1" ht="12.75" customHeight="1" x14ac:dyDescent="0.25"/>
    <row r="154" s="223" customFormat="1" ht="12.75" customHeight="1" x14ac:dyDescent="0.25"/>
    <row r="155" s="223" customFormat="1" ht="12.75" customHeight="1" x14ac:dyDescent="0.25"/>
    <row r="156" s="223" customFormat="1" ht="12.75" customHeight="1" x14ac:dyDescent="0.25"/>
    <row r="157" s="223" customFormat="1" ht="12.75" customHeight="1" x14ac:dyDescent="0.25"/>
    <row r="158" s="223" customFormat="1" ht="12.75" customHeight="1" x14ac:dyDescent="0.25"/>
    <row r="159" s="223" customFormat="1" ht="12.75" customHeight="1" x14ac:dyDescent="0.25"/>
    <row r="160" s="223" customFormat="1" ht="12.75" customHeight="1" x14ac:dyDescent="0.25"/>
    <row r="161" s="223" customFormat="1" ht="12.75" customHeight="1" x14ac:dyDescent="0.25"/>
    <row r="162" s="223" customFormat="1" ht="12.75" customHeight="1" x14ac:dyDescent="0.25"/>
    <row r="163" s="223" customFormat="1" ht="12.75" customHeight="1" x14ac:dyDescent="0.25"/>
    <row r="164" s="223" customFormat="1" ht="12.75" customHeight="1" x14ac:dyDescent="0.25"/>
    <row r="165" s="223" customFormat="1" ht="12.75" customHeight="1" x14ac:dyDescent="0.25"/>
    <row r="166" s="223" customFormat="1" ht="12.75" customHeight="1" x14ac:dyDescent="0.25"/>
    <row r="167" s="223" customFormat="1" ht="12.75" customHeight="1" x14ac:dyDescent="0.25"/>
    <row r="168" s="223" customFormat="1" ht="12.75" customHeight="1" x14ac:dyDescent="0.25"/>
    <row r="169" s="223" customFormat="1" ht="12.75" customHeight="1" x14ac:dyDescent="0.25"/>
    <row r="170" s="223" customFormat="1" ht="12.75" customHeight="1" x14ac:dyDescent="0.25"/>
    <row r="171" s="223" customFormat="1" ht="12.75" customHeight="1" x14ac:dyDescent="0.25"/>
    <row r="172" s="223" customFormat="1" ht="12.75" customHeight="1" x14ac:dyDescent="0.25"/>
    <row r="173" s="223" customFormat="1" ht="12.75" customHeight="1" x14ac:dyDescent="0.25"/>
    <row r="174" s="223" customFormat="1" ht="12.75" customHeight="1" x14ac:dyDescent="0.25"/>
    <row r="175" s="223" customFormat="1" ht="12.75" customHeight="1" x14ac:dyDescent="0.25"/>
    <row r="176" s="223" customFormat="1" ht="12.75" customHeight="1" x14ac:dyDescent="0.25"/>
  </sheetData>
  <conditionalFormatting sqref="I8 I10:I23">
    <cfRule type="cellIs" dxfId="48"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E2946-D1E5-480E-A3BD-CAFF238B66E3}">
  <sheetPr>
    <pageSetUpPr fitToPage="1"/>
  </sheetPr>
  <dimension ref="A1:J171"/>
  <sheetViews>
    <sheetView zoomScaleNormal="100" workbookViewId="0">
      <selection activeCell="F11" sqref="F1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140625" customWidth="1"/>
    <col min="9" max="9" width="15.140625" customWidth="1"/>
    <col min="10" max="10" width="5.710937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#9496.00'!B1</f>
        <v>DOC NCCF Replace Windows in Education Building</v>
      </c>
      <c r="B1" s="3"/>
      <c r="C1" s="4"/>
      <c r="D1" s="4"/>
      <c r="E1" s="4"/>
      <c r="F1" s="28"/>
      <c r="G1" s="28"/>
      <c r="H1" s="29"/>
      <c r="I1" s="29"/>
    </row>
    <row r="2" spans="1:10" ht="15.75" x14ac:dyDescent="0.25">
      <c r="A2" s="6" t="str">
        <f>'RECAP #9496.00'!B2</f>
        <v>Project # 9496.00</v>
      </c>
      <c r="B2" s="5"/>
      <c r="C2" s="4"/>
      <c r="D2" s="4"/>
      <c r="E2" s="4"/>
      <c r="F2" s="28"/>
      <c r="G2" s="28"/>
      <c r="H2" s="29"/>
      <c r="I2" s="29"/>
    </row>
    <row r="3" spans="1:10" ht="15.75" x14ac:dyDescent="0.25">
      <c r="A3" s="7" t="str">
        <f>'RECAP #9496.00'!B3</f>
        <v>Program code 949600</v>
      </c>
      <c r="B3" s="5"/>
      <c r="C3" s="4"/>
      <c r="D3" s="8" t="str">
        <f>'RECAP #9496.00'!E3</f>
        <v>Major Program 4E01</v>
      </c>
      <c r="E3" s="4"/>
      <c r="F3" s="28"/>
      <c r="G3" s="28"/>
      <c r="H3" s="29"/>
      <c r="I3" s="29"/>
    </row>
    <row r="4" spans="1:10" ht="15.75" x14ac:dyDescent="0.25">
      <c r="A4" s="30" t="s">
        <v>1145</v>
      </c>
      <c r="B4" s="31"/>
      <c r="C4" s="32"/>
      <c r="D4" s="33" t="s">
        <v>1146</v>
      </c>
      <c r="E4" s="28"/>
      <c r="F4" s="28"/>
      <c r="G4" s="28"/>
      <c r="H4" s="29"/>
      <c r="I4" s="29"/>
    </row>
    <row r="5" spans="1:10" ht="15.75" x14ac:dyDescent="0.25">
      <c r="A5" s="34" t="s">
        <v>104</v>
      </c>
      <c r="B5" s="35"/>
      <c r="C5" s="36"/>
      <c r="D5" s="37" t="s">
        <v>1147</v>
      </c>
      <c r="E5" s="38"/>
      <c r="F5" s="39"/>
      <c r="G5" s="39"/>
      <c r="H5" s="35"/>
      <c r="I5" s="29"/>
    </row>
    <row r="6" spans="1:10" ht="15.75" x14ac:dyDescent="0.25">
      <c r="A6" s="11" t="str">
        <f>'RECAP #9496.00'!B6</f>
        <v>Project Manager - Jennie E</v>
      </c>
      <c r="B6" s="11"/>
      <c r="C6" s="40"/>
      <c r="D6" s="41" t="s">
        <v>386</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89" t="s">
        <v>529</v>
      </c>
    </row>
    <row r="9" spans="1:10" s="223" customFormat="1" ht="12.75" customHeight="1" x14ac:dyDescent="0.25">
      <c r="A9" s="339" t="s">
        <v>1148</v>
      </c>
      <c r="B9" s="340">
        <v>46203</v>
      </c>
      <c r="C9" s="341" t="s">
        <v>109</v>
      </c>
      <c r="D9" s="342">
        <v>226518</v>
      </c>
      <c r="E9" s="343">
        <f>D9</f>
        <v>226518</v>
      </c>
      <c r="F9" s="344"/>
      <c r="G9" s="344"/>
      <c r="H9" s="344">
        <f>E9</f>
        <v>226518</v>
      </c>
      <c r="I9" s="333"/>
      <c r="J9" s="333" t="s">
        <v>1285</v>
      </c>
    </row>
    <row r="10" spans="1:10" s="223" customFormat="1" ht="12.75" customHeight="1" x14ac:dyDescent="0.25">
      <c r="A10" s="230" t="s">
        <v>1303</v>
      </c>
      <c r="B10" s="177">
        <v>46225</v>
      </c>
      <c r="C10" s="231" t="s">
        <v>1286</v>
      </c>
      <c r="D10" s="232">
        <v>0</v>
      </c>
      <c r="E10" s="233">
        <f t="shared" ref="E10:E21" si="0">E9+D10</f>
        <v>226518</v>
      </c>
      <c r="F10" s="237"/>
      <c r="G10" s="234">
        <f t="shared" ref="G10:G21" si="1">G9+F10</f>
        <v>0</v>
      </c>
      <c r="H10" s="234">
        <f t="shared" ref="H10:H21" si="2">H9-F10+D10</f>
        <v>226518</v>
      </c>
      <c r="I10" s="235"/>
    </row>
    <row r="11" spans="1:10" s="223" customFormat="1" ht="12.75" customHeight="1" x14ac:dyDescent="0.25">
      <c r="A11" s="230" t="s">
        <v>1591</v>
      </c>
      <c r="B11" s="177">
        <v>46287</v>
      </c>
      <c r="C11" s="231" t="s">
        <v>1592</v>
      </c>
      <c r="D11" s="233"/>
      <c r="E11" s="233">
        <f t="shared" si="0"/>
        <v>226518</v>
      </c>
      <c r="F11" s="237">
        <v>5071.45</v>
      </c>
      <c r="G11" s="234">
        <f t="shared" si="1"/>
        <v>5071.45</v>
      </c>
      <c r="H11" s="234">
        <f t="shared" si="2"/>
        <v>221446.55</v>
      </c>
      <c r="I11" s="297">
        <v>156.85</v>
      </c>
    </row>
    <row r="12" spans="1:10" s="223" customFormat="1" ht="12.75" customHeight="1" x14ac:dyDescent="0.25">
      <c r="A12" s="230"/>
      <c r="B12" s="177"/>
      <c r="C12" s="231"/>
      <c r="D12" s="233"/>
      <c r="E12" s="233">
        <f t="shared" si="0"/>
        <v>226518</v>
      </c>
      <c r="F12" s="237"/>
      <c r="G12" s="234">
        <f t="shared" si="1"/>
        <v>5071.45</v>
      </c>
      <c r="H12" s="234">
        <f t="shared" si="2"/>
        <v>221446.55</v>
      </c>
      <c r="I12" s="297"/>
    </row>
    <row r="13" spans="1:10" s="223" customFormat="1" ht="12.75" customHeight="1" x14ac:dyDescent="0.25">
      <c r="A13" s="230"/>
      <c r="B13" s="177"/>
      <c r="C13" s="231"/>
      <c r="D13" s="233"/>
      <c r="E13" s="233">
        <f t="shared" si="0"/>
        <v>226518</v>
      </c>
      <c r="F13" s="237"/>
      <c r="G13" s="234">
        <f t="shared" si="1"/>
        <v>5071.45</v>
      </c>
      <c r="H13" s="234">
        <f t="shared" si="2"/>
        <v>221446.55</v>
      </c>
      <c r="I13" s="297"/>
    </row>
    <row r="14" spans="1:10" s="223" customFormat="1" ht="12.75" customHeight="1" x14ac:dyDescent="0.25">
      <c r="A14" s="230"/>
      <c r="B14" s="177"/>
      <c r="C14" s="231"/>
      <c r="D14" s="233"/>
      <c r="E14" s="233">
        <f t="shared" si="0"/>
        <v>226518</v>
      </c>
      <c r="F14" s="238"/>
      <c r="G14" s="234">
        <f t="shared" si="1"/>
        <v>5071.45</v>
      </c>
      <c r="H14" s="234">
        <f t="shared" si="2"/>
        <v>221446.55</v>
      </c>
      <c r="I14" s="297"/>
    </row>
    <row r="15" spans="1:10" s="223" customFormat="1" ht="12.75" customHeight="1" x14ac:dyDescent="0.25">
      <c r="A15" s="230"/>
      <c r="B15" s="177"/>
      <c r="C15" s="231"/>
      <c r="D15" s="233"/>
      <c r="E15" s="233">
        <f t="shared" si="0"/>
        <v>226518</v>
      </c>
      <c r="F15" s="238"/>
      <c r="G15" s="234">
        <f t="shared" si="1"/>
        <v>5071.45</v>
      </c>
      <c r="H15" s="234">
        <f t="shared" si="2"/>
        <v>221446.55</v>
      </c>
      <c r="I15" s="297"/>
    </row>
    <row r="16" spans="1:10" s="223" customFormat="1" ht="12.75" customHeight="1" x14ac:dyDescent="0.25">
      <c r="A16" s="230"/>
      <c r="B16" s="177"/>
      <c r="C16" s="231"/>
      <c r="D16" s="233"/>
      <c r="E16" s="233">
        <f t="shared" si="0"/>
        <v>226518</v>
      </c>
      <c r="F16" s="238"/>
      <c r="G16" s="234">
        <f t="shared" si="1"/>
        <v>5071.45</v>
      </c>
      <c r="H16" s="234">
        <f t="shared" si="2"/>
        <v>221446.55</v>
      </c>
      <c r="I16" s="297"/>
    </row>
    <row r="17" spans="1:9" s="223" customFormat="1" ht="12.75" customHeight="1" x14ac:dyDescent="0.25">
      <c r="A17" s="230"/>
      <c r="B17" s="177"/>
      <c r="C17" s="231"/>
      <c r="D17" s="233"/>
      <c r="E17" s="233">
        <f t="shared" si="0"/>
        <v>226518</v>
      </c>
      <c r="F17" s="238"/>
      <c r="G17" s="234">
        <f t="shared" si="1"/>
        <v>5071.45</v>
      </c>
      <c r="H17" s="234">
        <f t="shared" si="2"/>
        <v>221446.55</v>
      </c>
      <c r="I17" s="297"/>
    </row>
    <row r="18" spans="1:9" s="223" customFormat="1" ht="12.75" customHeight="1" x14ac:dyDescent="0.25">
      <c r="A18" s="230"/>
      <c r="B18" s="177"/>
      <c r="C18" s="231"/>
      <c r="D18" s="233"/>
      <c r="E18" s="233">
        <f t="shared" si="0"/>
        <v>226518</v>
      </c>
      <c r="F18" s="238"/>
      <c r="G18" s="234">
        <f t="shared" si="1"/>
        <v>5071.45</v>
      </c>
      <c r="H18" s="234">
        <f t="shared" si="2"/>
        <v>221446.55</v>
      </c>
      <c r="I18" s="297"/>
    </row>
    <row r="19" spans="1:9" s="223" customFormat="1" ht="12.75" customHeight="1" x14ac:dyDescent="0.25">
      <c r="A19" s="230"/>
      <c r="B19" s="177"/>
      <c r="C19" s="231"/>
      <c r="D19" s="233"/>
      <c r="E19" s="233">
        <f t="shared" si="0"/>
        <v>226518</v>
      </c>
      <c r="F19" s="234"/>
      <c r="G19" s="234">
        <f t="shared" si="1"/>
        <v>5071.45</v>
      </c>
      <c r="H19" s="234">
        <f t="shared" si="2"/>
        <v>221446.55</v>
      </c>
      <c r="I19" s="297"/>
    </row>
    <row r="20" spans="1:9" s="223" customFormat="1" ht="12.75" customHeight="1" x14ac:dyDescent="0.25">
      <c r="A20" s="230"/>
      <c r="B20" s="177"/>
      <c r="C20" s="231"/>
      <c r="D20" s="233"/>
      <c r="E20" s="233">
        <f t="shared" si="0"/>
        <v>226518</v>
      </c>
      <c r="F20" s="234"/>
      <c r="G20" s="234">
        <f t="shared" si="1"/>
        <v>5071.45</v>
      </c>
      <c r="H20" s="234">
        <f t="shared" si="2"/>
        <v>221446.55</v>
      </c>
      <c r="I20" s="297"/>
    </row>
    <row r="21" spans="1:9" s="223" customFormat="1" ht="12.75" customHeight="1" x14ac:dyDescent="0.25">
      <c r="A21" s="230"/>
      <c r="B21" s="177"/>
      <c r="C21" s="239"/>
      <c r="D21" s="233"/>
      <c r="E21" s="233">
        <f t="shared" si="0"/>
        <v>226518</v>
      </c>
      <c r="F21" s="234"/>
      <c r="G21" s="234">
        <f t="shared" si="1"/>
        <v>5071.45</v>
      </c>
      <c r="H21" s="234">
        <f t="shared" si="2"/>
        <v>221446.55</v>
      </c>
      <c r="I21" s="297"/>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226518</v>
      </c>
      <c r="E23" s="245"/>
      <c r="F23" s="245">
        <f>SUM(F9:F22)</f>
        <v>5071.45</v>
      </c>
      <c r="G23" s="245"/>
      <c r="H23" s="245">
        <f>D23-F23</f>
        <v>221446.55</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row r="26" spans="1:9" s="223" customFormat="1" ht="12.75" customHeight="1" x14ac:dyDescent="0.25"/>
    <row r="27" spans="1:9" s="223" customFormat="1" ht="12.75" customHeight="1" x14ac:dyDescent="0.25"/>
    <row r="28" spans="1:9" s="223" customFormat="1" ht="12.75" customHeight="1" x14ac:dyDescent="0.25"/>
    <row r="29" spans="1:9" s="223" customFormat="1" ht="12.75" customHeight="1" x14ac:dyDescent="0.25"/>
    <row r="30" spans="1:9" s="223" customFormat="1" ht="12.75" customHeight="1" x14ac:dyDescent="0.25"/>
    <row r="31" spans="1:9" s="223" customFormat="1" ht="12.75" customHeight="1" x14ac:dyDescent="0.25"/>
    <row r="32" spans="1:9" s="223" customFormat="1" ht="12.75" customHeight="1" x14ac:dyDescent="0.25"/>
    <row r="33" s="223" customFormat="1" ht="12.75" customHeight="1" x14ac:dyDescent="0.25"/>
    <row r="34" s="223" customFormat="1" ht="12.75" customHeight="1" x14ac:dyDescent="0.25"/>
    <row r="35" s="223" customFormat="1" ht="12.75" customHeight="1" x14ac:dyDescent="0.25"/>
    <row r="36" s="223" customFormat="1" ht="12.75" customHeight="1" x14ac:dyDescent="0.25"/>
    <row r="37" s="223" customFormat="1" ht="12.75" customHeight="1" x14ac:dyDescent="0.25"/>
    <row r="38" s="223" customFormat="1" ht="12.75" customHeight="1" x14ac:dyDescent="0.25"/>
    <row r="39" s="223" customFormat="1" ht="12.75" customHeight="1" x14ac:dyDescent="0.25"/>
    <row r="40" s="223" customFormat="1" ht="12.75" customHeight="1" x14ac:dyDescent="0.25"/>
    <row r="41" s="223" customFormat="1" ht="12.75" customHeight="1" x14ac:dyDescent="0.25"/>
    <row r="42" s="223" customFormat="1" ht="12.75" customHeight="1" x14ac:dyDescent="0.25"/>
    <row r="43" s="223" customFormat="1" ht="12.75" customHeight="1" x14ac:dyDescent="0.25"/>
    <row r="44" s="223" customFormat="1" ht="12.75" customHeight="1" x14ac:dyDescent="0.25"/>
    <row r="45" s="223" customFormat="1" ht="12.75" customHeight="1" x14ac:dyDescent="0.25"/>
    <row r="46" s="223" customFormat="1" ht="12.75" customHeight="1" x14ac:dyDescent="0.25"/>
    <row r="47" s="223" customFormat="1" ht="12.75" customHeight="1" x14ac:dyDescent="0.25"/>
    <row r="48" s="223" customFormat="1" ht="12.75" customHeight="1" x14ac:dyDescent="0.25"/>
    <row r="49" s="223" customFormat="1" ht="12.75" customHeight="1" x14ac:dyDescent="0.25"/>
    <row r="50" s="223" customFormat="1" ht="12.75" customHeight="1" x14ac:dyDescent="0.25"/>
    <row r="51" s="223" customFormat="1" ht="12.75" customHeight="1" x14ac:dyDescent="0.25"/>
    <row r="52" s="223" customFormat="1" ht="12.75" customHeight="1" x14ac:dyDescent="0.25"/>
    <row r="53" s="223" customFormat="1" ht="12.75" customHeight="1" x14ac:dyDescent="0.25"/>
    <row r="54" s="223" customFormat="1" ht="12.75" customHeight="1" x14ac:dyDescent="0.25"/>
    <row r="55" s="223" customFormat="1" ht="12.75" customHeight="1" x14ac:dyDescent="0.25"/>
    <row r="56" s="223" customFormat="1" ht="12.75" customHeight="1" x14ac:dyDescent="0.25"/>
    <row r="57" s="223" customFormat="1" ht="12.75" customHeight="1" x14ac:dyDescent="0.25"/>
    <row r="58" s="223" customFormat="1" ht="12.75" customHeight="1" x14ac:dyDescent="0.25"/>
    <row r="59" s="223" customFormat="1" ht="12.75" customHeight="1" x14ac:dyDescent="0.25"/>
    <row r="60" s="223" customFormat="1" ht="12.75" customHeight="1" x14ac:dyDescent="0.25"/>
    <row r="61" s="223" customFormat="1" ht="12.75" customHeight="1" x14ac:dyDescent="0.25"/>
    <row r="62" s="223" customFormat="1" ht="12.75" customHeight="1" x14ac:dyDescent="0.25"/>
    <row r="63" s="223" customFormat="1" ht="12.75" customHeight="1" x14ac:dyDescent="0.25"/>
    <row r="64" s="223" customFormat="1" ht="12.75" customHeight="1" x14ac:dyDescent="0.25"/>
    <row r="65" s="223" customFormat="1" ht="12.75" customHeight="1" x14ac:dyDescent="0.25"/>
    <row r="66" s="223" customFormat="1" ht="12.75" customHeight="1" x14ac:dyDescent="0.25"/>
    <row r="67" s="223" customFormat="1" ht="12.75" customHeight="1" x14ac:dyDescent="0.25"/>
    <row r="68" s="223" customFormat="1" ht="12.75" customHeight="1" x14ac:dyDescent="0.25"/>
    <row r="69" s="223" customFormat="1" ht="12.75" customHeight="1" x14ac:dyDescent="0.25"/>
    <row r="70" s="223" customFormat="1" ht="12.75" customHeight="1" x14ac:dyDescent="0.25"/>
    <row r="71" s="223" customFormat="1" ht="12.75" customHeight="1" x14ac:dyDescent="0.25"/>
    <row r="72" s="223" customFormat="1" ht="12.75" customHeight="1" x14ac:dyDescent="0.25"/>
    <row r="73" s="223" customFormat="1" ht="12.75" customHeight="1" x14ac:dyDescent="0.25"/>
    <row r="74" s="223" customFormat="1" ht="12.75" customHeight="1" x14ac:dyDescent="0.25"/>
    <row r="75" s="223" customFormat="1" ht="12.75" customHeight="1" x14ac:dyDescent="0.25"/>
    <row r="76" s="223" customFormat="1" ht="12.75" customHeight="1" x14ac:dyDescent="0.25"/>
    <row r="77" s="223" customFormat="1" ht="12.75" customHeight="1" x14ac:dyDescent="0.25"/>
    <row r="78" s="223" customFormat="1" ht="12.75" customHeight="1" x14ac:dyDescent="0.25"/>
    <row r="79" s="223" customFormat="1" ht="12.75" customHeight="1" x14ac:dyDescent="0.25"/>
    <row r="80" s="223" customFormat="1" ht="12.75" customHeight="1" x14ac:dyDescent="0.25"/>
    <row r="81" s="223" customFormat="1" ht="12.75" customHeight="1" x14ac:dyDescent="0.25"/>
    <row r="82" s="223" customFormat="1" ht="12.75" customHeight="1" x14ac:dyDescent="0.25"/>
    <row r="83" s="223" customFormat="1" ht="12.75" customHeight="1" x14ac:dyDescent="0.25"/>
    <row r="84" s="223" customFormat="1" ht="12.75" customHeight="1" x14ac:dyDescent="0.25"/>
    <row r="85" s="223" customFormat="1" ht="12.75" customHeight="1" x14ac:dyDescent="0.25"/>
    <row r="86" s="223" customFormat="1" ht="12.75" customHeight="1" x14ac:dyDescent="0.25"/>
    <row r="87" s="223" customFormat="1" ht="12.75" customHeight="1" x14ac:dyDescent="0.25"/>
    <row r="88" s="223" customFormat="1" ht="12.75" customHeight="1" x14ac:dyDescent="0.25"/>
    <row r="89" s="223" customFormat="1" ht="12.75" customHeight="1" x14ac:dyDescent="0.25"/>
    <row r="90" s="223" customFormat="1" ht="12.75" customHeight="1" x14ac:dyDescent="0.25"/>
    <row r="91" s="223" customFormat="1" ht="12.75" customHeight="1" x14ac:dyDescent="0.25"/>
    <row r="92" s="223" customFormat="1" ht="12.75" customHeight="1" x14ac:dyDescent="0.25"/>
    <row r="93" s="223" customFormat="1" ht="12.75" customHeight="1" x14ac:dyDescent="0.25"/>
    <row r="94" s="223" customFormat="1" ht="12.75" customHeight="1" x14ac:dyDescent="0.25"/>
    <row r="95" s="223" customFormat="1" ht="12.75" customHeight="1" x14ac:dyDescent="0.25"/>
    <row r="96" s="223" customFormat="1" ht="12.75" customHeight="1" x14ac:dyDescent="0.25"/>
    <row r="97" s="223" customFormat="1" ht="12.75" customHeight="1" x14ac:dyDescent="0.25"/>
    <row r="98" s="223" customFormat="1" ht="12.75" customHeight="1" x14ac:dyDescent="0.25"/>
    <row r="99" s="223" customFormat="1" ht="12.75" customHeight="1" x14ac:dyDescent="0.25"/>
    <row r="100" s="223" customFormat="1" ht="12.75" customHeight="1" x14ac:dyDescent="0.25"/>
    <row r="101" s="223" customFormat="1" ht="12.75" customHeight="1" x14ac:dyDescent="0.25"/>
    <row r="102" s="223" customFormat="1" ht="12.75" customHeight="1" x14ac:dyDescent="0.25"/>
    <row r="103" s="223" customFormat="1" ht="12.75" customHeight="1" x14ac:dyDescent="0.25"/>
    <row r="104" s="223" customFormat="1" ht="12.75" customHeight="1" x14ac:dyDescent="0.25"/>
    <row r="105" s="223" customFormat="1" ht="12.75" customHeight="1" x14ac:dyDescent="0.25"/>
    <row r="106" s="223" customFormat="1" ht="12.75" customHeight="1" x14ac:dyDescent="0.25"/>
    <row r="107" s="223" customFormat="1" ht="12.75" customHeight="1" x14ac:dyDescent="0.25"/>
    <row r="108" s="223" customFormat="1" ht="12.75" customHeight="1" x14ac:dyDescent="0.25"/>
    <row r="109" s="223" customFormat="1" ht="12.75" customHeight="1" x14ac:dyDescent="0.25"/>
    <row r="110" s="223" customFormat="1" ht="12.75" customHeight="1" x14ac:dyDescent="0.25"/>
    <row r="111" s="223" customFormat="1" ht="12.75" customHeight="1" x14ac:dyDescent="0.25"/>
    <row r="112" s="223" customFormat="1" ht="12.75" customHeight="1" x14ac:dyDescent="0.25"/>
    <row r="113" s="223" customFormat="1" ht="12.75" customHeight="1" x14ac:dyDescent="0.25"/>
    <row r="114" s="223" customFormat="1" ht="12.75" customHeight="1" x14ac:dyDescent="0.25"/>
    <row r="115" s="223" customFormat="1" ht="12.75" customHeight="1" x14ac:dyDescent="0.25"/>
    <row r="116" s="223" customFormat="1" ht="12.75" customHeight="1" x14ac:dyDescent="0.25"/>
    <row r="117" s="223" customFormat="1" ht="12.75" customHeight="1" x14ac:dyDescent="0.25"/>
    <row r="118" s="223" customFormat="1" ht="12.75" customHeight="1" x14ac:dyDescent="0.25"/>
    <row r="119" s="223" customFormat="1" ht="12.75" customHeight="1" x14ac:dyDescent="0.25"/>
    <row r="120" s="223" customFormat="1" ht="12.75" customHeight="1" x14ac:dyDescent="0.25"/>
    <row r="121" s="223" customFormat="1" ht="12.75" customHeight="1" x14ac:dyDescent="0.25"/>
    <row r="122" s="223" customFormat="1" ht="12.75" customHeight="1" x14ac:dyDescent="0.25"/>
    <row r="123" s="223" customFormat="1" ht="12.75" customHeight="1" x14ac:dyDescent="0.25"/>
    <row r="124" s="223" customFormat="1" ht="12.75" customHeight="1" x14ac:dyDescent="0.25"/>
    <row r="125" s="223" customFormat="1" ht="12.75" customHeight="1" x14ac:dyDescent="0.25"/>
    <row r="126" s="223" customFormat="1" ht="12.75" customHeight="1" x14ac:dyDescent="0.25"/>
    <row r="127" s="223" customFormat="1" ht="12.75" customHeight="1" x14ac:dyDescent="0.25"/>
    <row r="128" s="223" customFormat="1" ht="12.75" customHeight="1" x14ac:dyDescent="0.25"/>
    <row r="129" s="223" customFormat="1" ht="12.75" customHeight="1" x14ac:dyDescent="0.25"/>
    <row r="130" s="223" customFormat="1" ht="12.75" customHeight="1" x14ac:dyDescent="0.25"/>
    <row r="131" s="223" customFormat="1" ht="12.75" customHeight="1" x14ac:dyDescent="0.25"/>
    <row r="132" s="223" customFormat="1" ht="12.75" customHeight="1" x14ac:dyDescent="0.25"/>
    <row r="133" s="223" customFormat="1" ht="12.75" customHeight="1" x14ac:dyDescent="0.25"/>
    <row r="134" s="223" customFormat="1" ht="12.75" customHeight="1" x14ac:dyDescent="0.25"/>
    <row r="135" s="223" customFormat="1" ht="12.75" customHeight="1" x14ac:dyDescent="0.25"/>
    <row r="136" s="223" customFormat="1" ht="12.75" customHeight="1" x14ac:dyDescent="0.25"/>
    <row r="137" s="223" customFormat="1" ht="12.75" customHeight="1" x14ac:dyDescent="0.25"/>
    <row r="138" s="223" customFormat="1" ht="12.75" customHeight="1" x14ac:dyDescent="0.25"/>
    <row r="139" s="223" customFormat="1" ht="12.75" customHeight="1" x14ac:dyDescent="0.25"/>
    <row r="140" s="223" customFormat="1" ht="12.75" customHeight="1" x14ac:dyDescent="0.25"/>
    <row r="141" s="223" customFormat="1" ht="12.75" customHeight="1" x14ac:dyDescent="0.25"/>
    <row r="142" s="223" customFormat="1" ht="12.75" customHeight="1" x14ac:dyDescent="0.25"/>
    <row r="143" s="223" customFormat="1" ht="12.75" customHeight="1" x14ac:dyDescent="0.25"/>
    <row r="144" s="223" customFormat="1" ht="12.75" customHeight="1" x14ac:dyDescent="0.25"/>
    <row r="145" s="223" customFormat="1" ht="12.75" customHeight="1" x14ac:dyDescent="0.25"/>
    <row r="146" s="223" customFormat="1" ht="12.75" customHeight="1" x14ac:dyDescent="0.25"/>
    <row r="147" s="223" customFormat="1" ht="12.75" customHeight="1" x14ac:dyDescent="0.25"/>
    <row r="148" s="223" customFormat="1" ht="12.75" customHeight="1" x14ac:dyDescent="0.25"/>
    <row r="149" s="223" customFormat="1" ht="12.75" customHeight="1" x14ac:dyDescent="0.25"/>
    <row r="150" s="223" customFormat="1" ht="12.75" customHeight="1" x14ac:dyDescent="0.25"/>
    <row r="151" s="223" customFormat="1" ht="12.75" customHeight="1" x14ac:dyDescent="0.25"/>
    <row r="152" s="223" customFormat="1" ht="12.75" customHeight="1" x14ac:dyDescent="0.25"/>
    <row r="153" s="223" customFormat="1" ht="12.75" customHeight="1" x14ac:dyDescent="0.25"/>
    <row r="154" s="223" customFormat="1" ht="12.75" customHeight="1" x14ac:dyDescent="0.25"/>
    <row r="155" s="223" customFormat="1" ht="12.75" customHeight="1" x14ac:dyDescent="0.25"/>
    <row r="156" s="223" customFormat="1" ht="12.75" customHeight="1" x14ac:dyDescent="0.25"/>
    <row r="157" s="223" customFormat="1" ht="12.75" customHeight="1" x14ac:dyDescent="0.25"/>
    <row r="158" s="223" customFormat="1" ht="12.75" customHeight="1" x14ac:dyDescent="0.25"/>
    <row r="159" s="223" customFormat="1" ht="12.75" customHeight="1" x14ac:dyDescent="0.25"/>
    <row r="160" s="223" customFormat="1" ht="12.75" customHeight="1" x14ac:dyDescent="0.25"/>
    <row r="161" s="223" customFormat="1" ht="12.75" customHeight="1" x14ac:dyDescent="0.25"/>
    <row r="162" s="223" customFormat="1" ht="12.75" customHeight="1" x14ac:dyDescent="0.25"/>
    <row r="163" s="223" customFormat="1" ht="12.75" customHeight="1" x14ac:dyDescent="0.25"/>
    <row r="164" s="223" customFormat="1" ht="12.75" customHeight="1" x14ac:dyDescent="0.25"/>
    <row r="165" s="223" customFormat="1" ht="12.75" customHeight="1" x14ac:dyDescent="0.25"/>
    <row r="166" s="223" customFormat="1" ht="12.75" customHeight="1" x14ac:dyDescent="0.25"/>
    <row r="167" s="223" customFormat="1" ht="12.75" customHeight="1" x14ac:dyDescent="0.25"/>
    <row r="168" s="223" customFormat="1" ht="12.75" customHeight="1" x14ac:dyDescent="0.25"/>
    <row r="169" s="223" customFormat="1" ht="12.75" customHeight="1" x14ac:dyDescent="0.25"/>
    <row r="170" s="223" customFormat="1" ht="12.75" customHeight="1" x14ac:dyDescent="0.25"/>
    <row r="171" s="223" customFormat="1" ht="12.75" customHeight="1" x14ac:dyDescent="0.25"/>
  </sheetData>
  <conditionalFormatting sqref="I10:I23">
    <cfRule type="cellIs" dxfId="47" priority="1" operator="greaterThan">
      <formula>$H$23</formula>
    </cfRule>
  </conditionalFormatting>
  <pageMargins left="0.25" right="0.25" top="0.95" bottom="0.75" header="0.09" footer="0.3"/>
  <pageSetup scale="7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C2E37-BBF6-4472-929C-F93F3A0FA6AD}">
  <sheetPr>
    <pageSetUpPr fitToPage="1"/>
  </sheetPr>
  <dimension ref="A1:G19"/>
  <sheetViews>
    <sheetView zoomScaleNormal="100" workbookViewId="0">
      <selection activeCell="B23" sqref="B23"/>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151</v>
      </c>
      <c r="C1" s="3"/>
      <c r="D1" s="4"/>
      <c r="E1" s="4"/>
      <c r="F1" s="4"/>
      <c r="G1" s="4"/>
    </row>
    <row r="2" spans="1:7" ht="15.75" x14ac:dyDescent="0.25">
      <c r="A2" s="1"/>
      <c r="B2" s="6" t="s">
        <v>185</v>
      </c>
      <c r="C2" s="5"/>
      <c r="D2" s="4"/>
      <c r="E2" s="4"/>
      <c r="F2" s="4"/>
      <c r="G2" s="4"/>
    </row>
    <row r="3" spans="1:7" ht="15.75" x14ac:dyDescent="0.25">
      <c r="A3" s="1"/>
      <c r="B3" s="7" t="s">
        <v>186</v>
      </c>
      <c r="C3" s="5"/>
      <c r="D3" s="4"/>
      <c r="E3" s="8" t="s">
        <v>180</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190</v>
      </c>
      <c r="C6" s="12"/>
      <c r="D6" s="13" t="s">
        <v>2</v>
      </c>
      <c r="E6" s="4"/>
      <c r="F6" s="4"/>
      <c r="G6" s="4"/>
    </row>
    <row r="7" spans="1:7" ht="30.75" customHeight="1" thickBot="1" x14ac:dyDescent="0.3">
      <c r="A7" s="1"/>
      <c r="B7" s="14" t="s">
        <v>2</v>
      </c>
      <c r="C7" s="15" t="s">
        <v>3</v>
      </c>
      <c r="D7" s="16" t="s">
        <v>4</v>
      </c>
      <c r="E7" s="17" t="s">
        <v>5</v>
      </c>
      <c r="F7" s="18" t="s">
        <v>6</v>
      </c>
      <c r="G7" s="18" t="s">
        <v>7</v>
      </c>
    </row>
    <row r="8" spans="1:7" ht="28.35" customHeight="1" x14ac:dyDescent="0.25">
      <c r="A8" s="1"/>
      <c r="B8" s="1" t="s">
        <v>8</v>
      </c>
      <c r="C8" s="19">
        <f>FINANCIAL!G20</f>
        <v>495000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73" t="s">
        <v>250</v>
      </c>
      <c r="B10" s="247" t="s">
        <v>278</v>
      </c>
      <c r="C10" s="248"/>
      <c r="D10" s="251">
        <f>'#9497.00 Story Construction'!D23</f>
        <v>25486.51</v>
      </c>
      <c r="E10" s="251">
        <f>'#9497.00 Story Construction'!F23</f>
        <v>25486.51</v>
      </c>
      <c r="F10" s="251">
        <f>'#9497.00 Story Construction'!H23</f>
        <v>0</v>
      </c>
      <c r="G10" s="250"/>
    </row>
    <row r="11" spans="1:7" s="223" customFormat="1" ht="12.75" customHeight="1" x14ac:dyDescent="0.25">
      <c r="A11" s="246"/>
      <c r="B11" s="247" t="s">
        <v>10</v>
      </c>
      <c r="C11" s="248"/>
      <c r="D11" s="251">
        <f>'#9497.00 PM TIME'!E37</f>
        <v>14000</v>
      </c>
      <c r="E11" s="251">
        <f>'#9497.00 PM TIME'!G37</f>
        <v>13616.650000000001</v>
      </c>
      <c r="F11" s="251">
        <f>'#9497.00 PM TIME'!I37</f>
        <v>383.34999999999854</v>
      </c>
      <c r="G11" s="250"/>
    </row>
    <row r="12" spans="1:7" s="223" customFormat="1" ht="12.75" customHeight="1" x14ac:dyDescent="0.25">
      <c r="A12" s="246"/>
      <c r="B12" s="247" t="s">
        <v>11</v>
      </c>
      <c r="C12" s="249"/>
      <c r="D12" s="252">
        <f>'#9497.00 Misc'!G22</f>
        <v>3471.0299999999997</v>
      </c>
      <c r="E12" s="252">
        <f>'#9497.00 Misc'!G22</f>
        <v>3471.0299999999997</v>
      </c>
      <c r="F12" s="251">
        <f>D12-E12</f>
        <v>0</v>
      </c>
      <c r="G12" s="250"/>
    </row>
    <row r="13" spans="1:7" s="223" customFormat="1" ht="12.75" customHeight="1" x14ac:dyDescent="0.25">
      <c r="A13" s="246"/>
      <c r="B13" s="247" t="s">
        <v>431</v>
      </c>
      <c r="C13" s="249"/>
      <c r="D13" s="252">
        <f>'#9497.00 ECS Midwest'!D23</f>
        <v>20365</v>
      </c>
      <c r="E13" s="252">
        <f>'#9497.00 ECS Midwest'!F23</f>
        <v>11815</v>
      </c>
      <c r="F13" s="251">
        <f>'#9497.00 ECS Midwest'!H23</f>
        <v>8550</v>
      </c>
      <c r="G13" s="250"/>
    </row>
    <row r="14" spans="1:7" s="223" customFormat="1" ht="12.75" customHeight="1" x14ac:dyDescent="0.25">
      <c r="A14" s="246"/>
      <c r="B14" s="247" t="s">
        <v>826</v>
      </c>
      <c r="C14" s="249"/>
      <c r="D14" s="252">
        <f>'#9497.00 Story Construction (2)'!D23</f>
        <v>26723.02</v>
      </c>
      <c r="E14" s="252">
        <f>'#9497.00 Story Construction (2)'!F23</f>
        <v>17579.25</v>
      </c>
      <c r="F14" s="251">
        <f>'#9497.00 Story Construction (2)'!H23</f>
        <v>9143.77</v>
      </c>
      <c r="G14" s="250"/>
    </row>
    <row r="15" spans="1:7" s="223" customFormat="1" ht="12.75" customHeight="1" x14ac:dyDescent="0.25">
      <c r="A15" s="246"/>
      <c r="B15" s="247" t="s">
        <v>897</v>
      </c>
      <c r="C15" s="249"/>
      <c r="D15" s="252">
        <f>'#9497.00 Service Roofing'!D23</f>
        <v>137100.46</v>
      </c>
      <c r="E15" s="252">
        <f>'#9497.00 Service Roofing'!F23</f>
        <v>0</v>
      </c>
      <c r="F15" s="251">
        <f>'#9497.00 Service Roofing'!H23</f>
        <v>137100.46</v>
      </c>
      <c r="G15" s="250"/>
    </row>
    <row r="16" spans="1:7" s="223" customFormat="1" ht="12.75" customHeight="1" x14ac:dyDescent="0.25">
      <c r="A16" s="246"/>
      <c r="B16" s="247" t="s">
        <v>1107</v>
      </c>
      <c r="C16" s="249"/>
      <c r="D16" s="252">
        <f>'#9497.00 Advanced Environmental'!D23</f>
        <v>7970.52</v>
      </c>
      <c r="E16" s="252">
        <f>'#9497.00 Advanced Environmental'!F23</f>
        <v>0</v>
      </c>
      <c r="F16" s="251">
        <f>'#9497.00 Advanced Environmental'!H23</f>
        <v>7970.52</v>
      </c>
      <c r="G16" s="250"/>
    </row>
    <row r="17" spans="1:7" s="223" customFormat="1" ht="12.75" customHeight="1" x14ac:dyDescent="0.25">
      <c r="A17" s="246"/>
      <c r="B17" s="247"/>
      <c r="C17" s="249"/>
      <c r="D17" s="252"/>
      <c r="E17" s="252"/>
      <c r="F17" s="251"/>
      <c r="G17" s="250"/>
    </row>
    <row r="18" spans="1:7" ht="24" customHeight="1" thickBot="1" x14ac:dyDescent="0.3">
      <c r="A18" s="25"/>
      <c r="B18" s="26" t="s">
        <v>12</v>
      </c>
      <c r="C18" s="27">
        <f>SUM(C8:C17)</f>
        <v>495000</v>
      </c>
      <c r="D18" s="27">
        <f>SUM(D8:D17)</f>
        <v>235116.53999999998</v>
      </c>
      <c r="E18" s="27">
        <f>SUM(E8:E17)</f>
        <v>71968.44</v>
      </c>
      <c r="F18" s="27">
        <f>SUM(D18-E18)</f>
        <v>163148.09999999998</v>
      </c>
      <c r="G18" s="27">
        <f>C8-D18</f>
        <v>259883.46000000002</v>
      </c>
    </row>
    <row r="19"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39243-DDF8-4AB1-8BB5-42ED8582DF8C}">
  <sheetPr>
    <tabColor rgb="FF0070C0"/>
    <pageSetUpPr fitToPage="1"/>
  </sheetPr>
  <dimension ref="A1:I29"/>
  <sheetViews>
    <sheetView zoomScaleNormal="100" workbookViewId="0">
      <selection activeCell="H31" sqref="H31"/>
    </sheetView>
  </sheetViews>
  <sheetFormatPr defaultColWidth="11.42578125" defaultRowHeight="15" customHeight="1" x14ac:dyDescent="0.25"/>
  <cols>
    <col min="1" max="1" width="24.5703125" style="274" customWidth="1"/>
    <col min="2" max="2" width="9.42578125" style="274" customWidth="1"/>
    <col min="3" max="3" width="16.28515625" style="274" customWidth="1"/>
    <col min="4" max="4" width="14.42578125" style="274" customWidth="1"/>
    <col min="5" max="5" width="13.5703125" style="274" customWidth="1"/>
    <col min="6" max="6" width="12.42578125" style="274" customWidth="1"/>
    <col min="7" max="7" width="10.5703125" style="274" customWidth="1"/>
    <col min="8" max="8" width="11.85546875" style="274"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#9497.00'!B1</f>
        <v>HHS IMHI Warehouse Roof Replacement</v>
      </c>
      <c r="B1" s="30"/>
      <c r="C1" s="153"/>
      <c r="D1" s="153"/>
      <c r="E1" s="153"/>
      <c r="F1" s="156"/>
      <c r="G1" s="156"/>
      <c r="H1" s="179"/>
      <c r="I1" s="179"/>
    </row>
    <row r="2" spans="1:9" ht="15.75" x14ac:dyDescent="0.25">
      <c r="A2" s="31" t="str">
        <f>'RECAP #9497.00'!B2</f>
        <v>Project # 9497.00</v>
      </c>
      <c r="B2" s="150"/>
      <c r="C2" s="153"/>
      <c r="D2" s="153"/>
      <c r="E2" s="153"/>
      <c r="F2" s="156"/>
      <c r="G2" s="156"/>
      <c r="H2" s="179"/>
      <c r="I2" s="179"/>
    </row>
    <row r="3" spans="1:9" ht="15.75" x14ac:dyDescent="0.25">
      <c r="A3" s="154" t="str">
        <f>'RECAP #9497.00'!B3</f>
        <v>Program code 949700</v>
      </c>
      <c r="B3" s="150"/>
      <c r="C3" s="153"/>
      <c r="D3" s="155" t="str">
        <f>'RECAP #9497.00'!E3</f>
        <v>Major Program 4E02</v>
      </c>
      <c r="E3" s="153"/>
      <c r="F3" s="156"/>
      <c r="G3" s="156"/>
      <c r="H3" s="179"/>
      <c r="I3" s="179"/>
    </row>
    <row r="4" spans="1:9" ht="15.75" x14ac:dyDescent="0.25">
      <c r="A4" s="30" t="s">
        <v>278</v>
      </c>
      <c r="B4" s="31"/>
      <c r="C4" s="179"/>
      <c r="D4" s="180" t="s">
        <v>279</v>
      </c>
      <c r="E4" s="156"/>
      <c r="F4" s="156"/>
      <c r="G4" s="156"/>
      <c r="H4" s="179"/>
      <c r="I4" s="179"/>
    </row>
    <row r="5" spans="1:9" ht="15.75" x14ac:dyDescent="0.25">
      <c r="A5" s="181" t="s">
        <v>104</v>
      </c>
      <c r="B5" s="179"/>
      <c r="C5" s="182"/>
      <c r="D5" s="37" t="s">
        <v>280</v>
      </c>
      <c r="E5" s="42"/>
      <c r="F5" s="156"/>
      <c r="G5" s="156"/>
      <c r="H5" s="179"/>
      <c r="I5" s="179"/>
    </row>
    <row r="6" spans="1:9" ht="15.75" x14ac:dyDescent="0.25">
      <c r="A6" s="31" t="str">
        <f>'RECAP #9497.00'!B6</f>
        <v>Project Manager - James T.</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281</v>
      </c>
      <c r="B9" s="276">
        <v>45945</v>
      </c>
      <c r="C9" s="277" t="s">
        <v>109</v>
      </c>
      <c r="D9" s="278">
        <v>25616.73</v>
      </c>
      <c r="E9" s="279">
        <f>D9</f>
        <v>25616.73</v>
      </c>
      <c r="F9" s="280"/>
      <c r="G9" s="280"/>
      <c r="H9" s="280">
        <f>E9</f>
        <v>25616.73</v>
      </c>
      <c r="I9" s="281"/>
    </row>
    <row r="10" spans="1:9" s="282" customFormat="1" ht="12.75" customHeight="1" x14ac:dyDescent="0.25">
      <c r="A10" s="275" t="s">
        <v>450</v>
      </c>
      <c r="B10" s="283">
        <v>46044</v>
      </c>
      <c r="C10" s="277" t="s">
        <v>451</v>
      </c>
      <c r="D10" s="279"/>
      <c r="E10" s="279">
        <f t="shared" ref="E10:E21" si="0">E9+D10</f>
        <v>25616.73</v>
      </c>
      <c r="F10" s="284">
        <v>6302.63</v>
      </c>
      <c r="G10" s="280">
        <f t="shared" ref="G10:G21" si="1">G9+F10</f>
        <v>6302.63</v>
      </c>
      <c r="H10" s="280">
        <f t="shared" ref="H10:H21" si="2">H9-F10+D10</f>
        <v>19314.099999999999</v>
      </c>
      <c r="I10" s="281"/>
    </row>
    <row r="11" spans="1:9" s="282" customFormat="1" ht="12.75" customHeight="1" x14ac:dyDescent="0.25">
      <c r="A11" s="275" t="s">
        <v>579</v>
      </c>
      <c r="B11" s="276">
        <v>46073</v>
      </c>
      <c r="C11" s="277" t="s">
        <v>580</v>
      </c>
      <c r="D11" s="279"/>
      <c r="E11" s="279">
        <f t="shared" si="0"/>
        <v>25616.73</v>
      </c>
      <c r="F11" s="284">
        <v>6208.65</v>
      </c>
      <c r="G11" s="280">
        <f t="shared" si="1"/>
        <v>12511.279999999999</v>
      </c>
      <c r="H11" s="280">
        <f t="shared" si="2"/>
        <v>13105.449999999999</v>
      </c>
      <c r="I11" s="281"/>
    </row>
    <row r="12" spans="1:9" s="282" customFormat="1" ht="12.75" customHeight="1" x14ac:dyDescent="0.25">
      <c r="A12" s="275" t="s">
        <v>670</v>
      </c>
      <c r="B12" s="276">
        <v>46100</v>
      </c>
      <c r="C12" s="277" t="s">
        <v>671</v>
      </c>
      <c r="D12" s="279"/>
      <c r="E12" s="279">
        <f t="shared" si="0"/>
        <v>25616.73</v>
      </c>
      <c r="F12" s="284">
        <v>4112.67</v>
      </c>
      <c r="G12" s="280">
        <f t="shared" si="1"/>
        <v>16623.949999999997</v>
      </c>
      <c r="H12" s="280">
        <f t="shared" si="2"/>
        <v>8992.7799999999988</v>
      </c>
      <c r="I12" s="281"/>
    </row>
    <row r="13" spans="1:9" s="282" customFormat="1" ht="12.75" customHeight="1" x14ac:dyDescent="0.25">
      <c r="A13" s="275" t="s">
        <v>792</v>
      </c>
      <c r="B13" s="276">
        <v>46128</v>
      </c>
      <c r="C13" s="277" t="s">
        <v>793</v>
      </c>
      <c r="D13" s="279"/>
      <c r="E13" s="279">
        <f t="shared" si="0"/>
        <v>25616.73</v>
      </c>
      <c r="F13" s="284">
        <v>4388.93</v>
      </c>
      <c r="G13" s="280">
        <f t="shared" si="1"/>
        <v>21012.879999999997</v>
      </c>
      <c r="H13" s="280">
        <f t="shared" si="2"/>
        <v>4603.8499999999985</v>
      </c>
      <c r="I13" s="281"/>
    </row>
    <row r="14" spans="1:9" s="282" customFormat="1" ht="12.75" customHeight="1" x14ac:dyDescent="0.25">
      <c r="A14" s="275" t="s">
        <v>926</v>
      </c>
      <c r="B14" s="276">
        <v>38859</v>
      </c>
      <c r="C14" s="277" t="s">
        <v>927</v>
      </c>
      <c r="D14" s="285">
        <v>-130.22</v>
      </c>
      <c r="E14" s="279">
        <f t="shared" si="0"/>
        <v>25486.51</v>
      </c>
      <c r="F14" s="284">
        <v>4473.63</v>
      </c>
      <c r="G14" s="280">
        <f t="shared" si="1"/>
        <v>25486.51</v>
      </c>
      <c r="H14" s="280">
        <f t="shared" si="2"/>
        <v>-1.5631940186722204E-12</v>
      </c>
      <c r="I14" s="281"/>
    </row>
    <row r="15" spans="1:9" s="282" customFormat="1" ht="12.75" customHeight="1" x14ac:dyDescent="0.25">
      <c r="A15" s="275"/>
      <c r="B15" s="276"/>
      <c r="C15" s="277"/>
      <c r="D15" s="279"/>
      <c r="E15" s="279">
        <f t="shared" si="0"/>
        <v>25486.51</v>
      </c>
      <c r="F15" s="284"/>
      <c r="G15" s="280">
        <f t="shared" si="1"/>
        <v>25486.51</v>
      </c>
      <c r="H15" s="280">
        <f t="shared" si="2"/>
        <v>-1.5631940186722204E-12</v>
      </c>
      <c r="I15" s="281"/>
    </row>
    <row r="16" spans="1:9" s="282" customFormat="1" ht="12.75" customHeight="1" x14ac:dyDescent="0.25">
      <c r="A16" s="275"/>
      <c r="B16" s="276"/>
      <c r="C16" s="277"/>
      <c r="D16" s="279"/>
      <c r="E16" s="279">
        <f t="shared" si="0"/>
        <v>25486.51</v>
      </c>
      <c r="F16" s="284"/>
      <c r="G16" s="280">
        <f t="shared" si="1"/>
        <v>25486.51</v>
      </c>
      <c r="H16" s="280">
        <f t="shared" si="2"/>
        <v>-1.5631940186722204E-12</v>
      </c>
      <c r="I16" s="281"/>
    </row>
    <row r="17" spans="1:9" s="282" customFormat="1" ht="12.75" customHeight="1" x14ac:dyDescent="0.25">
      <c r="A17" s="275"/>
      <c r="B17" s="276"/>
      <c r="C17" s="277"/>
      <c r="D17" s="279"/>
      <c r="E17" s="279">
        <f t="shared" si="0"/>
        <v>25486.51</v>
      </c>
      <c r="F17" s="284"/>
      <c r="G17" s="280">
        <f t="shared" si="1"/>
        <v>25486.51</v>
      </c>
      <c r="H17" s="280">
        <f t="shared" si="2"/>
        <v>-1.5631940186722204E-12</v>
      </c>
      <c r="I17" s="281"/>
    </row>
    <row r="18" spans="1:9" s="282" customFormat="1" ht="12.75" customHeight="1" x14ac:dyDescent="0.25">
      <c r="A18" s="275"/>
      <c r="B18" s="276"/>
      <c r="C18" s="277"/>
      <c r="D18" s="279"/>
      <c r="E18" s="279">
        <f t="shared" si="0"/>
        <v>25486.51</v>
      </c>
      <c r="F18" s="284"/>
      <c r="G18" s="280">
        <f t="shared" si="1"/>
        <v>25486.51</v>
      </c>
      <c r="H18" s="280">
        <f t="shared" si="2"/>
        <v>-1.5631940186722204E-12</v>
      </c>
      <c r="I18" s="281"/>
    </row>
    <row r="19" spans="1:9" s="282" customFormat="1" ht="12.75" customHeight="1" x14ac:dyDescent="0.25">
      <c r="A19" s="275"/>
      <c r="B19" s="276"/>
      <c r="C19" s="277"/>
      <c r="D19" s="279"/>
      <c r="E19" s="279">
        <f t="shared" si="0"/>
        <v>25486.51</v>
      </c>
      <c r="F19" s="280"/>
      <c r="G19" s="280">
        <f t="shared" si="1"/>
        <v>25486.51</v>
      </c>
      <c r="H19" s="280">
        <f t="shared" si="2"/>
        <v>-1.5631940186722204E-12</v>
      </c>
      <c r="I19" s="281"/>
    </row>
    <row r="20" spans="1:9" s="282" customFormat="1" ht="12.75" customHeight="1" x14ac:dyDescent="0.25">
      <c r="A20" s="275"/>
      <c r="B20" s="276"/>
      <c r="C20" s="277"/>
      <c r="D20" s="279"/>
      <c r="E20" s="279">
        <f t="shared" si="0"/>
        <v>25486.51</v>
      </c>
      <c r="F20" s="280"/>
      <c r="G20" s="280">
        <f t="shared" si="1"/>
        <v>25486.51</v>
      </c>
      <c r="H20" s="280">
        <f t="shared" si="2"/>
        <v>-1.5631940186722204E-12</v>
      </c>
      <c r="I20" s="281"/>
    </row>
    <row r="21" spans="1:9" s="282" customFormat="1" ht="12.75" customHeight="1" x14ac:dyDescent="0.25">
      <c r="A21" s="275"/>
      <c r="B21" s="276"/>
      <c r="C21" s="286"/>
      <c r="D21" s="279"/>
      <c r="E21" s="279">
        <f t="shared" si="0"/>
        <v>25486.51</v>
      </c>
      <c r="F21" s="280"/>
      <c r="G21" s="280">
        <f t="shared" si="1"/>
        <v>25486.51</v>
      </c>
      <c r="H21" s="280">
        <f t="shared" si="2"/>
        <v>-1.5631940186722204E-12</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25486.51</v>
      </c>
      <c r="E23" s="290"/>
      <c r="F23" s="290">
        <f>SUM(F9:F22)</f>
        <v>25486.51</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f>25259.73-11.22</f>
        <v>25248.51</v>
      </c>
      <c r="E26" s="292"/>
      <c r="F26" s="292">
        <f>6302.63+6089.65+4112.67+4388.93+4354.63</f>
        <v>25248.51</v>
      </c>
      <c r="G26" s="292"/>
      <c r="H26" s="292">
        <f>D26-F26</f>
        <v>0</v>
      </c>
      <c r="I26" s="281"/>
    </row>
    <row r="27" spans="1:9" s="282" customFormat="1" ht="12.75" customHeight="1" x14ac:dyDescent="0.25">
      <c r="A27" s="275"/>
      <c r="B27" s="277"/>
      <c r="C27" s="287" t="s">
        <v>111</v>
      </c>
      <c r="D27" s="292">
        <f>357-119</f>
        <v>238</v>
      </c>
      <c r="E27" s="292"/>
      <c r="F27" s="292">
        <f>119+119</f>
        <v>238</v>
      </c>
      <c r="G27" s="292"/>
      <c r="H27" s="292">
        <f>D27-F27</f>
        <v>0</v>
      </c>
      <c r="I27" s="281"/>
    </row>
    <row r="28" spans="1:9" s="282" customFormat="1" ht="12.75" customHeight="1" thickBot="1" x14ac:dyDescent="0.3">
      <c r="A28" s="275"/>
      <c r="B28" s="277"/>
      <c r="C28" s="293" t="s">
        <v>67</v>
      </c>
      <c r="D28" s="290">
        <f>SUM(D26:D27)</f>
        <v>25486.51</v>
      </c>
      <c r="E28" s="294"/>
      <c r="F28" s="290">
        <f>SUM(F26:F27)</f>
        <v>25486.51</v>
      </c>
      <c r="G28" s="294"/>
      <c r="H28" s="290">
        <f>SUM(H26:H27)</f>
        <v>0</v>
      </c>
      <c r="I28" s="281"/>
    </row>
    <row r="29" spans="1:9" s="282" customFormat="1" ht="12.75" customHeight="1" thickTop="1" x14ac:dyDescent="0.25"/>
  </sheetData>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43D5B-9FB5-44A6-B2F7-91A252760EDA}">
  <sheetPr>
    <pageSetUpPr fitToPage="1"/>
  </sheetPr>
  <dimension ref="A1:J40"/>
  <sheetViews>
    <sheetView topLeftCell="A10" zoomScaleNormal="100" workbookViewId="0">
      <selection activeCell="G39" sqref="G39"/>
    </sheetView>
  </sheetViews>
  <sheetFormatPr defaultColWidth="11.42578125" defaultRowHeight="15" customHeight="1" x14ac:dyDescent="0.25"/>
  <cols>
    <col min="1" max="1" width="24.5703125" customWidth="1"/>
    <col min="2" max="3" width="9.42578125" customWidth="1"/>
    <col min="4" max="4" width="41"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#9497.00'!B1</f>
        <v>HHS IMHI Warehouse Roof Replacement</v>
      </c>
      <c r="B1" s="3"/>
      <c r="C1" s="3"/>
      <c r="D1" s="4"/>
      <c r="E1" s="4"/>
      <c r="F1" s="4"/>
      <c r="G1" s="28"/>
      <c r="H1" s="28"/>
      <c r="I1" s="29"/>
      <c r="J1" s="29"/>
    </row>
    <row r="2" spans="1:10" ht="15.75" x14ac:dyDescent="0.25">
      <c r="A2" s="6" t="str">
        <f>'RECAP #9497.00'!B2</f>
        <v>Project # 9497.00</v>
      </c>
      <c r="B2" s="5"/>
      <c r="C2" s="5"/>
      <c r="D2" s="4"/>
      <c r="E2" s="4"/>
      <c r="F2" s="4"/>
      <c r="G2" s="28"/>
      <c r="H2" s="28"/>
      <c r="I2" s="29"/>
      <c r="J2" s="29"/>
    </row>
    <row r="3" spans="1:10" ht="15.75" x14ac:dyDescent="0.25">
      <c r="A3" s="7" t="str">
        <f>'RECAP #9497.00'!B3</f>
        <v>Program code 949700</v>
      </c>
      <c r="B3" s="5"/>
      <c r="C3" s="5"/>
      <c r="D3" s="4"/>
      <c r="E3" s="8" t="str">
        <f>'RECAP #9497.00'!E3</f>
        <v>Major Program 4E02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233</v>
      </c>
      <c r="F6" s="42"/>
      <c r="G6" s="43"/>
      <c r="H6" s="39"/>
      <c r="I6" s="35"/>
      <c r="J6" s="29"/>
    </row>
    <row r="7" spans="1:10" ht="15.75" x14ac:dyDescent="0.25">
      <c r="A7" s="11" t="str">
        <f>'RECAP #9497.00'!B6</f>
        <v>Project Manager - James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f>10000+4000</f>
        <v>14000</v>
      </c>
      <c r="F9" s="233">
        <f>E9</f>
        <v>14000</v>
      </c>
      <c r="G9" s="234"/>
      <c r="H9" s="234"/>
      <c r="I9" s="234">
        <f>F9</f>
        <v>14000</v>
      </c>
      <c r="J9" s="235"/>
    </row>
    <row r="10" spans="1:10" s="223" customFormat="1" ht="12.75" customHeight="1" x14ac:dyDescent="0.25">
      <c r="A10" s="176" t="s">
        <v>314</v>
      </c>
      <c r="B10" s="177">
        <v>45968</v>
      </c>
      <c r="C10" s="241" t="s">
        <v>261</v>
      </c>
      <c r="D10" s="148" t="s">
        <v>315</v>
      </c>
      <c r="E10" s="233"/>
      <c r="F10" s="233">
        <f t="shared" ref="F10:F35" si="0">F9+E10</f>
        <v>14000</v>
      </c>
      <c r="G10" s="237">
        <v>78.78</v>
      </c>
      <c r="H10" s="234">
        <f t="shared" ref="H10:H35" si="1">H9+G10</f>
        <v>78.78</v>
      </c>
      <c r="I10" s="234">
        <f t="shared" ref="I10:I35" si="2">I9-G10+E10</f>
        <v>13921.22</v>
      </c>
      <c r="J10" s="235"/>
    </row>
    <row r="11" spans="1:10" s="223" customFormat="1" ht="12.75" customHeight="1" x14ac:dyDescent="0.25">
      <c r="A11" s="176" t="s">
        <v>314</v>
      </c>
      <c r="B11" s="177">
        <v>45968</v>
      </c>
      <c r="C11" s="241">
        <v>9500</v>
      </c>
      <c r="D11" s="149" t="s">
        <v>316</v>
      </c>
      <c r="E11" s="233"/>
      <c r="F11" s="233">
        <f t="shared" si="0"/>
        <v>14000</v>
      </c>
      <c r="G11" s="237">
        <v>779.9</v>
      </c>
      <c r="H11" s="234">
        <f t="shared" si="1"/>
        <v>858.68</v>
      </c>
      <c r="I11" s="234">
        <f t="shared" si="2"/>
        <v>13141.32</v>
      </c>
      <c r="J11" s="235"/>
    </row>
    <row r="12" spans="1:10" s="223" customFormat="1" ht="12.75" customHeight="1" x14ac:dyDescent="0.2">
      <c r="A12" s="70" t="s">
        <v>364</v>
      </c>
      <c r="B12" s="50">
        <v>45996</v>
      </c>
      <c r="C12" s="53" t="s">
        <v>261</v>
      </c>
      <c r="D12" s="144" t="s">
        <v>365</v>
      </c>
      <c r="E12" s="233"/>
      <c r="F12" s="233">
        <f t="shared" si="0"/>
        <v>14000</v>
      </c>
      <c r="G12" s="237">
        <v>81.069999999999993</v>
      </c>
      <c r="H12" s="234">
        <f t="shared" si="1"/>
        <v>939.75</v>
      </c>
      <c r="I12" s="234">
        <f t="shared" si="2"/>
        <v>13060.25</v>
      </c>
      <c r="J12" s="235"/>
    </row>
    <row r="13" spans="1:10" s="223" customFormat="1" ht="12.75" customHeight="1" x14ac:dyDescent="0.2">
      <c r="A13" s="70" t="s">
        <v>364</v>
      </c>
      <c r="B13" s="50">
        <v>45996</v>
      </c>
      <c r="C13" s="268">
        <v>9500</v>
      </c>
      <c r="D13" s="66" t="s">
        <v>366</v>
      </c>
      <c r="E13" s="233"/>
      <c r="F13" s="233">
        <f t="shared" si="0"/>
        <v>14000</v>
      </c>
      <c r="G13" s="237">
        <v>516.20000000000005</v>
      </c>
      <c r="H13" s="234">
        <f t="shared" si="1"/>
        <v>1455.95</v>
      </c>
      <c r="I13" s="234">
        <f t="shared" si="2"/>
        <v>12544.05</v>
      </c>
      <c r="J13" s="235"/>
    </row>
    <row r="14" spans="1:10" s="223" customFormat="1" ht="12.75" customHeight="1" x14ac:dyDescent="0.2">
      <c r="A14" s="70" t="s">
        <v>423</v>
      </c>
      <c r="B14" s="50">
        <v>46030</v>
      </c>
      <c r="C14" s="53" t="s">
        <v>261</v>
      </c>
      <c r="D14" s="144" t="s">
        <v>424</v>
      </c>
      <c r="E14" s="233"/>
      <c r="F14" s="233">
        <f t="shared" si="0"/>
        <v>14000</v>
      </c>
      <c r="G14" s="237">
        <v>191.99</v>
      </c>
      <c r="H14" s="234">
        <f t="shared" si="1"/>
        <v>1647.94</v>
      </c>
      <c r="I14" s="234">
        <f t="shared" si="2"/>
        <v>12352.06</v>
      </c>
      <c r="J14" s="235"/>
    </row>
    <row r="15" spans="1:10" s="223" customFormat="1" ht="12.75" customHeight="1" x14ac:dyDescent="0.2">
      <c r="A15" s="70" t="s">
        <v>423</v>
      </c>
      <c r="B15" s="50">
        <v>46030</v>
      </c>
      <c r="C15" s="268">
        <v>9500</v>
      </c>
      <c r="D15" s="66" t="s">
        <v>425</v>
      </c>
      <c r="E15" s="233"/>
      <c r="F15" s="233">
        <f t="shared" si="0"/>
        <v>14000</v>
      </c>
      <c r="G15" s="237">
        <v>2175.5</v>
      </c>
      <c r="H15" s="234">
        <f t="shared" si="1"/>
        <v>3823.44</v>
      </c>
      <c r="I15" s="234">
        <f t="shared" si="2"/>
        <v>10176.56</v>
      </c>
      <c r="J15" s="235"/>
    </row>
    <row r="16" spans="1:10" s="223" customFormat="1" ht="12.75" customHeight="1" x14ac:dyDescent="0.2">
      <c r="A16" s="70" t="s">
        <v>548</v>
      </c>
      <c r="B16" s="50">
        <v>46062</v>
      </c>
      <c r="C16" s="53" t="s">
        <v>261</v>
      </c>
      <c r="D16" s="144" t="s">
        <v>549</v>
      </c>
      <c r="E16" s="233"/>
      <c r="F16" s="233">
        <f t="shared" si="0"/>
        <v>14000</v>
      </c>
      <c r="G16" s="237">
        <v>71.12</v>
      </c>
      <c r="H16" s="234">
        <f t="shared" si="1"/>
        <v>3894.56</v>
      </c>
      <c r="I16" s="234">
        <f t="shared" si="2"/>
        <v>10105.439999999999</v>
      </c>
      <c r="J16" s="235"/>
    </row>
    <row r="17" spans="1:10" s="223" customFormat="1" ht="12.75" customHeight="1" x14ac:dyDescent="0.2">
      <c r="A17" s="70" t="s">
        <v>548</v>
      </c>
      <c r="B17" s="50">
        <v>46062</v>
      </c>
      <c r="C17" s="268">
        <v>9500</v>
      </c>
      <c r="D17" s="66" t="s">
        <v>550</v>
      </c>
      <c r="E17" s="233"/>
      <c r="F17" s="233">
        <f t="shared" si="0"/>
        <v>14000</v>
      </c>
      <c r="G17" s="237">
        <v>885.2</v>
      </c>
      <c r="H17" s="234">
        <f t="shared" si="1"/>
        <v>4779.76</v>
      </c>
      <c r="I17" s="234">
        <f t="shared" si="2"/>
        <v>9220.239999999998</v>
      </c>
      <c r="J17" s="235"/>
    </row>
    <row r="18" spans="1:10" s="223" customFormat="1" ht="12.75" customHeight="1" x14ac:dyDescent="0.2">
      <c r="A18" s="70" t="s">
        <v>644</v>
      </c>
      <c r="B18" s="50">
        <v>46090</v>
      </c>
      <c r="C18" s="53" t="s">
        <v>261</v>
      </c>
      <c r="D18" s="144" t="s">
        <v>645</v>
      </c>
      <c r="E18" s="233"/>
      <c r="F18" s="233">
        <f t="shared" si="0"/>
        <v>14000</v>
      </c>
      <c r="G18" s="237">
        <v>54.18</v>
      </c>
      <c r="H18" s="234">
        <f t="shared" si="1"/>
        <v>4833.9400000000005</v>
      </c>
      <c r="I18" s="234">
        <f t="shared" si="2"/>
        <v>9166.0599999999977</v>
      </c>
      <c r="J18" s="235"/>
    </row>
    <row r="19" spans="1:10" s="223" customFormat="1" ht="12.75" customHeight="1" x14ac:dyDescent="0.2">
      <c r="A19" s="70" t="s">
        <v>644</v>
      </c>
      <c r="B19" s="50">
        <v>46090</v>
      </c>
      <c r="C19" s="268">
        <v>9500</v>
      </c>
      <c r="D19" s="66" t="s">
        <v>646</v>
      </c>
      <c r="E19" s="233"/>
      <c r="F19" s="233">
        <f t="shared" si="0"/>
        <v>14000</v>
      </c>
      <c r="G19" s="237">
        <v>623.29999999999995</v>
      </c>
      <c r="H19" s="234">
        <f t="shared" si="1"/>
        <v>5457.2400000000007</v>
      </c>
      <c r="I19" s="234">
        <f t="shared" si="2"/>
        <v>8542.7599999999984</v>
      </c>
      <c r="J19" s="235"/>
    </row>
    <row r="20" spans="1:10" s="223" customFormat="1" ht="12.75" customHeight="1" x14ac:dyDescent="0.2">
      <c r="A20" s="70" t="s">
        <v>744</v>
      </c>
      <c r="B20" s="50">
        <v>46118</v>
      </c>
      <c r="C20" s="53" t="s">
        <v>261</v>
      </c>
      <c r="D20" s="144" t="s">
        <v>745</v>
      </c>
      <c r="E20" s="233"/>
      <c r="F20" s="233">
        <f t="shared" si="0"/>
        <v>14000</v>
      </c>
      <c r="G20" s="237">
        <v>142.81</v>
      </c>
      <c r="H20" s="234">
        <f t="shared" si="1"/>
        <v>5600.0500000000011</v>
      </c>
      <c r="I20" s="234">
        <f t="shared" si="2"/>
        <v>8399.9499999999989</v>
      </c>
      <c r="J20" s="235"/>
    </row>
    <row r="21" spans="1:10" s="223" customFormat="1" ht="12.75" customHeight="1" x14ac:dyDescent="0.2">
      <c r="A21" s="70" t="s">
        <v>744</v>
      </c>
      <c r="B21" s="50">
        <v>46118</v>
      </c>
      <c r="C21" s="268">
        <v>9500</v>
      </c>
      <c r="D21" s="66" t="s">
        <v>746</v>
      </c>
      <c r="E21" s="233"/>
      <c r="F21" s="233">
        <f t="shared" si="0"/>
        <v>14000</v>
      </c>
      <c r="G21" s="237">
        <v>1164.4000000000001</v>
      </c>
      <c r="H21" s="234">
        <f t="shared" si="1"/>
        <v>6764.4500000000007</v>
      </c>
      <c r="I21" s="234">
        <f t="shared" si="2"/>
        <v>7235.5499999999993</v>
      </c>
      <c r="J21" s="235"/>
    </row>
    <row r="22" spans="1:10" s="223" customFormat="1" ht="12.75" customHeight="1" x14ac:dyDescent="0.2">
      <c r="A22" s="70" t="s">
        <v>869</v>
      </c>
      <c r="B22" s="50">
        <v>46149</v>
      </c>
      <c r="C22" s="53" t="s">
        <v>261</v>
      </c>
      <c r="D22" s="144" t="s">
        <v>870</v>
      </c>
      <c r="E22" s="233"/>
      <c r="F22" s="233">
        <f t="shared" si="0"/>
        <v>14000</v>
      </c>
      <c r="G22" s="237">
        <v>184.6</v>
      </c>
      <c r="H22" s="234">
        <f t="shared" si="1"/>
        <v>6949.0500000000011</v>
      </c>
      <c r="I22" s="234">
        <f t="shared" si="2"/>
        <v>7050.9499999999989</v>
      </c>
      <c r="J22" s="235"/>
    </row>
    <row r="23" spans="1:10" s="223" customFormat="1" ht="12.75" customHeight="1" x14ac:dyDescent="0.2">
      <c r="A23" s="70" t="s">
        <v>869</v>
      </c>
      <c r="B23" s="50">
        <v>46149</v>
      </c>
      <c r="C23" s="268">
        <v>9500</v>
      </c>
      <c r="D23" s="66" t="s">
        <v>871</v>
      </c>
      <c r="E23" s="233"/>
      <c r="F23" s="233">
        <f t="shared" si="0"/>
        <v>14000</v>
      </c>
      <c r="G23" s="237">
        <v>1922.8</v>
      </c>
      <c r="H23" s="234">
        <f t="shared" si="1"/>
        <v>8871.85</v>
      </c>
      <c r="I23" s="234">
        <f t="shared" si="2"/>
        <v>5128.1499999999987</v>
      </c>
      <c r="J23" s="235"/>
    </row>
    <row r="24" spans="1:10" s="223" customFormat="1" ht="12.75" customHeight="1" x14ac:dyDescent="0.2">
      <c r="A24" s="70" t="s">
        <v>984</v>
      </c>
      <c r="B24" s="50">
        <v>46181</v>
      </c>
      <c r="C24" s="53" t="s">
        <v>261</v>
      </c>
      <c r="D24" s="144" t="s">
        <v>985</v>
      </c>
      <c r="E24" s="233"/>
      <c r="F24" s="233">
        <f t="shared" si="0"/>
        <v>14000</v>
      </c>
      <c r="G24" s="237">
        <v>63.47</v>
      </c>
      <c r="H24" s="234">
        <f t="shared" si="1"/>
        <v>8935.32</v>
      </c>
      <c r="I24" s="234">
        <f t="shared" si="2"/>
        <v>5064.6799999999985</v>
      </c>
      <c r="J24" s="235"/>
    </row>
    <row r="25" spans="1:10" s="223" customFormat="1" ht="12.75" customHeight="1" x14ac:dyDescent="0.2">
      <c r="A25" s="70" t="s">
        <v>984</v>
      </c>
      <c r="B25" s="50">
        <v>46181</v>
      </c>
      <c r="C25" s="268">
        <v>9500</v>
      </c>
      <c r="D25" s="66" t="s">
        <v>986</v>
      </c>
      <c r="E25" s="233"/>
      <c r="F25" s="233">
        <f t="shared" si="0"/>
        <v>14000</v>
      </c>
      <c r="G25" s="237">
        <v>771.3</v>
      </c>
      <c r="H25" s="234">
        <f t="shared" si="1"/>
        <v>9706.619999999999</v>
      </c>
      <c r="I25" s="234">
        <f t="shared" si="2"/>
        <v>4293.3799999999983</v>
      </c>
      <c r="J25" s="235"/>
    </row>
    <row r="26" spans="1:10" s="223" customFormat="1" ht="12.75" customHeight="1" x14ac:dyDescent="0.2">
      <c r="A26" s="70" t="s">
        <v>1186</v>
      </c>
      <c r="B26" s="50">
        <v>46211</v>
      </c>
      <c r="C26" s="53" t="s">
        <v>261</v>
      </c>
      <c r="D26" s="144" t="s">
        <v>1187</v>
      </c>
      <c r="E26" s="233"/>
      <c r="F26" s="233">
        <f t="shared" si="0"/>
        <v>14000</v>
      </c>
      <c r="G26" s="237">
        <v>141.37</v>
      </c>
      <c r="H26" s="234">
        <f t="shared" si="1"/>
        <v>9847.99</v>
      </c>
      <c r="I26" s="234">
        <f t="shared" si="2"/>
        <v>4152.0099999999984</v>
      </c>
      <c r="J26" s="235"/>
    </row>
    <row r="27" spans="1:10" s="223" customFormat="1" ht="12.75" customHeight="1" x14ac:dyDescent="0.2">
      <c r="A27" s="70" t="s">
        <v>1186</v>
      </c>
      <c r="B27" s="50">
        <v>46211</v>
      </c>
      <c r="C27" s="268">
        <v>9500</v>
      </c>
      <c r="D27" s="66" t="s">
        <v>1188</v>
      </c>
      <c r="E27" s="233"/>
      <c r="F27" s="233">
        <f t="shared" si="0"/>
        <v>14000</v>
      </c>
      <c r="G27" s="237">
        <v>1625.2</v>
      </c>
      <c r="H27" s="234">
        <f t="shared" si="1"/>
        <v>11473.19</v>
      </c>
      <c r="I27" s="234">
        <f t="shared" si="2"/>
        <v>2526.8099999999986</v>
      </c>
      <c r="J27" s="235"/>
    </row>
    <row r="28" spans="1:10" s="223" customFormat="1" ht="12.75" customHeight="1" x14ac:dyDescent="0.2">
      <c r="A28" s="70" t="s">
        <v>1265</v>
      </c>
      <c r="B28" s="50">
        <v>46218</v>
      </c>
      <c r="C28" s="53" t="s">
        <v>261</v>
      </c>
      <c r="D28" s="144" t="s">
        <v>1266</v>
      </c>
      <c r="E28" s="233"/>
      <c r="F28" s="233">
        <f t="shared" si="0"/>
        <v>14000</v>
      </c>
      <c r="G28" s="237">
        <v>56.02</v>
      </c>
      <c r="H28" s="234">
        <f t="shared" si="1"/>
        <v>11529.210000000001</v>
      </c>
      <c r="I28" s="234">
        <f t="shared" si="2"/>
        <v>2470.7899999999986</v>
      </c>
      <c r="J28" s="235"/>
    </row>
    <row r="29" spans="1:10" s="223" customFormat="1" ht="12.75" customHeight="1" x14ac:dyDescent="0.2">
      <c r="A29" s="70" t="s">
        <v>1436</v>
      </c>
      <c r="B29" s="365">
        <v>46241</v>
      </c>
      <c r="C29" s="53" t="s">
        <v>261</v>
      </c>
      <c r="D29" s="144" t="s">
        <v>1437</v>
      </c>
      <c r="E29" s="233"/>
      <c r="F29" s="233">
        <f t="shared" si="0"/>
        <v>14000</v>
      </c>
      <c r="G29" s="237">
        <v>96.57</v>
      </c>
      <c r="H29" s="234">
        <f t="shared" si="1"/>
        <v>11625.78</v>
      </c>
      <c r="I29" s="234">
        <f t="shared" si="2"/>
        <v>2374.2199999999984</v>
      </c>
      <c r="J29" s="235"/>
    </row>
    <row r="30" spans="1:10" s="223" customFormat="1" ht="12.75" customHeight="1" x14ac:dyDescent="0.2">
      <c r="A30" s="70" t="s">
        <v>1436</v>
      </c>
      <c r="B30" s="365">
        <v>46241</v>
      </c>
      <c r="C30" s="268">
        <v>9500</v>
      </c>
      <c r="D30" s="66" t="s">
        <v>1438</v>
      </c>
      <c r="E30" s="233"/>
      <c r="F30" s="233">
        <f t="shared" si="0"/>
        <v>14000</v>
      </c>
      <c r="G30" s="237">
        <v>1036.5999999999999</v>
      </c>
      <c r="H30" s="234">
        <f t="shared" si="1"/>
        <v>12662.380000000001</v>
      </c>
      <c r="I30" s="234">
        <f t="shared" si="2"/>
        <v>1337.6199999999985</v>
      </c>
      <c r="J30" s="235"/>
    </row>
    <row r="31" spans="1:10" s="223" customFormat="1" ht="12.75" customHeight="1" x14ac:dyDescent="0.2">
      <c r="A31" s="70" t="s">
        <v>1531</v>
      </c>
      <c r="B31" s="365">
        <v>46272</v>
      </c>
      <c r="C31" s="53" t="s">
        <v>261</v>
      </c>
      <c r="D31" s="144" t="s">
        <v>1532</v>
      </c>
      <c r="E31" s="233"/>
      <c r="F31" s="233">
        <f t="shared" si="0"/>
        <v>14000</v>
      </c>
      <c r="G31" s="237">
        <v>88.77</v>
      </c>
      <c r="H31" s="234">
        <f t="shared" si="1"/>
        <v>12751.150000000001</v>
      </c>
      <c r="I31" s="234">
        <f t="shared" si="2"/>
        <v>1248.8499999999985</v>
      </c>
      <c r="J31" s="235"/>
    </row>
    <row r="32" spans="1:10" s="223" customFormat="1" ht="12.75" customHeight="1" x14ac:dyDescent="0.2">
      <c r="A32" s="70" t="s">
        <v>1531</v>
      </c>
      <c r="B32" s="365">
        <v>46272</v>
      </c>
      <c r="C32" s="268">
        <v>9500</v>
      </c>
      <c r="D32" s="66" t="s">
        <v>1533</v>
      </c>
      <c r="E32" s="233"/>
      <c r="F32" s="233">
        <f t="shared" si="0"/>
        <v>14000</v>
      </c>
      <c r="G32" s="237">
        <v>865.5</v>
      </c>
      <c r="H32" s="234">
        <f t="shared" si="1"/>
        <v>13616.650000000001</v>
      </c>
      <c r="I32" s="234">
        <f t="shared" si="2"/>
        <v>383.34999999999854</v>
      </c>
      <c r="J32" s="235"/>
    </row>
    <row r="33" spans="1:10" s="223" customFormat="1" ht="12.75" customHeight="1" x14ac:dyDescent="0.2">
      <c r="A33" s="70"/>
      <c r="B33" s="365"/>
      <c r="C33" s="268"/>
      <c r="D33" s="66"/>
      <c r="E33" s="233"/>
      <c r="F33" s="233">
        <f t="shared" si="0"/>
        <v>14000</v>
      </c>
      <c r="G33" s="237"/>
      <c r="H33" s="234">
        <f t="shared" si="1"/>
        <v>13616.650000000001</v>
      </c>
      <c r="I33" s="234">
        <f t="shared" si="2"/>
        <v>383.34999999999854</v>
      </c>
      <c r="J33" s="235"/>
    </row>
    <row r="34" spans="1:10" s="223" customFormat="1" ht="12.75" customHeight="1" x14ac:dyDescent="0.2">
      <c r="A34" s="70"/>
      <c r="B34" s="365"/>
      <c r="C34" s="268"/>
      <c r="D34" s="66"/>
      <c r="E34" s="233"/>
      <c r="F34" s="233">
        <f t="shared" si="0"/>
        <v>14000</v>
      </c>
      <c r="G34" s="237"/>
      <c r="H34" s="234">
        <f t="shared" si="1"/>
        <v>13616.650000000001</v>
      </c>
      <c r="I34" s="234">
        <f t="shared" si="2"/>
        <v>383.34999999999854</v>
      </c>
      <c r="J34" s="235"/>
    </row>
    <row r="35" spans="1:10" s="223" customFormat="1" ht="12.75" customHeight="1" x14ac:dyDescent="0.2">
      <c r="A35" s="70"/>
      <c r="B35" s="365"/>
      <c r="C35" s="268"/>
      <c r="D35" s="66"/>
      <c r="E35" s="233"/>
      <c r="F35" s="233">
        <f t="shared" si="0"/>
        <v>14000</v>
      </c>
      <c r="G35" s="237"/>
      <c r="H35" s="234">
        <f t="shared" si="1"/>
        <v>13616.650000000001</v>
      </c>
      <c r="I35" s="234">
        <f t="shared" si="2"/>
        <v>383.34999999999854</v>
      </c>
      <c r="J35" s="235"/>
    </row>
    <row r="36" spans="1:10" s="223" customFormat="1" ht="12.75" customHeight="1" x14ac:dyDescent="0.25">
      <c r="A36" s="230"/>
      <c r="B36" s="231"/>
      <c r="C36" s="231"/>
      <c r="D36" s="240"/>
      <c r="E36" s="234"/>
      <c r="F36" s="234"/>
      <c r="G36" s="234"/>
      <c r="H36" s="234"/>
      <c r="I36" s="234"/>
      <c r="J36" s="235"/>
    </row>
    <row r="37" spans="1:10" s="223" customFormat="1" ht="12.75" customHeight="1" thickBot="1" x14ac:dyDescent="0.3">
      <c r="A37" s="230"/>
      <c r="B37" s="243"/>
      <c r="C37" s="243"/>
      <c r="D37" s="244" t="s">
        <v>24</v>
      </c>
      <c r="E37" s="245">
        <f>SUM(E9:E36)</f>
        <v>14000</v>
      </c>
      <c r="F37" s="245"/>
      <c r="G37" s="245">
        <f>SUM(G9:G36)</f>
        <v>13616.650000000001</v>
      </c>
      <c r="H37" s="245"/>
      <c r="I37" s="245">
        <f>E37-G37</f>
        <v>383.34999999999854</v>
      </c>
      <c r="J37" s="235"/>
    </row>
    <row r="38" spans="1:10" s="223" customFormat="1" ht="12.75" customHeight="1" thickTop="1" x14ac:dyDescent="0.25"/>
    <row r="39" spans="1:10" s="223" customFormat="1" ht="12.75" customHeight="1" x14ac:dyDescent="0.25"/>
    <row r="40" spans="1:10" s="223" customFormat="1" ht="12.75" customHeight="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1F9F3-5942-4E19-BE00-2DD57E4EDE92}">
  <sheetPr>
    <pageSetUpPr fitToPage="1"/>
  </sheetPr>
  <dimension ref="A1:H102"/>
  <sheetViews>
    <sheetView zoomScaleNormal="100" workbookViewId="0">
      <selection activeCell="E27" sqref="E27"/>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6.85546875" customWidth="1"/>
    <col min="6" max="6" width="16"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#9497.00'!B1</f>
        <v>HHS IMHI Warehouse Roof Replacement</v>
      </c>
      <c r="B1" s="3"/>
      <c r="C1" s="3"/>
      <c r="D1" s="3"/>
      <c r="E1" s="4"/>
      <c r="F1" s="4"/>
      <c r="G1" s="4"/>
      <c r="H1" s="28"/>
    </row>
    <row r="2" spans="1:8" ht="15.75" x14ac:dyDescent="0.25">
      <c r="A2" s="6" t="str">
        <f>'RECAP #9497.00'!B2</f>
        <v>Project # 9497.00</v>
      </c>
      <c r="B2" s="5"/>
      <c r="C2" s="5"/>
      <c r="D2" s="5"/>
      <c r="E2" s="4"/>
      <c r="F2" s="4"/>
      <c r="G2" s="4"/>
      <c r="H2" s="28"/>
    </row>
    <row r="3" spans="1:8" ht="15.75" x14ac:dyDescent="0.25">
      <c r="A3" s="7" t="str">
        <f>'RECAP #9497.00'!B3</f>
        <v>Program code 949700</v>
      </c>
      <c r="B3" s="5"/>
      <c r="C3" s="5"/>
      <c r="D3" s="5"/>
      <c r="E3" s="8" t="str">
        <f>'RECAP #9497.00'!E3</f>
        <v>Major Program 4E02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282</v>
      </c>
      <c r="F6" s="35"/>
      <c r="G6" s="38"/>
      <c r="H6" s="39"/>
    </row>
    <row r="7" spans="1:8" ht="15.75" x14ac:dyDescent="0.25">
      <c r="A7" s="11" t="str">
        <f>'RECAP #9497.00'!B6</f>
        <v>Project Manager - James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5">
      <c r="A9" s="239" t="s">
        <v>428</v>
      </c>
      <c r="B9" s="177">
        <v>46036</v>
      </c>
      <c r="C9" s="241" t="s">
        <v>361</v>
      </c>
      <c r="D9" s="241" t="s">
        <v>362</v>
      </c>
      <c r="E9" s="176" t="s">
        <v>426</v>
      </c>
      <c r="F9" s="272" t="s">
        <v>427</v>
      </c>
      <c r="G9" s="237">
        <v>1600</v>
      </c>
      <c r="H9" s="260">
        <f>G9</f>
        <v>1600</v>
      </c>
    </row>
    <row r="10" spans="1:8" s="223" customFormat="1" ht="12.75" customHeight="1" x14ac:dyDescent="0.2">
      <c r="A10" s="176" t="s">
        <v>448</v>
      </c>
      <c r="B10" s="177">
        <v>46044</v>
      </c>
      <c r="C10" s="241" t="s">
        <v>361</v>
      </c>
      <c r="D10" s="241" t="s">
        <v>362</v>
      </c>
      <c r="E10" s="38" t="s">
        <v>368</v>
      </c>
      <c r="F10" s="272" t="s">
        <v>449</v>
      </c>
      <c r="G10" s="237">
        <v>317.35000000000002</v>
      </c>
      <c r="H10" s="260">
        <f>H9+G10</f>
        <v>1917.35</v>
      </c>
    </row>
    <row r="11" spans="1:8" s="223" customFormat="1" ht="12.75" customHeight="1" x14ac:dyDescent="0.25">
      <c r="A11" s="176" t="s">
        <v>673</v>
      </c>
      <c r="B11" s="177">
        <v>46101</v>
      </c>
      <c r="C11" s="241" t="s">
        <v>361</v>
      </c>
      <c r="D11" s="241" t="s">
        <v>362</v>
      </c>
      <c r="E11" s="176" t="s">
        <v>426</v>
      </c>
      <c r="F11" s="272" t="s">
        <v>672</v>
      </c>
      <c r="G11" s="237">
        <v>1300</v>
      </c>
      <c r="H11" s="260">
        <f t="shared" ref="H11:H20" si="0">H10+G11</f>
        <v>3217.35</v>
      </c>
    </row>
    <row r="12" spans="1:8" s="223" customFormat="1" ht="12.75" customHeight="1" x14ac:dyDescent="0.2">
      <c r="A12" s="176" t="s">
        <v>843</v>
      </c>
      <c r="B12" s="177">
        <v>46148</v>
      </c>
      <c r="C12" s="241" t="s">
        <v>361</v>
      </c>
      <c r="D12" s="241" t="s">
        <v>362</v>
      </c>
      <c r="E12" s="38" t="s">
        <v>368</v>
      </c>
      <c r="F12" s="272" t="s">
        <v>842</v>
      </c>
      <c r="G12" s="237">
        <v>253.68</v>
      </c>
      <c r="H12" s="260">
        <f t="shared" si="0"/>
        <v>3471.0299999999997</v>
      </c>
    </row>
    <row r="13" spans="1:8" s="223" customFormat="1" ht="12.75" customHeight="1" x14ac:dyDescent="0.25">
      <c r="A13" s="241" t="s">
        <v>2</v>
      </c>
      <c r="B13" s="177" t="s">
        <v>2</v>
      </c>
      <c r="C13" s="177"/>
      <c r="D13" s="177"/>
      <c r="E13" s="258" t="s">
        <v>2</v>
      </c>
      <c r="F13" s="252"/>
      <c r="G13" s="260"/>
      <c r="H13" s="260">
        <f t="shared" si="0"/>
        <v>3471.0299999999997</v>
      </c>
    </row>
    <row r="14" spans="1:8" s="223" customFormat="1" ht="12.75" customHeight="1" x14ac:dyDescent="0.25">
      <c r="A14" s="241"/>
      <c r="B14" s="177"/>
      <c r="C14" s="177"/>
      <c r="D14" s="177"/>
      <c r="E14" s="258"/>
      <c r="F14" s="252"/>
      <c r="G14" s="260"/>
      <c r="H14" s="260">
        <f t="shared" si="0"/>
        <v>3471.0299999999997</v>
      </c>
    </row>
    <row r="15" spans="1:8" s="223" customFormat="1" ht="12.75" customHeight="1" x14ac:dyDescent="0.25">
      <c r="A15" s="241"/>
      <c r="B15" s="177"/>
      <c r="C15" s="177"/>
      <c r="D15" s="177"/>
      <c r="E15" s="261"/>
      <c r="F15" s="252"/>
      <c r="G15" s="260"/>
      <c r="H15" s="260">
        <f t="shared" si="0"/>
        <v>3471.0299999999997</v>
      </c>
    </row>
    <row r="16" spans="1:8" s="223" customFormat="1" ht="12.75" customHeight="1" x14ac:dyDescent="0.25">
      <c r="A16" s="241"/>
      <c r="B16" s="177"/>
      <c r="C16" s="177"/>
      <c r="D16" s="177"/>
      <c r="E16" s="258"/>
      <c r="F16" s="252"/>
      <c r="G16" s="260"/>
      <c r="H16" s="260">
        <f t="shared" si="0"/>
        <v>3471.0299999999997</v>
      </c>
    </row>
    <row r="17" spans="1:8" s="223" customFormat="1" ht="12.75" customHeight="1" x14ac:dyDescent="0.25">
      <c r="A17" s="230"/>
      <c r="B17" s="177"/>
      <c r="C17" s="177"/>
      <c r="D17" s="177"/>
      <c r="E17" s="258"/>
      <c r="F17" s="252"/>
      <c r="G17" s="260"/>
      <c r="H17" s="260">
        <f t="shared" si="0"/>
        <v>3471.0299999999997</v>
      </c>
    </row>
    <row r="18" spans="1:8" s="223" customFormat="1" ht="12.75" customHeight="1" x14ac:dyDescent="0.25">
      <c r="A18" s="230"/>
      <c r="B18" s="177"/>
      <c r="C18" s="177"/>
      <c r="D18" s="177"/>
      <c r="E18" s="258"/>
      <c r="F18" s="252"/>
      <c r="G18" s="260"/>
      <c r="H18" s="260">
        <f t="shared" si="0"/>
        <v>3471.0299999999997</v>
      </c>
    </row>
    <row r="19" spans="1:8" s="223" customFormat="1" ht="12.75" customHeight="1" x14ac:dyDescent="0.25">
      <c r="A19" s="230"/>
      <c r="B19" s="177"/>
      <c r="C19" s="177"/>
      <c r="D19" s="177"/>
      <c r="E19" s="258"/>
      <c r="F19" s="252"/>
      <c r="G19" s="260"/>
      <c r="H19" s="260">
        <f t="shared" si="0"/>
        <v>3471.0299999999997</v>
      </c>
    </row>
    <row r="20" spans="1:8" s="223" customFormat="1" ht="12.75" customHeight="1" x14ac:dyDescent="0.25">
      <c r="A20" s="230"/>
      <c r="B20" s="177"/>
      <c r="C20" s="177"/>
      <c r="D20" s="177"/>
      <c r="E20" s="258"/>
      <c r="F20" s="252"/>
      <c r="G20" s="260"/>
      <c r="H20" s="260">
        <f t="shared" si="0"/>
        <v>3471.0299999999997</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3471.0299999999997</v>
      </c>
      <c r="H22" s="265"/>
    </row>
    <row r="23" spans="1:8" s="223" customFormat="1" ht="12.75" customHeight="1" thickTop="1" x14ac:dyDescent="0.25"/>
    <row r="24" spans="1:8" s="223" customFormat="1" ht="12.75" customHeight="1" x14ac:dyDescent="0.25"/>
    <row r="25" spans="1:8" s="223" customFormat="1" ht="12.75" customHeight="1" x14ac:dyDescent="0.25"/>
    <row r="26" spans="1:8" s="223" customFormat="1" ht="12.75" customHeight="1" x14ac:dyDescent="0.25"/>
    <row r="27" spans="1:8" s="223" customFormat="1" ht="12.75" customHeight="1" x14ac:dyDescent="0.25"/>
    <row r="28" spans="1:8" s="223" customFormat="1" ht="12.75" customHeight="1" x14ac:dyDescent="0.25"/>
    <row r="29" spans="1:8" s="223" customFormat="1" ht="12.75" customHeight="1" x14ac:dyDescent="0.25"/>
    <row r="30" spans="1:8" s="223" customFormat="1" ht="12.75" customHeight="1" x14ac:dyDescent="0.25"/>
    <row r="31" spans="1:8" s="223" customFormat="1" ht="12.75" customHeight="1" x14ac:dyDescent="0.25"/>
    <row r="32" spans="1:8" s="223" customFormat="1" ht="12.75" customHeight="1" x14ac:dyDescent="0.25"/>
    <row r="33" s="223" customFormat="1" ht="12.75" customHeight="1" x14ac:dyDescent="0.25"/>
    <row r="34" s="223" customFormat="1" ht="12.75" customHeight="1" x14ac:dyDescent="0.25"/>
    <row r="35" s="223" customFormat="1" ht="12.75" customHeight="1" x14ac:dyDescent="0.25"/>
    <row r="36" s="223" customFormat="1" ht="12.75" customHeight="1" x14ac:dyDescent="0.25"/>
    <row r="37" s="223" customFormat="1" ht="12.75" customHeight="1" x14ac:dyDescent="0.25"/>
    <row r="38" s="223" customFormat="1" ht="12.75" customHeight="1" x14ac:dyDescent="0.25"/>
    <row r="39" s="223" customFormat="1" ht="12.75" customHeight="1" x14ac:dyDescent="0.25"/>
    <row r="40" s="223" customFormat="1" ht="12.75" customHeight="1" x14ac:dyDescent="0.25"/>
    <row r="41" s="223" customFormat="1" ht="12.75" customHeight="1" x14ac:dyDescent="0.25"/>
    <row r="42" s="223" customFormat="1" ht="12.75" customHeight="1" x14ac:dyDescent="0.25"/>
    <row r="43" s="223" customFormat="1" ht="12.75" customHeight="1" x14ac:dyDescent="0.25"/>
    <row r="44" s="223" customFormat="1" ht="12.75" customHeight="1" x14ac:dyDescent="0.25"/>
    <row r="45" s="223" customFormat="1" ht="12.75" customHeight="1" x14ac:dyDescent="0.25"/>
    <row r="46" s="223" customFormat="1" ht="12.75" customHeight="1" x14ac:dyDescent="0.25"/>
    <row r="47" s="223" customFormat="1" ht="12.75" customHeight="1" x14ac:dyDescent="0.25"/>
    <row r="48" s="223" customFormat="1" ht="12.75" customHeight="1" x14ac:dyDescent="0.25"/>
    <row r="49" s="223" customFormat="1" ht="12.75" customHeight="1" x14ac:dyDescent="0.25"/>
    <row r="50" s="223" customFormat="1" ht="12.75" customHeight="1" x14ac:dyDescent="0.25"/>
    <row r="51" s="223" customFormat="1" ht="12.75" customHeight="1" x14ac:dyDescent="0.25"/>
    <row r="52" s="223" customFormat="1" ht="12.75" customHeight="1" x14ac:dyDescent="0.25"/>
    <row r="53" s="223" customFormat="1" ht="12.75" customHeight="1" x14ac:dyDescent="0.25"/>
    <row r="54" s="223" customFormat="1" ht="12.75" customHeight="1" x14ac:dyDescent="0.25"/>
    <row r="55" s="223" customFormat="1" ht="12.75" customHeight="1" x14ac:dyDescent="0.25"/>
    <row r="56" s="223" customFormat="1" ht="12.75" customHeight="1" x14ac:dyDescent="0.25"/>
    <row r="57" s="223" customFormat="1" ht="12.75" customHeight="1" x14ac:dyDescent="0.25"/>
    <row r="58" s="223" customFormat="1" ht="12.75" customHeight="1" x14ac:dyDescent="0.25"/>
    <row r="59" s="223" customFormat="1" ht="12.75" customHeight="1" x14ac:dyDescent="0.25"/>
    <row r="60" s="223" customFormat="1" ht="12.75" customHeight="1" x14ac:dyDescent="0.25"/>
    <row r="61" s="223" customFormat="1" ht="12.75" customHeight="1" x14ac:dyDescent="0.25"/>
    <row r="62" s="223" customFormat="1" ht="12.75" customHeight="1" x14ac:dyDescent="0.25"/>
    <row r="63" s="223" customFormat="1" ht="12.75" customHeight="1" x14ac:dyDescent="0.25"/>
    <row r="64" s="223" customFormat="1" ht="12.75" customHeight="1" x14ac:dyDescent="0.25"/>
    <row r="65" s="223" customFormat="1" ht="12.75" customHeight="1" x14ac:dyDescent="0.25"/>
    <row r="66" s="223" customFormat="1" ht="12.75" customHeight="1" x14ac:dyDescent="0.25"/>
    <row r="67" s="223" customFormat="1" ht="12.75" customHeight="1" x14ac:dyDescent="0.25"/>
    <row r="68" s="223" customFormat="1" ht="12.75" customHeight="1" x14ac:dyDescent="0.25"/>
    <row r="69" s="223" customFormat="1" ht="12.75" customHeight="1" x14ac:dyDescent="0.25"/>
    <row r="70" s="223" customFormat="1" ht="12.75" customHeight="1" x14ac:dyDescent="0.25"/>
    <row r="71" s="223" customFormat="1" ht="12.75" customHeight="1" x14ac:dyDescent="0.25"/>
    <row r="72" s="223" customFormat="1" ht="12.75" customHeight="1" x14ac:dyDescent="0.25"/>
    <row r="73" s="223" customFormat="1" ht="12.75" customHeight="1" x14ac:dyDescent="0.25"/>
    <row r="74" s="223" customFormat="1" ht="12.75" customHeight="1" x14ac:dyDescent="0.25"/>
    <row r="75" s="223" customFormat="1" ht="12.75" customHeight="1" x14ac:dyDescent="0.25"/>
    <row r="76" s="223" customFormat="1" ht="12.75" customHeight="1" x14ac:dyDescent="0.25"/>
    <row r="77" s="223" customFormat="1" ht="12.75" customHeight="1" x14ac:dyDescent="0.25"/>
    <row r="78" s="223" customFormat="1" ht="12.75" customHeight="1" x14ac:dyDescent="0.25"/>
    <row r="79" s="223" customFormat="1" ht="12.75" customHeight="1" x14ac:dyDescent="0.25"/>
    <row r="80" s="223" customFormat="1" ht="12.75" customHeight="1" x14ac:dyDescent="0.25"/>
    <row r="81" s="223" customFormat="1" ht="12.75" customHeight="1" x14ac:dyDescent="0.25"/>
    <row r="82" s="223" customFormat="1" ht="12.75" customHeight="1" x14ac:dyDescent="0.25"/>
    <row r="83" s="223" customFormat="1" ht="12.75" customHeight="1" x14ac:dyDescent="0.25"/>
    <row r="84" s="223" customFormat="1" ht="12.75" customHeight="1" x14ac:dyDescent="0.25"/>
    <row r="85" s="223" customFormat="1" ht="12.75" customHeight="1" x14ac:dyDescent="0.25"/>
    <row r="86" s="223" customFormat="1" ht="12.75" customHeight="1" x14ac:dyDescent="0.25"/>
    <row r="87" s="223" customFormat="1" ht="12.75" customHeight="1" x14ac:dyDescent="0.25"/>
    <row r="88" s="223" customFormat="1" ht="12.75" customHeight="1" x14ac:dyDescent="0.25"/>
    <row r="89" s="223" customFormat="1" ht="12.75" customHeight="1" x14ac:dyDescent="0.25"/>
    <row r="90" s="223" customFormat="1" ht="12.75" customHeight="1" x14ac:dyDescent="0.25"/>
    <row r="91" s="223" customFormat="1" ht="12.75" customHeight="1" x14ac:dyDescent="0.25"/>
    <row r="92" s="223" customFormat="1" ht="12.75" customHeight="1" x14ac:dyDescent="0.25"/>
    <row r="93" s="223" customFormat="1" ht="12.75" customHeight="1" x14ac:dyDescent="0.25"/>
    <row r="94" s="223" customFormat="1" ht="12.75" customHeight="1" x14ac:dyDescent="0.25"/>
    <row r="95" s="223" customFormat="1" ht="12.75" customHeight="1" x14ac:dyDescent="0.25"/>
    <row r="96" s="223" customFormat="1" ht="12.75" customHeight="1" x14ac:dyDescent="0.25"/>
    <row r="97" s="223" customFormat="1" ht="12.75" customHeight="1" x14ac:dyDescent="0.25"/>
    <row r="98" s="223" customFormat="1" ht="12.75" customHeight="1" x14ac:dyDescent="0.25"/>
    <row r="99" s="223" customFormat="1" ht="12.75" customHeight="1" x14ac:dyDescent="0.25"/>
    <row r="100" s="223" customFormat="1" ht="12.75" customHeight="1" x14ac:dyDescent="0.25"/>
    <row r="101" s="223" customFormat="1" ht="12.75" customHeight="1" x14ac:dyDescent="0.25"/>
    <row r="102" s="223" customFormat="1" ht="12.75" customHeight="1" x14ac:dyDescent="0.25"/>
  </sheetData>
  <pageMargins left="0.25" right="0.25" top="0.95" bottom="0.75" header="0.09" footer="0.3"/>
  <pageSetup scale="7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B3CF7-FF32-4421-A2E6-624136A8A4C9}">
  <sheetPr>
    <pageSetUpPr fitToPage="1"/>
  </sheetPr>
  <dimension ref="A1:I30"/>
  <sheetViews>
    <sheetView zoomScaleNormal="100" workbookViewId="0">
      <selection activeCell="D35" sqref="D35"/>
    </sheetView>
  </sheetViews>
  <sheetFormatPr defaultColWidth="11.42578125" defaultRowHeight="15" customHeight="1" x14ac:dyDescent="0.25"/>
  <cols>
    <col min="1" max="1" width="24.5703125" customWidth="1"/>
    <col min="2" max="2" width="9.42578125" customWidth="1"/>
    <col min="3" max="3" width="19.140625" customWidth="1"/>
    <col min="4" max="4" width="14.42578125" customWidth="1"/>
    <col min="5" max="5" width="13.5703125" customWidth="1"/>
    <col min="6" max="6" width="12.42578125" customWidth="1"/>
    <col min="7" max="7" width="10.5703125" customWidth="1"/>
    <col min="8" max="8" width="11.855468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#9497.00'!B1</f>
        <v>HHS IMHI Warehouse Roof Replacement</v>
      </c>
      <c r="B1" s="3"/>
      <c r="C1" s="4"/>
      <c r="D1" s="4"/>
      <c r="E1" s="4"/>
      <c r="F1" s="28"/>
      <c r="G1" s="28"/>
      <c r="H1" s="29"/>
      <c r="I1" s="29"/>
    </row>
    <row r="2" spans="1:9" ht="15.75" x14ac:dyDescent="0.25">
      <c r="A2" s="6" t="str">
        <f>'RECAP #9497.00'!B2</f>
        <v>Project # 9497.00</v>
      </c>
      <c r="B2" s="5"/>
      <c r="C2" s="4"/>
      <c r="D2" s="4"/>
      <c r="E2" s="4"/>
      <c r="F2" s="28"/>
      <c r="G2" s="28"/>
      <c r="H2" s="29"/>
      <c r="I2" s="29"/>
    </row>
    <row r="3" spans="1:9" ht="15.75" x14ac:dyDescent="0.25">
      <c r="A3" s="7" t="str">
        <f>'RECAP #9497.00'!B3</f>
        <v>Program code 949700</v>
      </c>
      <c r="B3" s="5"/>
      <c r="C3" s="4"/>
      <c r="D3" s="8" t="str">
        <f>'RECAP #9497.00'!E3</f>
        <v>Major Program 4E02</v>
      </c>
      <c r="E3" s="4"/>
      <c r="F3" s="28"/>
      <c r="G3" s="28"/>
      <c r="H3" s="29"/>
      <c r="I3" s="29"/>
    </row>
    <row r="4" spans="1:9" ht="15.75" x14ac:dyDescent="0.25">
      <c r="A4" s="30" t="s">
        <v>432</v>
      </c>
      <c r="B4" s="31"/>
      <c r="C4" s="32"/>
      <c r="D4" s="33" t="s">
        <v>433</v>
      </c>
      <c r="E4" s="28"/>
      <c r="F4" s="28"/>
      <c r="G4" s="28"/>
      <c r="H4" s="29"/>
      <c r="I4" s="29"/>
    </row>
    <row r="5" spans="1:9" ht="15.75" x14ac:dyDescent="0.25">
      <c r="A5" s="34" t="s">
        <v>115</v>
      </c>
      <c r="B5" s="35"/>
      <c r="C5" s="36"/>
      <c r="D5" s="37" t="s">
        <v>434</v>
      </c>
      <c r="E5" s="38"/>
      <c r="F5" s="39"/>
      <c r="G5" s="39"/>
      <c r="H5" s="35"/>
      <c r="I5" s="29"/>
    </row>
    <row r="6" spans="1:9" ht="15.75" x14ac:dyDescent="0.25">
      <c r="A6" s="11" t="str">
        <f>'RECAP #9497.00'!B6</f>
        <v>Project Manager - James T.</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436</v>
      </c>
      <c r="B9" s="177">
        <v>46042</v>
      </c>
      <c r="C9" s="231" t="s">
        <v>109</v>
      </c>
      <c r="D9" s="232">
        <v>20365</v>
      </c>
      <c r="E9" s="233">
        <f>D9</f>
        <v>20365</v>
      </c>
      <c r="F9" s="234"/>
      <c r="G9" s="234"/>
      <c r="H9" s="234">
        <f>E9</f>
        <v>20365</v>
      </c>
      <c r="I9" s="235"/>
    </row>
    <row r="10" spans="1:9" s="223" customFormat="1" ht="12.75" customHeight="1" x14ac:dyDescent="0.25">
      <c r="A10" s="230" t="s">
        <v>605</v>
      </c>
      <c r="B10" s="236">
        <v>46085</v>
      </c>
      <c r="C10" s="231" t="s">
        <v>625</v>
      </c>
      <c r="D10" s="233"/>
      <c r="E10" s="233">
        <f t="shared" ref="E10:E21" si="0">E9+D10</f>
        <v>20365</v>
      </c>
      <c r="F10" s="237">
        <v>4100</v>
      </c>
      <c r="G10" s="234">
        <f t="shared" ref="G10:G21" si="1">G9+F10</f>
        <v>4100</v>
      </c>
      <c r="H10" s="234">
        <f t="shared" ref="H10:H21" si="2">H9-F10+D10</f>
        <v>16265</v>
      </c>
      <c r="I10" s="235"/>
    </row>
    <row r="11" spans="1:9" s="223" customFormat="1" ht="12.75" customHeight="1" x14ac:dyDescent="0.25">
      <c r="A11" s="230" t="s">
        <v>668</v>
      </c>
      <c r="B11" s="177">
        <v>46100</v>
      </c>
      <c r="C11" s="231" t="s">
        <v>669</v>
      </c>
      <c r="D11" s="233"/>
      <c r="E11" s="233">
        <f t="shared" si="0"/>
        <v>20365</v>
      </c>
      <c r="F11" s="237">
        <v>3200</v>
      </c>
      <c r="G11" s="234">
        <f t="shared" si="1"/>
        <v>7300</v>
      </c>
      <c r="H11" s="234">
        <f t="shared" si="2"/>
        <v>13065</v>
      </c>
      <c r="I11" s="235"/>
    </row>
    <row r="12" spans="1:9" s="223" customFormat="1" ht="12.75" customHeight="1" x14ac:dyDescent="0.25">
      <c r="A12" s="230" t="s">
        <v>790</v>
      </c>
      <c r="B12" s="177">
        <v>46128</v>
      </c>
      <c r="C12" s="231" t="s">
        <v>791</v>
      </c>
      <c r="D12" s="233"/>
      <c r="E12" s="233">
        <f t="shared" si="0"/>
        <v>20365</v>
      </c>
      <c r="F12" s="237">
        <v>1865</v>
      </c>
      <c r="G12" s="234">
        <f t="shared" si="1"/>
        <v>9165</v>
      </c>
      <c r="H12" s="234">
        <f t="shared" si="2"/>
        <v>11200</v>
      </c>
      <c r="I12" s="235"/>
    </row>
    <row r="13" spans="1:9" s="223" customFormat="1" ht="12.75" customHeight="1" x14ac:dyDescent="0.25">
      <c r="A13" s="230" t="s">
        <v>909</v>
      </c>
      <c r="B13" s="177">
        <v>46162</v>
      </c>
      <c r="C13" s="231" t="s">
        <v>910</v>
      </c>
      <c r="D13" s="233"/>
      <c r="E13" s="233">
        <f t="shared" si="0"/>
        <v>20365</v>
      </c>
      <c r="F13" s="237">
        <v>2100</v>
      </c>
      <c r="G13" s="234">
        <f t="shared" si="1"/>
        <v>11265</v>
      </c>
      <c r="H13" s="234">
        <f t="shared" si="2"/>
        <v>9100</v>
      </c>
      <c r="I13" s="235"/>
    </row>
    <row r="14" spans="1:9" s="223" customFormat="1" ht="12.75" customHeight="1" x14ac:dyDescent="0.25">
      <c r="A14" s="328" t="s">
        <v>1234</v>
      </c>
      <c r="B14" s="329">
        <v>46216</v>
      </c>
      <c r="C14" s="330" t="s">
        <v>1235</v>
      </c>
      <c r="D14" s="331"/>
      <c r="E14" s="331">
        <f t="shared" si="0"/>
        <v>20365</v>
      </c>
      <c r="F14" s="338">
        <v>550</v>
      </c>
      <c r="G14" s="332">
        <f t="shared" si="1"/>
        <v>11815</v>
      </c>
      <c r="H14" s="332">
        <f t="shared" si="2"/>
        <v>8550</v>
      </c>
      <c r="I14" s="333" t="s">
        <v>1285</v>
      </c>
    </row>
    <row r="15" spans="1:9" s="223" customFormat="1" ht="12.75" customHeight="1" x14ac:dyDescent="0.25">
      <c r="A15" s="230" t="s">
        <v>1302</v>
      </c>
      <c r="B15" s="177">
        <v>46225</v>
      </c>
      <c r="C15" s="231" t="s">
        <v>1286</v>
      </c>
      <c r="D15" s="232">
        <v>0</v>
      </c>
      <c r="E15" s="233">
        <f t="shared" si="0"/>
        <v>20365</v>
      </c>
      <c r="F15" s="238"/>
      <c r="G15" s="234">
        <f t="shared" si="1"/>
        <v>11815</v>
      </c>
      <c r="H15" s="234">
        <f t="shared" si="2"/>
        <v>8550</v>
      </c>
      <c r="I15" s="235"/>
    </row>
    <row r="16" spans="1:9" s="223" customFormat="1" ht="12.75" customHeight="1" x14ac:dyDescent="0.25">
      <c r="A16" s="230"/>
      <c r="B16" s="177"/>
      <c r="C16" s="231"/>
      <c r="D16" s="233"/>
      <c r="E16" s="233">
        <f t="shared" si="0"/>
        <v>20365</v>
      </c>
      <c r="F16" s="238"/>
      <c r="G16" s="234">
        <f t="shared" si="1"/>
        <v>11815</v>
      </c>
      <c r="H16" s="234">
        <f t="shared" si="2"/>
        <v>8550</v>
      </c>
      <c r="I16" s="235"/>
    </row>
    <row r="17" spans="1:9" s="223" customFormat="1" ht="12.75" customHeight="1" x14ac:dyDescent="0.25">
      <c r="A17" s="230"/>
      <c r="B17" s="177"/>
      <c r="C17" s="231"/>
      <c r="D17" s="233"/>
      <c r="E17" s="233">
        <f t="shared" si="0"/>
        <v>20365</v>
      </c>
      <c r="F17" s="238"/>
      <c r="G17" s="234">
        <f t="shared" si="1"/>
        <v>11815</v>
      </c>
      <c r="H17" s="234">
        <f t="shared" si="2"/>
        <v>8550</v>
      </c>
      <c r="I17" s="235"/>
    </row>
    <row r="18" spans="1:9" s="223" customFormat="1" ht="12.75" customHeight="1" x14ac:dyDescent="0.25">
      <c r="A18" s="230"/>
      <c r="B18" s="177"/>
      <c r="C18" s="231"/>
      <c r="D18" s="233"/>
      <c r="E18" s="233">
        <f t="shared" si="0"/>
        <v>20365</v>
      </c>
      <c r="F18" s="238"/>
      <c r="G18" s="234">
        <f t="shared" si="1"/>
        <v>11815</v>
      </c>
      <c r="H18" s="234">
        <f t="shared" si="2"/>
        <v>8550</v>
      </c>
      <c r="I18" s="235"/>
    </row>
    <row r="19" spans="1:9" s="223" customFormat="1" ht="12.75" customHeight="1" x14ac:dyDescent="0.25">
      <c r="A19" s="230"/>
      <c r="B19" s="177"/>
      <c r="C19" s="231"/>
      <c r="D19" s="233"/>
      <c r="E19" s="233">
        <f t="shared" si="0"/>
        <v>20365</v>
      </c>
      <c r="F19" s="234"/>
      <c r="G19" s="234">
        <f t="shared" si="1"/>
        <v>11815</v>
      </c>
      <c r="H19" s="234">
        <f t="shared" si="2"/>
        <v>8550</v>
      </c>
      <c r="I19" s="235"/>
    </row>
    <row r="20" spans="1:9" s="223" customFormat="1" ht="12.75" customHeight="1" x14ac:dyDescent="0.25">
      <c r="A20" s="230"/>
      <c r="B20" s="177"/>
      <c r="C20" s="231"/>
      <c r="D20" s="233"/>
      <c r="E20" s="233">
        <f t="shared" si="0"/>
        <v>20365</v>
      </c>
      <c r="F20" s="234"/>
      <c r="G20" s="234">
        <f t="shared" si="1"/>
        <v>11815</v>
      </c>
      <c r="H20" s="234">
        <f t="shared" si="2"/>
        <v>8550</v>
      </c>
      <c r="I20" s="235"/>
    </row>
    <row r="21" spans="1:9" s="223" customFormat="1" ht="12.75" customHeight="1" x14ac:dyDescent="0.25">
      <c r="A21" s="230"/>
      <c r="B21" s="177"/>
      <c r="C21" s="239"/>
      <c r="D21" s="233"/>
      <c r="E21" s="233">
        <f t="shared" si="0"/>
        <v>20365</v>
      </c>
      <c r="F21" s="234"/>
      <c r="G21" s="234">
        <f t="shared" si="1"/>
        <v>11815</v>
      </c>
      <c r="H21" s="234">
        <f t="shared" si="2"/>
        <v>8550</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20365</v>
      </c>
      <c r="E23" s="245"/>
      <c r="F23" s="245">
        <f>SUM(F9:F22)</f>
        <v>11815</v>
      </c>
      <c r="G23" s="245"/>
      <c r="H23" s="245">
        <f>D23-F23</f>
        <v>8550</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9165</v>
      </c>
      <c r="E26" s="254"/>
      <c r="F26" s="254">
        <f>4100+3200+1865</f>
        <v>9165</v>
      </c>
      <c r="G26" s="254"/>
      <c r="H26" s="254">
        <f>D26-F26</f>
        <v>0</v>
      </c>
      <c r="I26" s="235"/>
    </row>
    <row r="27" spans="1:9" s="223" customFormat="1" ht="12.75" customHeight="1" x14ac:dyDescent="0.25">
      <c r="A27" s="230"/>
      <c r="B27" s="231"/>
      <c r="C27" s="253" t="s">
        <v>435</v>
      </c>
      <c r="D27" s="254">
        <v>2100</v>
      </c>
      <c r="E27" s="254"/>
      <c r="F27" s="254">
        <f>2100</f>
        <v>2100</v>
      </c>
      <c r="G27" s="254"/>
      <c r="H27" s="254">
        <f>D27-F27</f>
        <v>0</v>
      </c>
      <c r="I27" s="235"/>
    </row>
    <row r="28" spans="1:9" s="223" customFormat="1" ht="12.75" customHeight="1" x14ac:dyDescent="0.25">
      <c r="A28" s="230"/>
      <c r="B28" s="231"/>
      <c r="C28" s="253" t="s">
        <v>122</v>
      </c>
      <c r="D28" s="254">
        <v>9100</v>
      </c>
      <c r="E28" s="254"/>
      <c r="F28" s="254">
        <f>550</f>
        <v>550</v>
      </c>
      <c r="G28" s="254"/>
      <c r="H28" s="254">
        <f>D28-F28</f>
        <v>8550</v>
      </c>
      <c r="I28" s="235"/>
    </row>
    <row r="29" spans="1:9" s="223" customFormat="1" ht="12.75" customHeight="1" thickBot="1" x14ac:dyDescent="0.3">
      <c r="A29" s="230"/>
      <c r="B29" s="231"/>
      <c r="C29" s="255" t="s">
        <v>67</v>
      </c>
      <c r="D29" s="256">
        <f>SUM(D26:D28)</f>
        <v>20365</v>
      </c>
      <c r="E29" s="257"/>
      <c r="F29" s="256">
        <f>SUM(F26:F28)</f>
        <v>11815</v>
      </c>
      <c r="G29" s="257"/>
      <c r="H29" s="256">
        <f>SUM(H26:H28)</f>
        <v>8550</v>
      </c>
      <c r="I29" s="235"/>
    </row>
    <row r="30" spans="1:9" s="223" customFormat="1" ht="12.75" customHeight="1" thickTop="1" x14ac:dyDescent="0.25"/>
  </sheetData>
  <conditionalFormatting sqref="I8:I13 I15:I23">
    <cfRule type="cellIs" dxfId="46" priority="1" operator="greaterThan">
      <formula>$H$23</formula>
    </cfRule>
  </conditionalFormatting>
  <pageMargins left="0.25" right="0.25" top="0.95" bottom="0.75" header="0.09" footer="0.3"/>
  <pageSetup scale="8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CA137-235B-47F6-8ABF-E1785D4BB953}">
  <sheetPr>
    <pageSetUpPr fitToPage="1"/>
  </sheetPr>
  <dimension ref="A1:I29"/>
  <sheetViews>
    <sheetView topLeftCell="A3" zoomScaleNormal="100" workbookViewId="0">
      <selection activeCell="F13" sqref="F13"/>
    </sheetView>
  </sheetViews>
  <sheetFormatPr defaultColWidth="11.42578125" defaultRowHeight="15" customHeight="1" x14ac:dyDescent="0.25"/>
  <cols>
    <col min="1" max="1" width="24.5703125" customWidth="1"/>
    <col min="2" max="2" width="9.42578125" customWidth="1"/>
    <col min="3" max="3" width="16.28515625" customWidth="1"/>
    <col min="4" max="4" width="14.42578125" customWidth="1"/>
    <col min="5" max="5" width="13.5703125" customWidth="1"/>
    <col min="6" max="6" width="12.42578125" customWidth="1"/>
    <col min="7" max="7" width="10.5703125" customWidth="1"/>
    <col min="8" max="8" width="11.855468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#9497.00'!B1</f>
        <v>HHS IMHI Warehouse Roof Replacement</v>
      </c>
      <c r="B1" s="3"/>
      <c r="C1" s="4"/>
      <c r="D1" s="4"/>
      <c r="E1" s="4"/>
      <c r="F1" s="28"/>
      <c r="G1" s="28"/>
      <c r="H1" s="29"/>
      <c r="I1" s="29"/>
    </row>
    <row r="2" spans="1:9" ht="15.75" x14ac:dyDescent="0.25">
      <c r="A2" s="6" t="str">
        <f>'RECAP #9497.00'!B2</f>
        <v>Project # 9497.00</v>
      </c>
      <c r="B2" s="5"/>
      <c r="C2" s="4"/>
      <c r="D2" s="4"/>
      <c r="E2" s="4"/>
      <c r="F2" s="28"/>
      <c r="G2" s="28"/>
      <c r="H2" s="29"/>
      <c r="I2" s="29"/>
    </row>
    <row r="3" spans="1:9" ht="15.75" x14ac:dyDescent="0.25">
      <c r="A3" s="7" t="str">
        <f>'RECAP #9497.00'!B3</f>
        <v>Program code 949700</v>
      </c>
      <c r="B3" s="5"/>
      <c r="C3" s="4"/>
      <c r="D3" s="8" t="str">
        <f>'RECAP #9497.00'!E3</f>
        <v>Major Program 4E02</v>
      </c>
      <c r="E3" s="4"/>
      <c r="F3" s="28"/>
      <c r="G3" s="28"/>
      <c r="H3" s="29"/>
      <c r="I3" s="29"/>
    </row>
    <row r="4" spans="1:9" ht="15.75" x14ac:dyDescent="0.25">
      <c r="A4" s="30" t="s">
        <v>826</v>
      </c>
      <c r="B4" s="31"/>
      <c r="C4" s="32"/>
      <c r="D4" s="33" t="s">
        <v>279</v>
      </c>
      <c r="E4" s="28"/>
      <c r="F4" s="28"/>
      <c r="G4" s="28"/>
      <c r="H4" s="29"/>
      <c r="I4" s="29"/>
    </row>
    <row r="5" spans="1:9" ht="15.75" x14ac:dyDescent="0.25">
      <c r="A5" s="34" t="s">
        <v>104</v>
      </c>
      <c r="B5" s="35"/>
      <c r="C5" s="36"/>
      <c r="D5" s="37" t="s">
        <v>280</v>
      </c>
      <c r="E5" s="38"/>
      <c r="F5" s="39"/>
      <c r="G5" s="39"/>
      <c r="H5" s="35"/>
      <c r="I5" s="29"/>
    </row>
    <row r="6" spans="1:9" ht="15.75" x14ac:dyDescent="0.25">
      <c r="A6" s="11" t="str">
        <f>'RECAP #9497.00'!B6</f>
        <v>Project Manager - James T.</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827</v>
      </c>
      <c r="B9" s="177">
        <v>46142</v>
      </c>
      <c r="C9" s="231" t="s">
        <v>109</v>
      </c>
      <c r="D9" s="232">
        <v>26723.02</v>
      </c>
      <c r="E9" s="233">
        <f>D9</f>
        <v>26723.02</v>
      </c>
      <c r="F9" s="234"/>
      <c r="G9" s="234"/>
      <c r="H9" s="234">
        <f>E9</f>
        <v>26723.02</v>
      </c>
      <c r="I9" s="235"/>
    </row>
    <row r="10" spans="1:9" s="223" customFormat="1" ht="12.75" customHeight="1" x14ac:dyDescent="0.25">
      <c r="A10" s="230" t="s">
        <v>1049</v>
      </c>
      <c r="B10" s="236">
        <v>46190</v>
      </c>
      <c r="C10" s="231" t="s">
        <v>1050</v>
      </c>
      <c r="D10" s="233"/>
      <c r="E10" s="233">
        <f t="shared" ref="E10:E21" si="0">E9+D10</f>
        <v>26723.02</v>
      </c>
      <c r="F10" s="237">
        <v>5258.03</v>
      </c>
      <c r="G10" s="234">
        <f t="shared" ref="G10:G21" si="1">G9+F10</f>
        <v>5258.03</v>
      </c>
      <c r="H10" s="234">
        <f t="shared" ref="H10:H21" si="2">H9-F10+D10</f>
        <v>21464.99</v>
      </c>
      <c r="I10" s="235"/>
    </row>
    <row r="11" spans="1:9" s="223" customFormat="1" ht="12.75" customHeight="1" x14ac:dyDescent="0.25">
      <c r="A11" s="328" t="s">
        <v>1254</v>
      </c>
      <c r="B11" s="329">
        <v>46218</v>
      </c>
      <c r="C11" s="330" t="s">
        <v>1255</v>
      </c>
      <c r="D11" s="331"/>
      <c r="E11" s="331">
        <f t="shared" si="0"/>
        <v>26723.02</v>
      </c>
      <c r="F11" s="338">
        <v>5489.77</v>
      </c>
      <c r="G11" s="332">
        <f t="shared" si="1"/>
        <v>10747.8</v>
      </c>
      <c r="H11" s="332">
        <f t="shared" si="2"/>
        <v>15975.220000000001</v>
      </c>
      <c r="I11" s="333" t="s">
        <v>1285</v>
      </c>
    </row>
    <row r="12" spans="1:9" s="223" customFormat="1" ht="12.75" customHeight="1" x14ac:dyDescent="0.25">
      <c r="A12" s="230" t="s">
        <v>1301</v>
      </c>
      <c r="B12" s="177">
        <v>46225</v>
      </c>
      <c r="C12" s="231" t="s">
        <v>1286</v>
      </c>
      <c r="D12" s="232">
        <v>0</v>
      </c>
      <c r="E12" s="233">
        <f t="shared" si="0"/>
        <v>26723.02</v>
      </c>
      <c r="F12" s="237"/>
      <c r="G12" s="234">
        <f t="shared" si="1"/>
        <v>10747.8</v>
      </c>
      <c r="H12" s="234">
        <f t="shared" si="2"/>
        <v>15975.220000000001</v>
      </c>
      <c r="I12" s="235"/>
    </row>
    <row r="13" spans="1:9" s="223" customFormat="1" ht="12.75" customHeight="1" x14ac:dyDescent="0.25">
      <c r="A13" s="230" t="s">
        <v>1580</v>
      </c>
      <c r="B13" s="177">
        <v>46286</v>
      </c>
      <c r="C13" s="231" t="s">
        <v>1581</v>
      </c>
      <c r="D13" s="233"/>
      <c r="E13" s="233">
        <f t="shared" si="0"/>
        <v>26723.02</v>
      </c>
      <c r="F13" s="237">
        <v>6831.45</v>
      </c>
      <c r="G13" s="234">
        <f t="shared" si="1"/>
        <v>17579.25</v>
      </c>
      <c r="H13" s="234">
        <f t="shared" si="2"/>
        <v>9143.77</v>
      </c>
      <c r="I13" s="235"/>
    </row>
    <row r="14" spans="1:9" s="223" customFormat="1" ht="12.75" customHeight="1" x14ac:dyDescent="0.25">
      <c r="A14" s="230"/>
      <c r="B14" s="177"/>
      <c r="C14" s="231"/>
      <c r="D14" s="233"/>
      <c r="E14" s="233">
        <f t="shared" si="0"/>
        <v>26723.02</v>
      </c>
      <c r="F14" s="234"/>
      <c r="G14" s="234">
        <f t="shared" si="1"/>
        <v>17579.25</v>
      </c>
      <c r="H14" s="234">
        <f t="shared" si="2"/>
        <v>9143.77</v>
      </c>
      <c r="I14" s="235"/>
    </row>
    <row r="15" spans="1:9" s="223" customFormat="1" ht="12.75" customHeight="1" x14ac:dyDescent="0.25">
      <c r="A15" s="230"/>
      <c r="B15" s="177"/>
      <c r="C15" s="231"/>
      <c r="D15" s="233"/>
      <c r="E15" s="233">
        <f t="shared" si="0"/>
        <v>26723.02</v>
      </c>
      <c r="F15" s="238"/>
      <c r="G15" s="234">
        <f t="shared" si="1"/>
        <v>17579.25</v>
      </c>
      <c r="H15" s="234">
        <f t="shared" si="2"/>
        <v>9143.77</v>
      </c>
      <c r="I15" s="235"/>
    </row>
    <row r="16" spans="1:9" s="223" customFormat="1" ht="12.75" customHeight="1" x14ac:dyDescent="0.25">
      <c r="A16" s="230"/>
      <c r="B16" s="177"/>
      <c r="C16" s="231"/>
      <c r="D16" s="233"/>
      <c r="E16" s="233">
        <f t="shared" si="0"/>
        <v>26723.02</v>
      </c>
      <c r="F16" s="238"/>
      <c r="G16" s="234">
        <f t="shared" si="1"/>
        <v>17579.25</v>
      </c>
      <c r="H16" s="234">
        <f t="shared" si="2"/>
        <v>9143.77</v>
      </c>
      <c r="I16" s="235"/>
    </row>
    <row r="17" spans="1:9" s="223" customFormat="1" ht="12.75" customHeight="1" x14ac:dyDescent="0.25">
      <c r="A17" s="230"/>
      <c r="B17" s="177"/>
      <c r="C17" s="231"/>
      <c r="D17" s="233"/>
      <c r="E17" s="233">
        <f t="shared" si="0"/>
        <v>26723.02</v>
      </c>
      <c r="F17" s="238"/>
      <c r="G17" s="234">
        <f t="shared" si="1"/>
        <v>17579.25</v>
      </c>
      <c r="H17" s="234">
        <f t="shared" si="2"/>
        <v>9143.77</v>
      </c>
      <c r="I17" s="235"/>
    </row>
    <row r="18" spans="1:9" s="223" customFormat="1" ht="12.75" customHeight="1" x14ac:dyDescent="0.25">
      <c r="A18" s="230"/>
      <c r="B18" s="177"/>
      <c r="C18" s="231"/>
      <c r="D18" s="233"/>
      <c r="E18" s="233">
        <f t="shared" si="0"/>
        <v>26723.02</v>
      </c>
      <c r="F18" s="238"/>
      <c r="G18" s="234">
        <f t="shared" si="1"/>
        <v>17579.25</v>
      </c>
      <c r="H18" s="234">
        <f t="shared" si="2"/>
        <v>9143.77</v>
      </c>
      <c r="I18" s="235"/>
    </row>
    <row r="19" spans="1:9" s="223" customFormat="1" ht="12.75" customHeight="1" x14ac:dyDescent="0.25">
      <c r="A19" s="230"/>
      <c r="B19" s="177"/>
      <c r="C19" s="231"/>
      <c r="D19" s="233"/>
      <c r="E19" s="233">
        <f t="shared" si="0"/>
        <v>26723.02</v>
      </c>
      <c r="F19" s="234"/>
      <c r="G19" s="234">
        <f t="shared" si="1"/>
        <v>17579.25</v>
      </c>
      <c r="H19" s="234">
        <f t="shared" si="2"/>
        <v>9143.77</v>
      </c>
      <c r="I19" s="235"/>
    </row>
    <row r="20" spans="1:9" s="223" customFormat="1" ht="12.75" customHeight="1" x14ac:dyDescent="0.25">
      <c r="A20" s="230"/>
      <c r="B20" s="177"/>
      <c r="C20" s="231"/>
      <c r="D20" s="233"/>
      <c r="E20" s="233">
        <f t="shared" si="0"/>
        <v>26723.02</v>
      </c>
      <c r="F20" s="234"/>
      <c r="G20" s="234">
        <f t="shared" si="1"/>
        <v>17579.25</v>
      </c>
      <c r="H20" s="234">
        <f t="shared" si="2"/>
        <v>9143.77</v>
      </c>
      <c r="I20" s="235"/>
    </row>
    <row r="21" spans="1:9" s="223" customFormat="1" ht="12.75" customHeight="1" x14ac:dyDescent="0.25">
      <c r="A21" s="230"/>
      <c r="B21" s="177"/>
      <c r="C21" s="239"/>
      <c r="D21" s="233"/>
      <c r="E21" s="233">
        <f t="shared" si="0"/>
        <v>26723.02</v>
      </c>
      <c r="F21" s="234"/>
      <c r="G21" s="234">
        <f t="shared" si="1"/>
        <v>17579.25</v>
      </c>
      <c r="H21" s="234">
        <f t="shared" si="2"/>
        <v>9143.77</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26723.02</v>
      </c>
      <c r="E23" s="245"/>
      <c r="F23" s="245">
        <f>SUM(F9:F22)</f>
        <v>17579.25</v>
      </c>
      <c r="G23" s="245"/>
      <c r="H23" s="245">
        <f>D23-F23</f>
        <v>9143.77</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26366.02</v>
      </c>
      <c r="E26" s="254"/>
      <c r="F26" s="254">
        <f>5258.03+5489.77+6712.45</f>
        <v>17460.25</v>
      </c>
      <c r="G26" s="254"/>
      <c r="H26" s="254">
        <f>D26-F26</f>
        <v>8905.77</v>
      </c>
      <c r="I26" s="235"/>
    </row>
    <row r="27" spans="1:9" s="223" customFormat="1" ht="12.75" customHeight="1" x14ac:dyDescent="0.25">
      <c r="A27" s="230"/>
      <c r="B27" s="231"/>
      <c r="C27" s="253" t="s">
        <v>111</v>
      </c>
      <c r="D27" s="254">
        <v>357</v>
      </c>
      <c r="E27" s="254"/>
      <c r="F27" s="254">
        <f>119</f>
        <v>119</v>
      </c>
      <c r="G27" s="254"/>
      <c r="H27" s="254">
        <f>D27-F27</f>
        <v>238</v>
      </c>
      <c r="I27" s="235"/>
    </row>
    <row r="28" spans="1:9" s="223" customFormat="1" ht="12.75" customHeight="1" thickBot="1" x14ac:dyDescent="0.3">
      <c r="A28" s="230"/>
      <c r="B28" s="231"/>
      <c r="C28" s="255" t="s">
        <v>67</v>
      </c>
      <c r="D28" s="256">
        <f>SUM(D26:D27)</f>
        <v>26723.02</v>
      </c>
      <c r="E28" s="257"/>
      <c r="F28" s="256">
        <f>SUM(F26:F27)</f>
        <v>17579.25</v>
      </c>
      <c r="G28" s="257"/>
      <c r="H28" s="256">
        <f>SUM(H26:H27)</f>
        <v>9143.77</v>
      </c>
      <c r="I28" s="235"/>
    </row>
    <row r="29" spans="1:9" s="223" customFormat="1" ht="12.75" customHeight="1" thickTop="1" x14ac:dyDescent="0.25"/>
  </sheetData>
  <conditionalFormatting sqref="I8:I10 I12:I23">
    <cfRule type="cellIs" dxfId="45" priority="1" operator="greaterThan">
      <formula>$H$23</formula>
    </cfRule>
  </conditionalFormatting>
  <pageMargins left="0.25" right="0.25" top="0.95" bottom="0.75" header="0.09" footer="0.3"/>
  <pageSetup scale="8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F628A-7E7D-41A0-886F-467C7523CC62}">
  <sheetPr>
    <pageSetUpPr fitToPage="1"/>
  </sheetPr>
  <dimension ref="A1:I29"/>
  <sheetViews>
    <sheetView zoomScaleNormal="100" workbookViewId="0">
      <selection activeCell="A27" sqref="A27"/>
    </sheetView>
  </sheetViews>
  <sheetFormatPr defaultColWidth="11.42578125" defaultRowHeight="15" customHeight="1" x14ac:dyDescent="0.25"/>
  <cols>
    <col min="1" max="1" width="24.5703125" customWidth="1"/>
    <col min="2" max="2" width="9.42578125" customWidth="1"/>
    <col min="3" max="3" width="16.28515625" customWidth="1"/>
    <col min="4" max="4" width="14.42578125" customWidth="1"/>
    <col min="5" max="5" width="13.5703125" customWidth="1"/>
    <col min="6" max="6" width="12.42578125" customWidth="1"/>
    <col min="7" max="7" width="10.5703125" customWidth="1"/>
    <col min="8" max="8" width="13.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#9497.00'!B1</f>
        <v>HHS IMHI Warehouse Roof Replacement</v>
      </c>
      <c r="B1" s="3"/>
      <c r="C1" s="4"/>
      <c r="D1" s="4"/>
      <c r="E1" s="4"/>
      <c r="F1" s="28"/>
      <c r="G1" s="28"/>
      <c r="H1" s="29"/>
      <c r="I1" s="29"/>
    </row>
    <row r="2" spans="1:9" ht="15.75" x14ac:dyDescent="0.25">
      <c r="A2" s="6" t="str">
        <f>'RECAP #9497.00'!B2</f>
        <v>Project # 9497.00</v>
      </c>
      <c r="B2" s="5"/>
      <c r="C2" s="4"/>
      <c r="D2" s="4"/>
      <c r="E2" s="4"/>
      <c r="F2" s="28"/>
      <c r="G2" s="28"/>
      <c r="H2" s="29"/>
      <c r="I2" s="29"/>
    </row>
    <row r="3" spans="1:9" ht="15.75" x14ac:dyDescent="0.25">
      <c r="A3" s="7" t="str">
        <f>'RECAP #9497.00'!B3</f>
        <v>Program code 949700</v>
      </c>
      <c r="B3" s="5"/>
      <c r="C3" s="4"/>
      <c r="D3" s="8" t="str">
        <f>'RECAP #9497.00'!E3</f>
        <v>Major Program 4E02</v>
      </c>
      <c r="E3" s="4"/>
      <c r="F3" s="28"/>
      <c r="G3" s="28"/>
      <c r="H3" s="29"/>
      <c r="I3" s="29"/>
    </row>
    <row r="4" spans="1:9" ht="15.75" x14ac:dyDescent="0.25">
      <c r="A4" s="30" t="s">
        <v>897</v>
      </c>
      <c r="B4" s="31"/>
      <c r="C4" s="32"/>
      <c r="D4" s="33" t="s">
        <v>898</v>
      </c>
      <c r="E4" s="28"/>
      <c r="F4" s="28"/>
      <c r="G4" s="28"/>
      <c r="H4" s="29"/>
      <c r="I4" s="29"/>
    </row>
    <row r="5" spans="1:9" ht="15.75" x14ac:dyDescent="0.25">
      <c r="A5" s="34" t="s">
        <v>104</v>
      </c>
      <c r="B5" s="35"/>
      <c r="C5" s="36"/>
      <c r="D5" s="37" t="s">
        <v>899</v>
      </c>
      <c r="E5" s="38"/>
      <c r="F5" s="39"/>
      <c r="G5" s="39"/>
      <c r="H5" s="35"/>
      <c r="I5" s="29"/>
    </row>
    <row r="6" spans="1:9" ht="15.75" x14ac:dyDescent="0.25">
      <c r="A6" s="11" t="str">
        <f>'RECAP #9497.00'!B6</f>
        <v>Project Manager - James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339" t="s">
        <v>900</v>
      </c>
      <c r="B9" s="340">
        <v>46162</v>
      </c>
      <c r="C9" s="341" t="s">
        <v>109</v>
      </c>
      <c r="D9" s="342">
        <v>137100.46</v>
      </c>
      <c r="E9" s="343">
        <f>D9</f>
        <v>137100.46</v>
      </c>
      <c r="F9" s="344"/>
      <c r="G9" s="344"/>
      <c r="H9" s="344">
        <f>E9</f>
        <v>137100.46</v>
      </c>
      <c r="I9" s="333" t="s">
        <v>1285</v>
      </c>
    </row>
    <row r="10" spans="1:9" s="223" customFormat="1" ht="12.75" customHeight="1" x14ac:dyDescent="0.25">
      <c r="A10" s="230" t="s">
        <v>1300</v>
      </c>
      <c r="B10" s="177">
        <v>46225</v>
      </c>
      <c r="C10" s="231" t="s">
        <v>1286</v>
      </c>
      <c r="D10" s="232">
        <v>0</v>
      </c>
      <c r="E10" s="233">
        <f t="shared" ref="E10:E21" si="0">E9+D10</f>
        <v>137100.46</v>
      </c>
      <c r="F10" s="237"/>
      <c r="G10" s="234">
        <f t="shared" ref="G10:G21" si="1">G9+F10</f>
        <v>0</v>
      </c>
      <c r="H10" s="234">
        <f t="shared" ref="H10:H21" si="2">H9-F10+D10</f>
        <v>137100.46</v>
      </c>
      <c r="I10" s="235"/>
    </row>
    <row r="11" spans="1:9" s="223" customFormat="1" ht="12.75" customHeight="1" x14ac:dyDescent="0.25">
      <c r="A11" s="230"/>
      <c r="B11" s="177"/>
      <c r="C11" s="231"/>
      <c r="D11" s="233"/>
      <c r="E11" s="233">
        <f t="shared" si="0"/>
        <v>137100.46</v>
      </c>
      <c r="F11" s="237"/>
      <c r="G11" s="234">
        <f t="shared" si="1"/>
        <v>0</v>
      </c>
      <c r="H11" s="234">
        <f t="shared" si="2"/>
        <v>137100.46</v>
      </c>
      <c r="I11" s="235"/>
    </row>
    <row r="12" spans="1:9" s="223" customFormat="1" ht="12.75" customHeight="1" x14ac:dyDescent="0.25">
      <c r="A12" s="230"/>
      <c r="B12" s="177"/>
      <c r="C12" s="231"/>
      <c r="D12" s="233"/>
      <c r="E12" s="233">
        <f t="shared" si="0"/>
        <v>137100.46</v>
      </c>
      <c r="F12" s="237"/>
      <c r="G12" s="234">
        <f t="shared" si="1"/>
        <v>0</v>
      </c>
      <c r="H12" s="234">
        <f t="shared" si="2"/>
        <v>137100.46</v>
      </c>
      <c r="I12" s="235"/>
    </row>
    <row r="13" spans="1:9" s="223" customFormat="1" ht="12.75" customHeight="1" x14ac:dyDescent="0.25">
      <c r="A13" s="230"/>
      <c r="B13" s="177"/>
      <c r="C13" s="231"/>
      <c r="D13" s="233"/>
      <c r="E13" s="233">
        <f t="shared" si="0"/>
        <v>137100.46</v>
      </c>
      <c r="F13" s="237"/>
      <c r="G13" s="234">
        <f t="shared" si="1"/>
        <v>0</v>
      </c>
      <c r="H13" s="234">
        <f t="shared" si="2"/>
        <v>137100.46</v>
      </c>
      <c r="I13" s="235"/>
    </row>
    <row r="14" spans="1:9" s="223" customFormat="1" ht="12.75" customHeight="1" x14ac:dyDescent="0.25">
      <c r="A14" s="230"/>
      <c r="B14" s="177"/>
      <c r="C14" s="231"/>
      <c r="D14" s="233"/>
      <c r="E14" s="233">
        <f t="shared" si="0"/>
        <v>137100.46</v>
      </c>
      <c r="F14" s="234"/>
      <c r="G14" s="234">
        <f t="shared" si="1"/>
        <v>0</v>
      </c>
      <c r="H14" s="234">
        <f t="shared" si="2"/>
        <v>137100.46</v>
      </c>
      <c r="I14" s="235"/>
    </row>
    <row r="15" spans="1:9" s="223" customFormat="1" ht="12.75" customHeight="1" x14ac:dyDescent="0.25">
      <c r="A15" s="230"/>
      <c r="B15" s="177"/>
      <c r="C15" s="231"/>
      <c r="D15" s="233"/>
      <c r="E15" s="233">
        <f t="shared" si="0"/>
        <v>137100.46</v>
      </c>
      <c r="F15" s="238"/>
      <c r="G15" s="234">
        <f t="shared" si="1"/>
        <v>0</v>
      </c>
      <c r="H15" s="234">
        <f t="shared" si="2"/>
        <v>137100.46</v>
      </c>
      <c r="I15" s="235"/>
    </row>
    <row r="16" spans="1:9" s="223" customFormat="1" ht="12.75" customHeight="1" x14ac:dyDescent="0.25">
      <c r="A16" s="230"/>
      <c r="B16" s="177"/>
      <c r="C16" s="231"/>
      <c r="D16" s="233"/>
      <c r="E16" s="233">
        <f t="shared" si="0"/>
        <v>137100.46</v>
      </c>
      <c r="F16" s="238"/>
      <c r="G16" s="234">
        <f t="shared" si="1"/>
        <v>0</v>
      </c>
      <c r="H16" s="234">
        <f t="shared" si="2"/>
        <v>137100.46</v>
      </c>
      <c r="I16" s="235"/>
    </row>
    <row r="17" spans="1:9" s="223" customFormat="1" ht="12.75" customHeight="1" x14ac:dyDescent="0.25">
      <c r="A17" s="230"/>
      <c r="B17" s="177"/>
      <c r="C17" s="231"/>
      <c r="D17" s="233"/>
      <c r="E17" s="233">
        <f t="shared" si="0"/>
        <v>137100.46</v>
      </c>
      <c r="F17" s="238"/>
      <c r="G17" s="234">
        <f t="shared" si="1"/>
        <v>0</v>
      </c>
      <c r="H17" s="234">
        <f t="shared" si="2"/>
        <v>137100.46</v>
      </c>
      <c r="I17" s="235"/>
    </row>
    <row r="18" spans="1:9" s="223" customFormat="1" ht="12.75" customHeight="1" x14ac:dyDescent="0.25">
      <c r="A18" s="230"/>
      <c r="B18" s="177"/>
      <c r="C18" s="231"/>
      <c r="D18" s="233"/>
      <c r="E18" s="233">
        <f t="shared" si="0"/>
        <v>137100.46</v>
      </c>
      <c r="F18" s="238"/>
      <c r="G18" s="234">
        <f t="shared" si="1"/>
        <v>0</v>
      </c>
      <c r="H18" s="234">
        <f t="shared" si="2"/>
        <v>137100.46</v>
      </c>
      <c r="I18" s="235"/>
    </row>
    <row r="19" spans="1:9" s="223" customFormat="1" ht="12.75" customHeight="1" x14ac:dyDescent="0.25">
      <c r="A19" s="230"/>
      <c r="B19" s="177"/>
      <c r="C19" s="231"/>
      <c r="D19" s="233"/>
      <c r="E19" s="233">
        <f t="shared" si="0"/>
        <v>137100.46</v>
      </c>
      <c r="F19" s="234"/>
      <c r="G19" s="234">
        <f t="shared" si="1"/>
        <v>0</v>
      </c>
      <c r="H19" s="234">
        <f t="shared" si="2"/>
        <v>137100.46</v>
      </c>
      <c r="I19" s="235"/>
    </row>
    <row r="20" spans="1:9" s="223" customFormat="1" ht="12.75" customHeight="1" x14ac:dyDescent="0.25">
      <c r="A20" s="230"/>
      <c r="B20" s="177"/>
      <c r="C20" s="231"/>
      <c r="D20" s="233"/>
      <c r="E20" s="233">
        <f t="shared" si="0"/>
        <v>137100.46</v>
      </c>
      <c r="F20" s="234"/>
      <c r="G20" s="234">
        <f t="shared" si="1"/>
        <v>0</v>
      </c>
      <c r="H20" s="234">
        <f t="shared" si="2"/>
        <v>137100.46</v>
      </c>
      <c r="I20" s="235"/>
    </row>
    <row r="21" spans="1:9" s="223" customFormat="1" ht="12.75" customHeight="1" x14ac:dyDescent="0.25">
      <c r="A21" s="230"/>
      <c r="B21" s="177"/>
      <c r="C21" s="239"/>
      <c r="D21" s="233"/>
      <c r="E21" s="233">
        <f t="shared" si="0"/>
        <v>137100.46</v>
      </c>
      <c r="F21" s="234"/>
      <c r="G21" s="234">
        <f t="shared" si="1"/>
        <v>0</v>
      </c>
      <c r="H21" s="234">
        <f t="shared" si="2"/>
        <v>137100.46</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137100.46</v>
      </c>
      <c r="E23" s="245"/>
      <c r="F23" s="245">
        <f>SUM(F9:F22)</f>
        <v>0</v>
      </c>
      <c r="G23" s="245"/>
      <c r="H23" s="245">
        <f>D23-F23</f>
        <v>137100.46</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c r="D26" s="270"/>
      <c r="E26" s="270"/>
      <c r="F26" s="270"/>
      <c r="G26" s="270"/>
      <c r="H26" s="270"/>
      <c r="I26" s="235"/>
    </row>
    <row r="27" spans="1:9" s="223" customFormat="1" ht="12.75" customHeight="1" x14ac:dyDescent="0.25">
      <c r="A27" s="230"/>
      <c r="B27" s="231"/>
      <c r="C27" s="253"/>
      <c r="D27" s="270"/>
      <c r="E27" s="270"/>
      <c r="F27" s="270"/>
      <c r="G27" s="270"/>
      <c r="H27" s="270"/>
      <c r="I27" s="235"/>
    </row>
    <row r="28" spans="1:9" s="223" customFormat="1" ht="12.75" customHeight="1" x14ac:dyDescent="0.25">
      <c r="A28" s="230"/>
      <c r="B28" s="231"/>
      <c r="C28" s="255"/>
      <c r="D28" s="271"/>
      <c r="E28" s="271"/>
      <c r="F28" s="271"/>
      <c r="G28" s="271"/>
      <c r="H28" s="271"/>
      <c r="I28" s="235"/>
    </row>
    <row r="29" spans="1:9" s="223" customFormat="1" ht="12.75" customHeight="1" x14ac:dyDescent="0.25"/>
  </sheetData>
  <conditionalFormatting sqref="I8 I10:I23">
    <cfRule type="cellIs" dxfId="44" priority="1" operator="greaterThan">
      <formula>$H$23</formula>
    </cfRule>
  </conditionalFormatting>
  <pageMargins left="0.25" right="0.25" top="0.95" bottom="0.75" header="0.09" footer="0.3"/>
  <pageSetup scale="8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C25B7-6AD0-4390-985E-9813B264565C}">
  <sheetPr>
    <pageSetUpPr fitToPage="1"/>
  </sheetPr>
  <dimension ref="A1:I31"/>
  <sheetViews>
    <sheetView topLeftCell="A3" zoomScaleNormal="100" workbookViewId="0">
      <selection activeCell="C33" sqref="C33"/>
    </sheetView>
  </sheetViews>
  <sheetFormatPr defaultColWidth="11.42578125" defaultRowHeight="15" customHeight="1" x14ac:dyDescent="0.25"/>
  <cols>
    <col min="1" max="1" width="24.5703125" customWidth="1"/>
    <col min="2" max="2" width="9.42578125" customWidth="1"/>
    <col min="3" max="3" width="32.5703125" customWidth="1"/>
    <col min="4" max="4" width="14.42578125" customWidth="1"/>
    <col min="5" max="5" width="13.5703125" customWidth="1"/>
    <col min="6" max="6" width="12.42578125" customWidth="1"/>
    <col min="7" max="7" width="10.5703125" customWidth="1"/>
    <col min="8" max="8" width="13.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#9497.00'!B1</f>
        <v>HHS IMHI Warehouse Roof Replacement</v>
      </c>
      <c r="B1" s="3"/>
      <c r="C1" s="4"/>
      <c r="D1" s="4"/>
      <c r="E1" s="4"/>
      <c r="F1" s="28"/>
      <c r="G1" s="28"/>
      <c r="H1" s="29"/>
      <c r="I1" s="29"/>
    </row>
    <row r="2" spans="1:9" ht="15.75" x14ac:dyDescent="0.25">
      <c r="A2" s="6" t="str">
        <f>'RECAP #9497.00'!B2</f>
        <v>Project # 9497.00</v>
      </c>
      <c r="B2" s="5"/>
      <c r="C2" s="4"/>
      <c r="D2" s="4"/>
      <c r="E2" s="4"/>
      <c r="F2" s="28"/>
      <c r="G2" s="28"/>
      <c r="H2" s="29"/>
      <c r="I2" s="29"/>
    </row>
    <row r="3" spans="1:9" ht="15.75" x14ac:dyDescent="0.25">
      <c r="A3" s="7" t="str">
        <f>'RECAP #9497.00'!B3</f>
        <v>Program code 949700</v>
      </c>
      <c r="B3" s="5"/>
      <c r="C3" s="4"/>
      <c r="D3" s="8" t="str">
        <f>'RECAP #9497.00'!E3</f>
        <v>Major Program 4E02</v>
      </c>
      <c r="E3" s="4"/>
      <c r="F3" s="28"/>
      <c r="G3" s="28"/>
      <c r="H3" s="29"/>
      <c r="I3" s="29"/>
    </row>
    <row r="4" spans="1:9" ht="15.75" x14ac:dyDescent="0.25">
      <c r="A4" s="30" t="s">
        <v>1107</v>
      </c>
      <c r="B4" s="31"/>
      <c r="C4" s="32"/>
      <c r="D4" s="33" t="s">
        <v>1108</v>
      </c>
      <c r="E4" s="28"/>
      <c r="F4" s="28"/>
      <c r="G4" s="28"/>
      <c r="H4" s="29"/>
      <c r="I4" s="29"/>
    </row>
    <row r="5" spans="1:9" ht="15.75" x14ac:dyDescent="0.25">
      <c r="A5" s="34" t="s">
        <v>104</v>
      </c>
      <c r="B5" s="35"/>
      <c r="C5" s="36"/>
      <c r="D5" s="37" t="s">
        <v>1109</v>
      </c>
      <c r="E5" s="38"/>
      <c r="F5" s="39"/>
      <c r="G5" s="39"/>
      <c r="H5" s="35"/>
      <c r="I5" s="29"/>
    </row>
    <row r="6" spans="1:9" ht="15.75" x14ac:dyDescent="0.25">
      <c r="A6" s="11" t="str">
        <f>'RECAP #9497.00'!B6</f>
        <v>Project Manager - James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339" t="s">
        <v>1110</v>
      </c>
      <c r="B9" s="340">
        <v>46198</v>
      </c>
      <c r="C9" s="341" t="s">
        <v>109</v>
      </c>
      <c r="D9" s="342">
        <v>7970.52</v>
      </c>
      <c r="E9" s="343">
        <f>D9</f>
        <v>7970.52</v>
      </c>
      <c r="F9" s="344"/>
      <c r="G9" s="344"/>
      <c r="H9" s="344">
        <f>E9</f>
        <v>7970.52</v>
      </c>
      <c r="I9" s="333" t="s">
        <v>1285</v>
      </c>
    </row>
    <row r="10" spans="1:9" s="223" customFormat="1" ht="12.75" customHeight="1" x14ac:dyDescent="0.25">
      <c r="A10" s="230" t="s">
        <v>1299</v>
      </c>
      <c r="B10" s="177">
        <v>46225</v>
      </c>
      <c r="C10" s="231" t="s">
        <v>1286</v>
      </c>
      <c r="D10" s="232">
        <v>0</v>
      </c>
      <c r="E10" s="233">
        <f t="shared" ref="E10:E21" si="0">E9+D10</f>
        <v>7970.52</v>
      </c>
      <c r="F10" s="237"/>
      <c r="G10" s="234">
        <f t="shared" ref="G10:G21" si="1">G9+F10</f>
        <v>0</v>
      </c>
      <c r="H10" s="234">
        <f t="shared" ref="H10:H21" si="2">H9-F10+D10</f>
        <v>7970.52</v>
      </c>
      <c r="I10" s="235"/>
    </row>
    <row r="11" spans="1:9" s="223" customFormat="1" ht="12.75" customHeight="1" x14ac:dyDescent="0.25">
      <c r="A11" s="230"/>
      <c r="B11" s="177"/>
      <c r="C11" s="231"/>
      <c r="D11" s="233"/>
      <c r="E11" s="233">
        <f t="shared" si="0"/>
        <v>7970.52</v>
      </c>
      <c r="F11" s="237"/>
      <c r="G11" s="234">
        <f t="shared" si="1"/>
        <v>0</v>
      </c>
      <c r="H11" s="234">
        <f t="shared" si="2"/>
        <v>7970.52</v>
      </c>
      <c r="I11" s="235"/>
    </row>
    <row r="12" spans="1:9" s="223" customFormat="1" ht="12.75" customHeight="1" x14ac:dyDescent="0.25">
      <c r="A12" s="230"/>
      <c r="B12" s="177"/>
      <c r="C12" s="231"/>
      <c r="D12" s="233"/>
      <c r="E12" s="233">
        <f t="shared" si="0"/>
        <v>7970.52</v>
      </c>
      <c r="F12" s="237"/>
      <c r="G12" s="234">
        <f t="shared" si="1"/>
        <v>0</v>
      </c>
      <c r="H12" s="234">
        <f t="shared" si="2"/>
        <v>7970.52</v>
      </c>
      <c r="I12" s="235"/>
    </row>
    <row r="13" spans="1:9" s="223" customFormat="1" ht="12.75" customHeight="1" x14ac:dyDescent="0.25">
      <c r="A13" s="230"/>
      <c r="B13" s="177"/>
      <c r="C13" s="231"/>
      <c r="D13" s="233"/>
      <c r="E13" s="233">
        <f t="shared" si="0"/>
        <v>7970.52</v>
      </c>
      <c r="F13" s="237"/>
      <c r="G13" s="234">
        <f t="shared" si="1"/>
        <v>0</v>
      </c>
      <c r="H13" s="234">
        <f t="shared" si="2"/>
        <v>7970.52</v>
      </c>
      <c r="I13" s="235"/>
    </row>
    <row r="14" spans="1:9" s="223" customFormat="1" ht="12.75" customHeight="1" x14ac:dyDescent="0.25">
      <c r="A14" s="230"/>
      <c r="B14" s="177"/>
      <c r="C14" s="231"/>
      <c r="D14" s="233"/>
      <c r="E14" s="233">
        <f t="shared" si="0"/>
        <v>7970.52</v>
      </c>
      <c r="F14" s="234"/>
      <c r="G14" s="234">
        <f t="shared" si="1"/>
        <v>0</v>
      </c>
      <c r="H14" s="234">
        <f t="shared" si="2"/>
        <v>7970.52</v>
      </c>
      <c r="I14" s="235"/>
    </row>
    <row r="15" spans="1:9" s="223" customFormat="1" ht="12.75" customHeight="1" x14ac:dyDescent="0.25">
      <c r="A15" s="230"/>
      <c r="B15" s="177"/>
      <c r="C15" s="231"/>
      <c r="D15" s="233"/>
      <c r="E15" s="233">
        <f t="shared" si="0"/>
        <v>7970.52</v>
      </c>
      <c r="F15" s="238"/>
      <c r="G15" s="234">
        <f t="shared" si="1"/>
        <v>0</v>
      </c>
      <c r="H15" s="234">
        <f t="shared" si="2"/>
        <v>7970.52</v>
      </c>
      <c r="I15" s="235"/>
    </row>
    <row r="16" spans="1:9" s="223" customFormat="1" ht="12.75" customHeight="1" x14ac:dyDescent="0.25">
      <c r="A16" s="230"/>
      <c r="B16" s="177"/>
      <c r="C16" s="231"/>
      <c r="D16" s="233"/>
      <c r="E16" s="233">
        <f t="shared" si="0"/>
        <v>7970.52</v>
      </c>
      <c r="F16" s="238"/>
      <c r="G16" s="234">
        <f t="shared" si="1"/>
        <v>0</v>
      </c>
      <c r="H16" s="234">
        <f t="shared" si="2"/>
        <v>7970.52</v>
      </c>
      <c r="I16" s="235"/>
    </row>
    <row r="17" spans="1:9" s="223" customFormat="1" ht="12.75" customHeight="1" x14ac:dyDescent="0.25">
      <c r="A17" s="230"/>
      <c r="B17" s="177"/>
      <c r="C17" s="231"/>
      <c r="D17" s="233"/>
      <c r="E17" s="233">
        <f t="shared" si="0"/>
        <v>7970.52</v>
      </c>
      <c r="F17" s="238"/>
      <c r="G17" s="234">
        <f t="shared" si="1"/>
        <v>0</v>
      </c>
      <c r="H17" s="234">
        <f t="shared" si="2"/>
        <v>7970.52</v>
      </c>
      <c r="I17" s="235"/>
    </row>
    <row r="18" spans="1:9" s="223" customFormat="1" ht="12.75" customHeight="1" x14ac:dyDescent="0.25">
      <c r="A18" s="230"/>
      <c r="B18" s="177"/>
      <c r="C18" s="231"/>
      <c r="D18" s="233"/>
      <c r="E18" s="233">
        <f t="shared" si="0"/>
        <v>7970.52</v>
      </c>
      <c r="F18" s="238"/>
      <c r="G18" s="234">
        <f t="shared" si="1"/>
        <v>0</v>
      </c>
      <c r="H18" s="234">
        <f t="shared" si="2"/>
        <v>7970.52</v>
      </c>
      <c r="I18" s="235"/>
    </row>
    <row r="19" spans="1:9" s="223" customFormat="1" ht="12.75" customHeight="1" x14ac:dyDescent="0.25">
      <c r="A19" s="230"/>
      <c r="B19" s="177"/>
      <c r="C19" s="231"/>
      <c r="D19" s="233"/>
      <c r="E19" s="233">
        <f t="shared" si="0"/>
        <v>7970.52</v>
      </c>
      <c r="F19" s="234"/>
      <c r="G19" s="234">
        <f t="shared" si="1"/>
        <v>0</v>
      </c>
      <c r="H19" s="234">
        <f t="shared" si="2"/>
        <v>7970.52</v>
      </c>
      <c r="I19" s="235"/>
    </row>
    <row r="20" spans="1:9" s="223" customFormat="1" ht="12.75" customHeight="1" x14ac:dyDescent="0.25">
      <c r="A20" s="230"/>
      <c r="B20" s="177"/>
      <c r="C20" s="231"/>
      <c r="D20" s="233"/>
      <c r="E20" s="233">
        <f t="shared" si="0"/>
        <v>7970.52</v>
      </c>
      <c r="F20" s="234"/>
      <c r="G20" s="234">
        <f t="shared" si="1"/>
        <v>0</v>
      </c>
      <c r="H20" s="234">
        <f t="shared" si="2"/>
        <v>7970.52</v>
      </c>
      <c r="I20" s="235"/>
    </row>
    <row r="21" spans="1:9" s="223" customFormat="1" ht="12.75" customHeight="1" x14ac:dyDescent="0.25">
      <c r="A21" s="230"/>
      <c r="B21" s="177"/>
      <c r="C21" s="239"/>
      <c r="D21" s="233"/>
      <c r="E21" s="233">
        <f t="shared" si="0"/>
        <v>7970.52</v>
      </c>
      <c r="F21" s="234"/>
      <c r="G21" s="234">
        <f t="shared" si="1"/>
        <v>0</v>
      </c>
      <c r="H21" s="234">
        <f t="shared" si="2"/>
        <v>7970.52</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7970.52</v>
      </c>
      <c r="E23" s="245"/>
      <c r="F23" s="245">
        <f>SUM(F9:F22)</f>
        <v>0</v>
      </c>
      <c r="G23" s="245"/>
      <c r="H23" s="245">
        <f>D23-F23</f>
        <v>7970.52</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1113</v>
      </c>
      <c r="D26" s="254">
        <v>6388.2</v>
      </c>
      <c r="E26" s="254"/>
      <c r="F26" s="254"/>
      <c r="G26" s="254"/>
      <c r="H26" s="254">
        <f>D26-F26</f>
        <v>6388.2</v>
      </c>
      <c r="I26" s="235"/>
    </row>
    <row r="27" spans="1:9" s="223" customFormat="1" ht="12.75" customHeight="1" x14ac:dyDescent="0.25">
      <c r="A27" s="230"/>
      <c r="B27" s="231"/>
      <c r="C27" s="253" t="s">
        <v>1112</v>
      </c>
      <c r="D27" s="254">
        <v>700</v>
      </c>
      <c r="E27" s="254"/>
      <c r="F27" s="254"/>
      <c r="G27" s="254"/>
      <c r="H27" s="254">
        <f>D27-F27</f>
        <v>700</v>
      </c>
      <c r="I27" s="235"/>
    </row>
    <row r="28" spans="1:9" s="223" customFormat="1" ht="12.75" customHeight="1" x14ac:dyDescent="0.25">
      <c r="A28" s="230"/>
      <c r="B28" s="231"/>
      <c r="C28" s="253" t="s">
        <v>1111</v>
      </c>
      <c r="D28" s="254">
        <v>400</v>
      </c>
      <c r="E28" s="254"/>
      <c r="F28" s="254"/>
      <c r="G28" s="254"/>
      <c r="H28" s="254">
        <f t="shared" ref="H28:H29" si="3">D28-F28</f>
        <v>400</v>
      </c>
      <c r="I28" s="235"/>
    </row>
    <row r="29" spans="1:9" s="223" customFormat="1" ht="12.75" customHeight="1" x14ac:dyDescent="0.25">
      <c r="A29" s="230"/>
      <c r="B29" s="231"/>
      <c r="C29" s="253" t="s">
        <v>1114</v>
      </c>
      <c r="D29" s="254">
        <v>482.32</v>
      </c>
      <c r="E29" s="254"/>
      <c r="F29" s="254"/>
      <c r="G29" s="254"/>
      <c r="H29" s="254">
        <f t="shared" si="3"/>
        <v>482.32</v>
      </c>
      <c r="I29" s="235"/>
    </row>
    <row r="30" spans="1:9" s="223" customFormat="1" ht="12.75" customHeight="1" thickBot="1" x14ac:dyDescent="0.3">
      <c r="A30" s="230"/>
      <c r="B30" s="231"/>
      <c r="C30" s="255" t="s">
        <v>67</v>
      </c>
      <c r="D30" s="256">
        <f>SUM(D26:D29)</f>
        <v>7970.5199999999995</v>
      </c>
      <c r="E30" s="257"/>
      <c r="F30" s="256">
        <f>SUM(F26:F29)</f>
        <v>0</v>
      </c>
      <c r="G30" s="257"/>
      <c r="H30" s="256">
        <f>SUM(H26:H29)</f>
        <v>7970.5199999999995</v>
      </c>
      <c r="I30" s="235"/>
    </row>
    <row r="31" spans="1:9" s="223" customFormat="1" ht="12.75" customHeight="1" thickTop="1" x14ac:dyDescent="0.25"/>
  </sheetData>
  <conditionalFormatting sqref="I8 I10:I23">
    <cfRule type="cellIs" dxfId="43" priority="1" operator="greaterThan">
      <formula>$H$23</formula>
    </cfRule>
  </conditionalFormatting>
  <pageMargins left="0.25" right="0.25" top="0.95" bottom="0.75" header="0.09" footer="0.3"/>
  <pageSetup scale="7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610F-28D4-4928-976E-5B916232DFA6}">
  <sheetPr>
    <pageSetUpPr fitToPage="1"/>
  </sheetPr>
  <dimension ref="A1:G19"/>
  <sheetViews>
    <sheetView zoomScaleNormal="100" workbookViewId="0">
      <selection activeCell="E16" sqref="E16"/>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152</v>
      </c>
      <c r="C1" s="3"/>
      <c r="D1" s="4"/>
      <c r="E1" s="4"/>
      <c r="F1" s="4"/>
      <c r="G1" s="4"/>
    </row>
    <row r="2" spans="1:7" ht="15.75" x14ac:dyDescent="0.25">
      <c r="A2" s="1"/>
      <c r="B2" s="6" t="s">
        <v>187</v>
      </c>
      <c r="C2" s="5"/>
      <c r="D2" s="4"/>
      <c r="E2" s="4"/>
      <c r="F2" s="4"/>
      <c r="G2" s="4"/>
    </row>
    <row r="3" spans="1:7" ht="15.75" x14ac:dyDescent="0.25">
      <c r="A3" s="1"/>
      <c r="B3" s="7" t="s">
        <v>188</v>
      </c>
      <c r="C3" s="5"/>
      <c r="D3" s="4"/>
      <c r="E3" s="8" t="s">
        <v>189</v>
      </c>
      <c r="F3" s="4"/>
      <c r="G3" s="4"/>
    </row>
    <row r="4" spans="1:7" ht="15.75" x14ac:dyDescent="0.25">
      <c r="A4" s="1"/>
      <c r="B4" s="9" t="s">
        <v>1</v>
      </c>
      <c r="C4" s="10" t="s">
        <v>2</v>
      </c>
      <c r="D4" s="4"/>
      <c r="E4" s="4"/>
      <c r="F4" s="4"/>
      <c r="G4" s="4"/>
    </row>
    <row r="5" spans="1:7" ht="15.75" x14ac:dyDescent="0.25">
      <c r="A5" s="1"/>
      <c r="B5" s="11" t="s">
        <v>64</v>
      </c>
      <c r="C5" s="5"/>
      <c r="D5" s="4"/>
      <c r="E5" s="13" t="s">
        <v>1384</v>
      </c>
      <c r="F5" s="4"/>
      <c r="G5" s="4"/>
    </row>
    <row r="6" spans="1:7" ht="15.75" x14ac:dyDescent="0.25">
      <c r="A6" s="1"/>
      <c r="B6" s="11" t="s">
        <v>190</v>
      </c>
      <c r="C6" s="12"/>
      <c r="D6" s="13" t="s">
        <v>2</v>
      </c>
      <c r="E6" s="4"/>
      <c r="F6" s="4"/>
      <c r="G6" s="4"/>
    </row>
    <row r="7" spans="1:7" ht="34.5" customHeight="1" thickBot="1" x14ac:dyDescent="0.3">
      <c r="A7" s="1"/>
      <c r="B7" s="14" t="s">
        <v>2</v>
      </c>
      <c r="C7" s="15" t="s">
        <v>3</v>
      </c>
      <c r="D7" s="16" t="s">
        <v>4</v>
      </c>
      <c r="E7" s="17" t="s">
        <v>5</v>
      </c>
      <c r="F7" s="18" t="s">
        <v>6</v>
      </c>
      <c r="G7" s="18" t="s">
        <v>7</v>
      </c>
    </row>
    <row r="8" spans="1:7" ht="28.35" customHeight="1" x14ac:dyDescent="0.25">
      <c r="A8" s="1"/>
      <c r="B8" s="1" t="s">
        <v>8</v>
      </c>
      <c r="C8" s="19">
        <f>FINANCIAL!G21</f>
        <v>235000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73" t="s">
        <v>250</v>
      </c>
      <c r="B10" s="247" t="s">
        <v>103</v>
      </c>
      <c r="C10" s="248"/>
      <c r="D10" s="251">
        <f>'#9498.00 DCI Group'!D26</f>
        <v>36109.47</v>
      </c>
      <c r="E10" s="251">
        <f>'#9498.00 DCI Group'!F26</f>
        <v>36109.469999999994</v>
      </c>
      <c r="F10" s="251">
        <f>'#9498.00 DCI Group'!H26</f>
        <v>0</v>
      </c>
      <c r="G10" s="250"/>
    </row>
    <row r="11" spans="1:7" s="223" customFormat="1" ht="12.75" customHeight="1" x14ac:dyDescent="0.25">
      <c r="A11" s="246"/>
      <c r="B11" s="247" t="s">
        <v>10</v>
      </c>
      <c r="C11" s="248"/>
      <c r="D11" s="251">
        <f>'#9498.00 PM TIME'!E39</f>
        <v>16000</v>
      </c>
      <c r="E11" s="251">
        <f>'#9498.00 PM TIME'!G39</f>
        <v>12453.96</v>
      </c>
      <c r="F11" s="251">
        <f>'#9498.00 PM TIME'!I39</f>
        <v>3546.0400000000009</v>
      </c>
      <c r="G11" s="250"/>
    </row>
    <row r="12" spans="1:7" s="223" customFormat="1" ht="12.75" customHeight="1" x14ac:dyDescent="0.25">
      <c r="A12" s="246"/>
      <c r="B12" s="247" t="s">
        <v>11</v>
      </c>
      <c r="C12" s="249"/>
      <c r="D12" s="252">
        <f>'#9498.00 Misc'!G22</f>
        <v>342.5</v>
      </c>
      <c r="E12" s="252">
        <f>'#9498.00 Misc'!G22</f>
        <v>342.5</v>
      </c>
      <c r="F12" s="251">
        <f>D12-E12</f>
        <v>0</v>
      </c>
      <c r="G12" s="250"/>
    </row>
    <row r="13" spans="1:7" s="223" customFormat="1" ht="12.75" customHeight="1" x14ac:dyDescent="0.25">
      <c r="A13" s="246"/>
      <c r="B13" s="247" t="s">
        <v>114</v>
      </c>
      <c r="C13" s="249"/>
      <c r="D13" s="252">
        <f>'#9498.00 OPN Architects'!D23</f>
        <v>27466</v>
      </c>
      <c r="E13" s="252">
        <f>'#9498.00 OPN Architects'!F23</f>
        <v>18077.91</v>
      </c>
      <c r="F13" s="251">
        <f>'#9498.00 OPN Architects'!H23</f>
        <v>9388.09</v>
      </c>
      <c r="G13" s="250"/>
    </row>
    <row r="14" spans="1:7" s="223" customFormat="1" ht="12.75" customHeight="1" x14ac:dyDescent="0.25">
      <c r="A14" s="246"/>
      <c r="B14" s="247" t="s">
        <v>1433</v>
      </c>
      <c r="C14" s="249"/>
      <c r="D14" s="252">
        <f>'#9498.00 MB Lawn Care'!D23</f>
        <v>4630</v>
      </c>
      <c r="E14" s="252">
        <f>'#9498.00 MB Lawn Care'!F23</f>
        <v>0</v>
      </c>
      <c r="F14" s="251">
        <f>'#9498.00 MB Lawn Care'!H23</f>
        <v>4630</v>
      </c>
      <c r="G14" s="250"/>
    </row>
    <row r="15" spans="1:7" s="223" customFormat="1" ht="12.75" customHeight="1" x14ac:dyDescent="0.25">
      <c r="A15" s="246"/>
      <c r="B15" s="247" t="s">
        <v>526</v>
      </c>
      <c r="C15" s="249"/>
      <c r="D15" s="252">
        <f>'#9498.00 DCI Group (2)'!D23</f>
        <v>46632.54</v>
      </c>
      <c r="E15" s="252">
        <f>'#9498.00 DCI Group (2)'!F23</f>
        <v>3291.65</v>
      </c>
      <c r="F15" s="251">
        <f>'#9498.00 DCI Group (2)'!H23</f>
        <v>43340.89</v>
      </c>
      <c r="G15" s="250"/>
    </row>
    <row r="16" spans="1:7" s="223" customFormat="1" ht="12.75" customHeight="1" x14ac:dyDescent="0.25">
      <c r="A16" s="246"/>
      <c r="B16" s="247" t="s">
        <v>1456</v>
      </c>
      <c r="C16" s="249"/>
      <c r="D16" s="252">
        <f>'#9498.00 Concrete Connections'!D23</f>
        <v>87870</v>
      </c>
      <c r="E16" s="252">
        <f>'#9498.00 Concrete Connections'!F23</f>
        <v>0</v>
      </c>
      <c r="F16" s="251">
        <f>'#9498.00 Concrete Connections'!H23</f>
        <v>87870</v>
      </c>
      <c r="G16" s="250"/>
    </row>
    <row r="17" spans="1:7" s="223" customFormat="1" ht="12.75" customHeight="1" x14ac:dyDescent="0.25">
      <c r="A17" s="246"/>
      <c r="B17" s="247"/>
      <c r="C17" s="249"/>
      <c r="D17" s="252"/>
      <c r="E17" s="252"/>
      <c r="F17" s="251"/>
      <c r="G17" s="250"/>
    </row>
    <row r="18" spans="1:7" ht="24" customHeight="1" thickBot="1" x14ac:dyDescent="0.3">
      <c r="A18" s="25"/>
      <c r="B18" s="26" t="s">
        <v>12</v>
      </c>
      <c r="C18" s="27">
        <f>SUM(C8:C17)</f>
        <v>235000</v>
      </c>
      <c r="D18" s="27">
        <f>SUM(D8:D17)</f>
        <v>219050.51</v>
      </c>
      <c r="E18" s="27">
        <f>SUM(E8:E17)</f>
        <v>70275.489999999991</v>
      </c>
      <c r="F18" s="27">
        <f>SUM(D18-E18)</f>
        <v>148775.02000000002</v>
      </c>
      <c r="G18" s="27">
        <f>C8-D18</f>
        <v>15949.489999999991</v>
      </c>
    </row>
    <row r="19"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28BBE-D466-4E32-8A15-03EFEE9749CE}">
  <sheetPr>
    <tabColor rgb="FF0070C0"/>
    <pageSetUpPr fitToPage="1"/>
  </sheetPr>
  <dimension ref="A1:I31"/>
  <sheetViews>
    <sheetView topLeftCell="A6" zoomScaleNormal="100" workbookViewId="0">
      <selection activeCell="K12" sqref="K12"/>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2.28515625" style="274" customWidth="1"/>
    <col min="9" max="9" width="5.28515625" style="274" bestFit="1"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#9498.00'!B1</f>
        <v>DAS TH Parking Lot Retaining Wall Repairs</v>
      </c>
      <c r="B1" s="30"/>
      <c r="C1" s="153"/>
      <c r="D1" s="153"/>
      <c r="E1" s="153"/>
      <c r="F1" s="156"/>
      <c r="G1" s="156"/>
      <c r="H1" s="179"/>
      <c r="I1" s="179"/>
    </row>
    <row r="2" spans="1:9" ht="15.75" x14ac:dyDescent="0.25">
      <c r="A2" s="31" t="str">
        <f>'RECAP #9498.00'!B2</f>
        <v>Project # 9498.00</v>
      </c>
      <c r="B2" s="150"/>
      <c r="C2" s="153"/>
      <c r="D2" s="153"/>
      <c r="E2" s="153"/>
      <c r="F2" s="156"/>
      <c r="G2" s="156"/>
      <c r="H2" s="179"/>
      <c r="I2" s="179"/>
    </row>
    <row r="3" spans="1:9" ht="15.75" x14ac:dyDescent="0.25">
      <c r="A3" s="154" t="str">
        <f>'RECAP #9498.00'!B3</f>
        <v>Program code 949800</v>
      </c>
      <c r="B3" s="150"/>
      <c r="C3" s="153"/>
      <c r="D3" s="155" t="str">
        <f>'RECAP #9498.00'!E3</f>
        <v>Major Program 4D04</v>
      </c>
      <c r="E3" s="153"/>
      <c r="F3" s="156"/>
      <c r="G3" s="156"/>
      <c r="H3" s="179"/>
      <c r="I3" s="179"/>
    </row>
    <row r="4" spans="1:9" ht="15.75" x14ac:dyDescent="0.25">
      <c r="A4" s="30" t="s">
        <v>103</v>
      </c>
      <c r="B4" s="31"/>
      <c r="C4" s="179"/>
      <c r="D4" s="180" t="s">
        <v>105</v>
      </c>
      <c r="E4" s="156"/>
      <c r="F4" s="156"/>
      <c r="G4" s="156"/>
      <c r="H4" s="179"/>
      <c r="I4" s="179"/>
    </row>
    <row r="5" spans="1:9" ht="15.75" x14ac:dyDescent="0.25">
      <c r="A5" s="181" t="s">
        <v>104</v>
      </c>
      <c r="B5" s="179"/>
      <c r="C5" s="182"/>
      <c r="D5" s="37" t="s">
        <v>302</v>
      </c>
      <c r="E5" s="42"/>
      <c r="F5" s="156"/>
      <c r="G5" s="156"/>
      <c r="H5" s="179"/>
      <c r="I5" s="179"/>
    </row>
    <row r="6" spans="1:9" ht="15.75" x14ac:dyDescent="0.25">
      <c r="A6" s="31" t="str">
        <f>'RECAP #9498.00'!B6</f>
        <v>Project Manager - James T.</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303</v>
      </c>
      <c r="B9" s="276">
        <v>45958</v>
      </c>
      <c r="C9" s="277" t="s">
        <v>109</v>
      </c>
      <c r="D9" s="278">
        <v>10713.54</v>
      </c>
      <c r="E9" s="279">
        <f>D9</f>
        <v>10713.54</v>
      </c>
      <c r="F9" s="280"/>
      <c r="G9" s="280"/>
      <c r="H9" s="280">
        <f>E9</f>
        <v>10713.54</v>
      </c>
      <c r="I9" s="281"/>
    </row>
    <row r="10" spans="1:9" s="282" customFormat="1" ht="12.75" customHeight="1" x14ac:dyDescent="0.25">
      <c r="A10" s="275" t="s">
        <v>325</v>
      </c>
      <c r="B10" s="283">
        <v>45982</v>
      </c>
      <c r="C10" s="277" t="s">
        <v>326</v>
      </c>
      <c r="D10" s="279"/>
      <c r="E10" s="279">
        <f t="shared" ref="E10:E24" si="0">E9+D10</f>
        <v>10713.54</v>
      </c>
      <c r="F10" s="284">
        <v>523.41</v>
      </c>
      <c r="G10" s="280">
        <f t="shared" ref="G10:G24" si="1">G9+F10</f>
        <v>523.41</v>
      </c>
      <c r="H10" s="280">
        <f t="shared" ref="H10:H24" si="2">H9-F10+D10</f>
        <v>10190.130000000001</v>
      </c>
      <c r="I10" s="281"/>
    </row>
    <row r="11" spans="1:9" s="282" customFormat="1" ht="12.75" customHeight="1" x14ac:dyDescent="0.25">
      <c r="A11" s="275" t="s">
        <v>388</v>
      </c>
      <c r="B11" s="276">
        <v>46020</v>
      </c>
      <c r="C11" s="277" t="s">
        <v>389</v>
      </c>
      <c r="D11" s="279"/>
      <c r="E11" s="279">
        <f t="shared" si="0"/>
        <v>10713.54</v>
      </c>
      <c r="F11" s="284">
        <v>1483</v>
      </c>
      <c r="G11" s="280">
        <f t="shared" si="1"/>
        <v>2006.4099999999999</v>
      </c>
      <c r="H11" s="280">
        <f t="shared" si="2"/>
        <v>8707.130000000001</v>
      </c>
      <c r="I11" s="281"/>
    </row>
    <row r="12" spans="1:9" s="282" customFormat="1" ht="12.75" customHeight="1" x14ac:dyDescent="0.25">
      <c r="A12" s="275" t="s">
        <v>464</v>
      </c>
      <c r="B12" s="276">
        <v>46045</v>
      </c>
      <c r="C12" s="277" t="s">
        <v>465</v>
      </c>
      <c r="D12" s="279"/>
      <c r="E12" s="279">
        <f t="shared" si="0"/>
        <v>10713.54</v>
      </c>
      <c r="F12" s="284">
        <v>436.18</v>
      </c>
      <c r="G12" s="280">
        <f t="shared" si="1"/>
        <v>2442.5899999999997</v>
      </c>
      <c r="H12" s="280">
        <f t="shared" si="2"/>
        <v>8270.9500000000007</v>
      </c>
      <c r="I12" s="281"/>
    </row>
    <row r="13" spans="1:9" s="282" customFormat="1" ht="12.75" customHeight="1" x14ac:dyDescent="0.25">
      <c r="A13" s="275" t="s">
        <v>303</v>
      </c>
      <c r="B13" s="276">
        <v>46050</v>
      </c>
      <c r="C13" s="277" t="s">
        <v>468</v>
      </c>
      <c r="D13" s="278">
        <v>10000</v>
      </c>
      <c r="E13" s="279">
        <f t="shared" si="0"/>
        <v>20713.54</v>
      </c>
      <c r="F13" s="284"/>
      <c r="G13" s="280">
        <f t="shared" si="1"/>
        <v>2442.5899999999997</v>
      </c>
      <c r="H13" s="280">
        <f t="shared" si="2"/>
        <v>18270.95</v>
      </c>
      <c r="I13" s="281"/>
    </row>
    <row r="14" spans="1:9" s="282" customFormat="1" ht="12.75" customHeight="1" x14ac:dyDescent="0.25">
      <c r="A14" s="275" t="s">
        <v>557</v>
      </c>
      <c r="B14" s="276">
        <v>46069</v>
      </c>
      <c r="C14" s="277" t="s">
        <v>558</v>
      </c>
      <c r="D14" s="279"/>
      <c r="E14" s="279">
        <f t="shared" si="0"/>
        <v>20713.54</v>
      </c>
      <c r="F14" s="284">
        <v>1226.03</v>
      </c>
      <c r="G14" s="280">
        <f t="shared" si="1"/>
        <v>3668.62</v>
      </c>
      <c r="H14" s="280">
        <f t="shared" si="2"/>
        <v>17044.920000000002</v>
      </c>
      <c r="I14" s="281"/>
    </row>
    <row r="15" spans="1:9" s="282" customFormat="1" ht="12.75" customHeight="1" x14ac:dyDescent="0.25">
      <c r="A15" s="275" t="s">
        <v>704</v>
      </c>
      <c r="B15" s="276">
        <v>46105</v>
      </c>
      <c r="C15" s="277" t="s">
        <v>705</v>
      </c>
      <c r="D15" s="279"/>
      <c r="E15" s="279">
        <f t="shared" si="0"/>
        <v>20713.54</v>
      </c>
      <c r="F15" s="284">
        <v>4667.47</v>
      </c>
      <c r="G15" s="280">
        <f t="shared" si="1"/>
        <v>8336.09</v>
      </c>
      <c r="H15" s="280">
        <f t="shared" si="2"/>
        <v>12377.45</v>
      </c>
      <c r="I15" s="281"/>
    </row>
    <row r="16" spans="1:9" s="282" customFormat="1" ht="12.75" customHeight="1" x14ac:dyDescent="0.25">
      <c r="A16" s="275" t="s">
        <v>815</v>
      </c>
      <c r="B16" s="276">
        <v>46135</v>
      </c>
      <c r="C16" s="277" t="s">
        <v>816</v>
      </c>
      <c r="D16" s="279"/>
      <c r="E16" s="279">
        <f t="shared" si="0"/>
        <v>20713.54</v>
      </c>
      <c r="F16" s="284">
        <v>8768.9599999999991</v>
      </c>
      <c r="G16" s="280">
        <f t="shared" si="1"/>
        <v>17105.05</v>
      </c>
      <c r="H16" s="280">
        <f t="shared" si="2"/>
        <v>3608.4900000000016</v>
      </c>
      <c r="I16" s="281"/>
    </row>
    <row r="17" spans="1:9" s="282" customFormat="1" ht="12.75" customHeight="1" x14ac:dyDescent="0.25">
      <c r="A17" s="275" t="s">
        <v>303</v>
      </c>
      <c r="B17" s="276">
        <v>46139</v>
      </c>
      <c r="C17" s="277" t="s">
        <v>825</v>
      </c>
      <c r="D17" s="278">
        <v>8560</v>
      </c>
      <c r="E17" s="279">
        <f t="shared" si="0"/>
        <v>29273.54</v>
      </c>
      <c r="F17" s="284"/>
      <c r="G17" s="280">
        <f t="shared" si="1"/>
        <v>17105.05</v>
      </c>
      <c r="H17" s="280">
        <f t="shared" si="2"/>
        <v>12168.490000000002</v>
      </c>
      <c r="I17" s="281"/>
    </row>
    <row r="18" spans="1:9" s="282" customFormat="1" ht="12.75" customHeight="1" x14ac:dyDescent="0.25">
      <c r="A18" s="275" t="s">
        <v>865</v>
      </c>
      <c r="B18" s="276">
        <v>46154</v>
      </c>
      <c r="C18" s="277" t="s">
        <v>866</v>
      </c>
      <c r="D18" s="279"/>
      <c r="E18" s="279">
        <f t="shared" si="0"/>
        <v>29273.54</v>
      </c>
      <c r="F18" s="284">
        <v>10584.44</v>
      </c>
      <c r="G18" s="280">
        <f t="shared" si="1"/>
        <v>27689.489999999998</v>
      </c>
      <c r="H18" s="280">
        <f t="shared" si="2"/>
        <v>1584.0500000000011</v>
      </c>
      <c r="I18" s="281"/>
    </row>
    <row r="19" spans="1:9" s="282" customFormat="1" ht="12.75" customHeight="1" x14ac:dyDescent="0.25">
      <c r="A19" s="275" t="s">
        <v>303</v>
      </c>
      <c r="B19" s="276">
        <v>46181</v>
      </c>
      <c r="C19" s="277" t="s">
        <v>987</v>
      </c>
      <c r="D19" s="278">
        <v>7819.69</v>
      </c>
      <c r="E19" s="279">
        <f t="shared" si="0"/>
        <v>37093.230000000003</v>
      </c>
      <c r="F19" s="280"/>
      <c r="G19" s="280">
        <f t="shared" si="1"/>
        <v>27689.489999999998</v>
      </c>
      <c r="H19" s="280">
        <f t="shared" si="2"/>
        <v>9403.7400000000016</v>
      </c>
      <c r="I19" s="281"/>
    </row>
    <row r="20" spans="1:9" s="282" customFormat="1" ht="12.75" customHeight="1" x14ac:dyDescent="0.25">
      <c r="A20" s="275" t="s">
        <v>996</v>
      </c>
      <c r="B20" s="276">
        <v>46182</v>
      </c>
      <c r="C20" s="277" t="s">
        <v>997</v>
      </c>
      <c r="D20" s="279"/>
      <c r="E20" s="279">
        <f t="shared" si="0"/>
        <v>37093.230000000003</v>
      </c>
      <c r="F20" s="284">
        <v>1046.82</v>
      </c>
      <c r="G20" s="280">
        <f t="shared" si="1"/>
        <v>28736.309999999998</v>
      </c>
      <c r="H20" s="280">
        <f t="shared" si="2"/>
        <v>8356.9200000000019</v>
      </c>
      <c r="I20" s="281"/>
    </row>
    <row r="21" spans="1:9" s="282" customFormat="1" ht="12.75" customHeight="1" x14ac:dyDescent="0.25">
      <c r="A21" s="358" t="s">
        <v>1222</v>
      </c>
      <c r="B21" s="359">
        <v>46216</v>
      </c>
      <c r="C21" s="360" t="s">
        <v>1223</v>
      </c>
      <c r="D21" s="361"/>
      <c r="E21" s="361">
        <f t="shared" si="0"/>
        <v>37093.230000000003</v>
      </c>
      <c r="F21" s="362">
        <v>3252.37</v>
      </c>
      <c r="G21" s="363">
        <f t="shared" si="1"/>
        <v>31988.679999999997</v>
      </c>
      <c r="H21" s="363">
        <f t="shared" si="2"/>
        <v>5104.550000000002</v>
      </c>
      <c r="I21" s="364" t="s">
        <v>1285</v>
      </c>
    </row>
    <row r="22" spans="1:9" s="282" customFormat="1" ht="12.75" customHeight="1" x14ac:dyDescent="0.25">
      <c r="A22" s="275" t="s">
        <v>1305</v>
      </c>
      <c r="B22" s="276">
        <v>46225</v>
      </c>
      <c r="C22" s="277" t="s">
        <v>1286</v>
      </c>
      <c r="D22" s="278">
        <v>0</v>
      </c>
      <c r="E22" s="279">
        <f t="shared" si="0"/>
        <v>37093.230000000003</v>
      </c>
      <c r="F22" s="284"/>
      <c r="G22" s="280">
        <f t="shared" si="1"/>
        <v>31988.679999999997</v>
      </c>
      <c r="H22" s="280">
        <f t="shared" si="2"/>
        <v>5104.550000000002</v>
      </c>
      <c r="I22" s="281"/>
    </row>
    <row r="23" spans="1:9" s="282" customFormat="1" ht="12.75" customHeight="1" x14ac:dyDescent="0.25">
      <c r="A23" s="275" t="s">
        <v>1427</v>
      </c>
      <c r="B23" s="276">
        <v>46246</v>
      </c>
      <c r="C23" s="277" t="s">
        <v>1428</v>
      </c>
      <c r="D23" s="285">
        <v>-983.76</v>
      </c>
      <c r="E23" s="279">
        <f t="shared" si="0"/>
        <v>36109.47</v>
      </c>
      <c r="F23" s="284">
        <v>4120.79</v>
      </c>
      <c r="G23" s="280">
        <f t="shared" si="1"/>
        <v>36109.469999999994</v>
      </c>
      <c r="H23" s="280">
        <f t="shared" si="2"/>
        <v>2.0463630789890885E-12</v>
      </c>
      <c r="I23" s="281"/>
    </row>
    <row r="24" spans="1:9" s="282" customFormat="1" ht="12.75" customHeight="1" x14ac:dyDescent="0.25">
      <c r="A24" s="275"/>
      <c r="B24" s="276"/>
      <c r="C24" s="277"/>
      <c r="D24" s="279"/>
      <c r="E24" s="279">
        <f t="shared" si="0"/>
        <v>36109.47</v>
      </c>
      <c r="F24" s="284"/>
      <c r="G24" s="280">
        <f t="shared" si="1"/>
        <v>36109.469999999994</v>
      </c>
      <c r="H24" s="280">
        <f t="shared" si="2"/>
        <v>2.0463630789890885E-12</v>
      </c>
      <c r="I24" s="281"/>
    </row>
    <row r="25" spans="1:9" s="282" customFormat="1" ht="12.75" customHeight="1" x14ac:dyDescent="0.25">
      <c r="A25" s="275"/>
      <c r="B25" s="277"/>
      <c r="C25" s="287"/>
      <c r="D25" s="280"/>
      <c r="E25" s="280"/>
      <c r="F25" s="280"/>
      <c r="G25" s="280"/>
      <c r="H25" s="280"/>
      <c r="I25" s="281"/>
    </row>
    <row r="26" spans="1:9" s="282" customFormat="1" ht="12.75" customHeight="1" thickBot="1" x14ac:dyDescent="0.3">
      <c r="A26" s="275"/>
      <c r="B26" s="288"/>
      <c r="C26" s="289" t="s">
        <v>24</v>
      </c>
      <c r="D26" s="290">
        <f>SUM(D9:D25)</f>
        <v>36109.47</v>
      </c>
      <c r="E26" s="290"/>
      <c r="F26" s="290">
        <f>SUM(F9:F25)</f>
        <v>36109.469999999994</v>
      </c>
      <c r="G26" s="290"/>
      <c r="H26" s="290">
        <f>D26-F26</f>
        <v>0</v>
      </c>
      <c r="I26" s="291" t="s">
        <v>444</v>
      </c>
    </row>
    <row r="27" spans="1:9" s="282" customFormat="1" ht="12.75" customHeight="1" thickTop="1" x14ac:dyDescent="0.25"/>
    <row r="28" spans="1:9" s="282" customFormat="1" ht="12.75" customHeight="1" x14ac:dyDescent="0.25"/>
    <row r="29" spans="1:9" s="282" customFormat="1" ht="12.75" customHeight="1" x14ac:dyDescent="0.25"/>
    <row r="30" spans="1:9" s="282" customFormat="1" ht="12.75" customHeight="1" x14ac:dyDescent="0.25"/>
    <row r="31" spans="1:9" s="282" customFormat="1" ht="12.75" customHeight="1" x14ac:dyDescent="0.25"/>
  </sheetData>
  <pageMargins left="0.25" right="0.25" top="0.95" bottom="0.75" header="0.09" footer="0.3"/>
  <pageSetup scale="7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4A2A7-58C7-4180-9891-02A54B9D1288}">
  <sheetPr>
    <pageSetUpPr fitToPage="1"/>
  </sheetPr>
  <dimension ref="A1:J40"/>
  <sheetViews>
    <sheetView topLeftCell="A7" zoomScaleNormal="100" workbookViewId="0">
      <selection activeCell="L37" sqref="L37"/>
    </sheetView>
  </sheetViews>
  <sheetFormatPr defaultColWidth="11.42578125" defaultRowHeight="15" customHeight="1" x14ac:dyDescent="0.25"/>
  <cols>
    <col min="1" max="1" width="24.5703125" customWidth="1"/>
    <col min="2" max="3" width="9.42578125" customWidth="1"/>
    <col min="4" max="4" width="44.570312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#9498.00'!B1</f>
        <v>DAS TH Parking Lot Retaining Wall Repairs</v>
      </c>
      <c r="B1" s="3"/>
      <c r="C1" s="3"/>
      <c r="D1" s="4"/>
      <c r="E1" s="4"/>
      <c r="F1" s="4"/>
      <c r="G1" s="28"/>
      <c r="H1" s="28"/>
      <c r="I1" s="29"/>
      <c r="J1" s="29"/>
    </row>
    <row r="2" spans="1:10" ht="15.75" x14ac:dyDescent="0.25">
      <c r="A2" s="6" t="str">
        <f>'RECAP #9498.00'!B2</f>
        <v>Project # 9498.00</v>
      </c>
      <c r="B2" s="5"/>
      <c r="C2" s="5"/>
      <c r="D2" s="4"/>
      <c r="E2" s="4"/>
      <c r="F2" s="4"/>
      <c r="G2" s="28"/>
      <c r="H2" s="28"/>
      <c r="I2" s="29"/>
      <c r="J2" s="29"/>
    </row>
    <row r="3" spans="1:10" ht="15.75" x14ac:dyDescent="0.25">
      <c r="A3" s="7" t="str">
        <f>'RECAP #9498.00'!B3</f>
        <v>Program code 949800</v>
      </c>
      <c r="B3" s="5"/>
      <c r="C3" s="5"/>
      <c r="D3" s="4"/>
      <c r="E3" s="8" t="str">
        <f>'RECAP #9498.00'!E3</f>
        <v>Major Program 4D04</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234</v>
      </c>
      <c r="F6" s="42"/>
      <c r="G6" s="43"/>
      <c r="H6" s="39"/>
      <c r="I6" s="35"/>
      <c r="J6" s="29"/>
    </row>
    <row r="7" spans="1:10" ht="15.75" x14ac:dyDescent="0.25">
      <c r="A7" s="11" t="str">
        <f>'RECAP #9498.00'!B6</f>
        <v>Project Manager - James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ht="12.75" customHeight="1" x14ac:dyDescent="0.25">
      <c r="A9" s="65"/>
      <c r="B9" s="50"/>
      <c r="C9" s="50"/>
      <c r="D9" s="59" t="s">
        <v>29</v>
      </c>
      <c r="E9" s="232">
        <f>7000+2000+7000</f>
        <v>16000</v>
      </c>
      <c r="F9" s="233">
        <f>E9</f>
        <v>16000</v>
      </c>
      <c r="G9" s="234"/>
      <c r="H9" s="234"/>
      <c r="I9" s="234">
        <f>F9</f>
        <v>16000</v>
      </c>
      <c r="J9" s="55"/>
    </row>
    <row r="10" spans="1:10" ht="12.75" customHeight="1" x14ac:dyDescent="0.25">
      <c r="A10" s="70" t="s">
        <v>260</v>
      </c>
      <c r="B10" s="50">
        <v>45937</v>
      </c>
      <c r="C10" s="65" t="s">
        <v>261</v>
      </c>
      <c r="D10" s="144" t="s">
        <v>262</v>
      </c>
      <c r="E10" s="233"/>
      <c r="F10" s="233">
        <f t="shared" ref="F10:F37" si="0">F9+E10</f>
        <v>16000</v>
      </c>
      <c r="G10" s="237">
        <v>38.799999999999997</v>
      </c>
      <c r="H10" s="234">
        <f t="shared" ref="H10:H37" si="1">H9+G10</f>
        <v>38.799999999999997</v>
      </c>
      <c r="I10" s="234">
        <f t="shared" ref="I10:I37" si="2">I9-G10+E10</f>
        <v>15961.2</v>
      </c>
      <c r="J10" s="55"/>
    </row>
    <row r="11" spans="1:10" ht="12.75" customHeight="1" x14ac:dyDescent="0.25">
      <c r="A11" s="70" t="s">
        <v>260</v>
      </c>
      <c r="B11" s="50">
        <v>45937</v>
      </c>
      <c r="C11" s="65">
        <v>9500</v>
      </c>
      <c r="D11" s="66" t="s">
        <v>263</v>
      </c>
      <c r="E11" s="233"/>
      <c r="F11" s="233">
        <f t="shared" si="0"/>
        <v>16000</v>
      </c>
      <c r="G11" s="237">
        <v>199.7</v>
      </c>
      <c r="H11" s="234">
        <f t="shared" si="1"/>
        <v>238.5</v>
      </c>
      <c r="I11" s="234">
        <f t="shared" si="2"/>
        <v>15761.5</v>
      </c>
      <c r="J11" s="55"/>
    </row>
    <row r="12" spans="1:10" ht="12.75" customHeight="1" x14ac:dyDescent="0.25">
      <c r="A12" s="70" t="s">
        <v>314</v>
      </c>
      <c r="B12" s="50">
        <v>45968</v>
      </c>
      <c r="C12" s="65" t="s">
        <v>261</v>
      </c>
      <c r="D12" s="144" t="s">
        <v>315</v>
      </c>
      <c r="E12" s="233"/>
      <c r="F12" s="233">
        <f t="shared" si="0"/>
        <v>16000</v>
      </c>
      <c r="G12" s="237">
        <v>63.69</v>
      </c>
      <c r="H12" s="234">
        <f t="shared" si="1"/>
        <v>302.19</v>
      </c>
      <c r="I12" s="234">
        <f t="shared" si="2"/>
        <v>15697.81</v>
      </c>
      <c r="J12" s="55"/>
    </row>
    <row r="13" spans="1:10" ht="12.75" customHeight="1" x14ac:dyDescent="0.25">
      <c r="A13" s="70" t="s">
        <v>314</v>
      </c>
      <c r="B13" s="50">
        <v>45968</v>
      </c>
      <c r="C13" s="65">
        <v>9500</v>
      </c>
      <c r="D13" s="66" t="s">
        <v>316</v>
      </c>
      <c r="E13" s="233"/>
      <c r="F13" s="233">
        <f t="shared" si="0"/>
        <v>16000</v>
      </c>
      <c r="G13" s="237">
        <v>632.79999999999995</v>
      </c>
      <c r="H13" s="234">
        <f t="shared" si="1"/>
        <v>934.99</v>
      </c>
      <c r="I13" s="234">
        <f t="shared" si="2"/>
        <v>15065.01</v>
      </c>
      <c r="J13" s="55"/>
    </row>
    <row r="14" spans="1:10" ht="12.75" customHeight="1" x14ac:dyDescent="0.25">
      <c r="A14" s="70" t="s">
        <v>364</v>
      </c>
      <c r="B14" s="50">
        <v>45996</v>
      </c>
      <c r="C14" s="53" t="s">
        <v>261</v>
      </c>
      <c r="D14" s="144" t="s">
        <v>365</v>
      </c>
      <c r="E14" s="233"/>
      <c r="F14" s="233">
        <f t="shared" si="0"/>
        <v>16000</v>
      </c>
      <c r="G14" s="237">
        <v>149.15</v>
      </c>
      <c r="H14" s="234">
        <f t="shared" si="1"/>
        <v>1084.1400000000001</v>
      </c>
      <c r="I14" s="234">
        <f t="shared" si="2"/>
        <v>14915.86</v>
      </c>
      <c r="J14" s="55"/>
    </row>
    <row r="15" spans="1:10" ht="12.75" customHeight="1" x14ac:dyDescent="0.25">
      <c r="A15" s="70" t="s">
        <v>364</v>
      </c>
      <c r="B15" s="50">
        <v>45996</v>
      </c>
      <c r="C15" s="268">
        <v>9500</v>
      </c>
      <c r="D15" s="66" t="s">
        <v>366</v>
      </c>
      <c r="E15" s="233"/>
      <c r="F15" s="233">
        <f t="shared" si="0"/>
        <v>16000</v>
      </c>
      <c r="G15" s="237">
        <v>948.7</v>
      </c>
      <c r="H15" s="234">
        <f t="shared" si="1"/>
        <v>2032.8400000000001</v>
      </c>
      <c r="I15" s="234">
        <f t="shared" si="2"/>
        <v>13967.16</v>
      </c>
      <c r="J15" s="55"/>
    </row>
    <row r="16" spans="1:10" ht="12.75" customHeight="1" x14ac:dyDescent="0.25">
      <c r="A16" s="70" t="s">
        <v>423</v>
      </c>
      <c r="B16" s="50">
        <v>46030</v>
      </c>
      <c r="C16" s="53" t="s">
        <v>261</v>
      </c>
      <c r="D16" s="144" t="s">
        <v>424</v>
      </c>
      <c r="E16" s="233"/>
      <c r="F16" s="233">
        <f t="shared" si="0"/>
        <v>16000</v>
      </c>
      <c r="G16" s="237">
        <v>83.48</v>
      </c>
      <c r="H16" s="234">
        <f t="shared" si="1"/>
        <v>2116.3200000000002</v>
      </c>
      <c r="I16" s="234">
        <f t="shared" si="2"/>
        <v>13883.68</v>
      </c>
      <c r="J16" s="55"/>
    </row>
    <row r="17" spans="1:10" ht="12.75" customHeight="1" x14ac:dyDescent="0.25">
      <c r="A17" s="70" t="s">
        <v>423</v>
      </c>
      <c r="B17" s="50">
        <v>46030</v>
      </c>
      <c r="C17" s="268">
        <v>9500</v>
      </c>
      <c r="D17" s="66" t="s">
        <v>425</v>
      </c>
      <c r="E17" s="233"/>
      <c r="F17" s="233">
        <f t="shared" si="0"/>
        <v>16000</v>
      </c>
      <c r="G17" s="237">
        <v>949.7</v>
      </c>
      <c r="H17" s="234">
        <f t="shared" si="1"/>
        <v>3066.0200000000004</v>
      </c>
      <c r="I17" s="234">
        <f t="shared" si="2"/>
        <v>12933.98</v>
      </c>
      <c r="J17" s="55"/>
    </row>
    <row r="18" spans="1:10" ht="12.75" customHeight="1" x14ac:dyDescent="0.25">
      <c r="A18" s="70" t="s">
        <v>548</v>
      </c>
      <c r="B18" s="50">
        <v>46062</v>
      </c>
      <c r="C18" s="53" t="s">
        <v>261</v>
      </c>
      <c r="D18" s="144" t="s">
        <v>549</v>
      </c>
      <c r="E18" s="233"/>
      <c r="F18" s="233">
        <f t="shared" si="0"/>
        <v>16000</v>
      </c>
      <c r="G18" s="237">
        <v>66.16</v>
      </c>
      <c r="H18" s="234">
        <f t="shared" si="1"/>
        <v>3132.1800000000003</v>
      </c>
      <c r="I18" s="234">
        <f t="shared" si="2"/>
        <v>12867.82</v>
      </c>
      <c r="J18" s="55"/>
    </row>
    <row r="19" spans="1:10" ht="12.75" customHeight="1" x14ac:dyDescent="0.25">
      <c r="A19" s="70" t="s">
        <v>548</v>
      </c>
      <c r="B19" s="50">
        <v>46062</v>
      </c>
      <c r="C19" s="268">
        <v>9500</v>
      </c>
      <c r="D19" s="66" t="s">
        <v>550</v>
      </c>
      <c r="E19" s="233"/>
      <c r="F19" s="233">
        <f t="shared" si="0"/>
        <v>16000</v>
      </c>
      <c r="G19" s="237">
        <v>822.9</v>
      </c>
      <c r="H19" s="234">
        <f t="shared" si="1"/>
        <v>3955.0800000000004</v>
      </c>
      <c r="I19" s="234">
        <f t="shared" si="2"/>
        <v>12044.92</v>
      </c>
      <c r="J19" s="55"/>
    </row>
    <row r="20" spans="1:10" ht="12.75" customHeight="1" x14ac:dyDescent="0.25">
      <c r="A20" s="70" t="s">
        <v>644</v>
      </c>
      <c r="B20" s="50">
        <v>46090</v>
      </c>
      <c r="C20" s="53" t="s">
        <v>261</v>
      </c>
      <c r="D20" s="144" t="s">
        <v>645</v>
      </c>
      <c r="E20" s="233"/>
      <c r="F20" s="233">
        <f t="shared" si="0"/>
        <v>16000</v>
      </c>
      <c r="G20" s="237">
        <v>62.46</v>
      </c>
      <c r="H20" s="234">
        <f t="shared" si="1"/>
        <v>4017.5400000000004</v>
      </c>
      <c r="I20" s="234">
        <f t="shared" si="2"/>
        <v>11982.460000000001</v>
      </c>
      <c r="J20" s="55"/>
    </row>
    <row r="21" spans="1:10" ht="12.75" customHeight="1" x14ac:dyDescent="0.25">
      <c r="A21" s="70" t="s">
        <v>644</v>
      </c>
      <c r="B21" s="50">
        <v>46090</v>
      </c>
      <c r="C21" s="268">
        <v>9500</v>
      </c>
      <c r="D21" s="66" t="s">
        <v>646</v>
      </c>
      <c r="E21" s="233"/>
      <c r="F21" s="233">
        <f t="shared" si="0"/>
        <v>16000</v>
      </c>
      <c r="G21" s="237">
        <v>720.6</v>
      </c>
      <c r="H21" s="234">
        <f t="shared" si="1"/>
        <v>4738.1400000000003</v>
      </c>
      <c r="I21" s="234">
        <f t="shared" si="2"/>
        <v>11261.86</v>
      </c>
      <c r="J21" s="55"/>
    </row>
    <row r="22" spans="1:10" ht="12.75" customHeight="1" x14ac:dyDescent="0.25">
      <c r="A22" s="70" t="s">
        <v>744</v>
      </c>
      <c r="B22" s="50">
        <v>46118</v>
      </c>
      <c r="C22" s="53" t="s">
        <v>261</v>
      </c>
      <c r="D22" s="144" t="s">
        <v>745</v>
      </c>
      <c r="E22" s="233"/>
      <c r="F22" s="233">
        <f t="shared" si="0"/>
        <v>16000</v>
      </c>
      <c r="G22" s="237">
        <v>92.7</v>
      </c>
      <c r="H22" s="234">
        <f t="shared" si="1"/>
        <v>4830.84</v>
      </c>
      <c r="I22" s="234">
        <f t="shared" si="2"/>
        <v>11169.16</v>
      </c>
      <c r="J22" s="55"/>
    </row>
    <row r="23" spans="1:10" ht="12.75" customHeight="1" x14ac:dyDescent="0.25">
      <c r="A23" s="70" t="s">
        <v>744</v>
      </c>
      <c r="B23" s="50">
        <v>46118</v>
      </c>
      <c r="C23" s="268">
        <v>9500</v>
      </c>
      <c r="D23" s="66" t="s">
        <v>746</v>
      </c>
      <c r="E23" s="233"/>
      <c r="F23" s="233">
        <f t="shared" si="0"/>
        <v>16000</v>
      </c>
      <c r="G23" s="237">
        <v>754.4</v>
      </c>
      <c r="H23" s="234">
        <f t="shared" si="1"/>
        <v>5585.24</v>
      </c>
      <c r="I23" s="234">
        <f t="shared" si="2"/>
        <v>10414.76</v>
      </c>
      <c r="J23" s="55"/>
    </row>
    <row r="24" spans="1:10" ht="12.75" customHeight="1" x14ac:dyDescent="0.25">
      <c r="A24" s="70" t="s">
        <v>869</v>
      </c>
      <c r="B24" s="50">
        <v>46149</v>
      </c>
      <c r="C24" s="53" t="s">
        <v>261</v>
      </c>
      <c r="D24" s="144" t="s">
        <v>870</v>
      </c>
      <c r="E24" s="233"/>
      <c r="F24" s="233">
        <f t="shared" si="0"/>
        <v>16000</v>
      </c>
      <c r="G24" s="237">
        <v>99.91</v>
      </c>
      <c r="H24" s="234">
        <f t="shared" si="1"/>
        <v>5685.15</v>
      </c>
      <c r="I24" s="234">
        <f t="shared" si="2"/>
        <v>10314.85</v>
      </c>
      <c r="J24" s="55"/>
    </row>
    <row r="25" spans="1:10" ht="12.75" customHeight="1" x14ac:dyDescent="0.25">
      <c r="A25" s="70" t="s">
        <v>869</v>
      </c>
      <c r="B25" s="50">
        <v>46149</v>
      </c>
      <c r="C25" s="268">
        <v>9500</v>
      </c>
      <c r="D25" s="66" t="s">
        <v>871</v>
      </c>
      <c r="E25" s="233"/>
      <c r="F25" s="233">
        <f t="shared" si="0"/>
        <v>16000</v>
      </c>
      <c r="G25" s="237">
        <v>1042.9000000000001</v>
      </c>
      <c r="H25" s="234">
        <f t="shared" si="1"/>
        <v>6728.0499999999993</v>
      </c>
      <c r="I25" s="234">
        <f t="shared" si="2"/>
        <v>9271.9500000000007</v>
      </c>
      <c r="J25" s="55"/>
    </row>
    <row r="26" spans="1:10" ht="12.75" customHeight="1" x14ac:dyDescent="0.25">
      <c r="A26" s="70" t="s">
        <v>984</v>
      </c>
      <c r="B26" s="50">
        <v>46181</v>
      </c>
      <c r="C26" s="53" t="s">
        <v>261</v>
      </c>
      <c r="D26" s="144" t="s">
        <v>985</v>
      </c>
      <c r="E26" s="233"/>
      <c r="F26" s="233">
        <f t="shared" si="0"/>
        <v>16000</v>
      </c>
      <c r="G26" s="237">
        <v>60.61</v>
      </c>
      <c r="H26" s="234">
        <f t="shared" si="1"/>
        <v>6788.6599999999989</v>
      </c>
      <c r="I26" s="234">
        <f t="shared" si="2"/>
        <v>9211.34</v>
      </c>
      <c r="J26" s="55"/>
    </row>
    <row r="27" spans="1:10" ht="12.75" customHeight="1" x14ac:dyDescent="0.25">
      <c r="A27" s="70" t="s">
        <v>984</v>
      </c>
      <c r="B27" s="50">
        <v>46181</v>
      </c>
      <c r="C27" s="268">
        <v>9500</v>
      </c>
      <c r="D27" s="66" t="s">
        <v>986</v>
      </c>
      <c r="E27" s="233"/>
      <c r="F27" s="233">
        <f t="shared" si="0"/>
        <v>16000</v>
      </c>
      <c r="G27" s="237">
        <v>747.8</v>
      </c>
      <c r="H27" s="234">
        <f t="shared" si="1"/>
        <v>7536.4599999999991</v>
      </c>
      <c r="I27" s="234">
        <f t="shared" si="2"/>
        <v>8463.5400000000009</v>
      </c>
      <c r="J27" s="55"/>
    </row>
    <row r="28" spans="1:10" ht="12.75" customHeight="1" x14ac:dyDescent="0.25">
      <c r="A28" s="70" t="s">
        <v>1186</v>
      </c>
      <c r="B28" s="50">
        <v>46211</v>
      </c>
      <c r="C28" s="53" t="s">
        <v>261</v>
      </c>
      <c r="D28" s="144" t="s">
        <v>1187</v>
      </c>
      <c r="E28" s="233"/>
      <c r="F28" s="233">
        <f t="shared" si="0"/>
        <v>16000</v>
      </c>
      <c r="G28" s="237">
        <v>105.19</v>
      </c>
      <c r="H28" s="234">
        <f t="shared" si="1"/>
        <v>7641.6499999999987</v>
      </c>
      <c r="I28" s="234">
        <f t="shared" si="2"/>
        <v>8358.35</v>
      </c>
      <c r="J28" s="55"/>
    </row>
    <row r="29" spans="1:10" ht="12.75" customHeight="1" x14ac:dyDescent="0.25">
      <c r="A29" s="70" t="s">
        <v>1186</v>
      </c>
      <c r="B29" s="50">
        <v>46211</v>
      </c>
      <c r="C29" s="268">
        <v>9500</v>
      </c>
      <c r="D29" s="66" t="s">
        <v>1188</v>
      </c>
      <c r="E29" s="233"/>
      <c r="F29" s="233">
        <f t="shared" si="0"/>
        <v>16000</v>
      </c>
      <c r="G29" s="237">
        <v>1210</v>
      </c>
      <c r="H29" s="234">
        <f t="shared" si="1"/>
        <v>8851.6499999999978</v>
      </c>
      <c r="I29" s="234">
        <f t="shared" si="2"/>
        <v>7148.35</v>
      </c>
      <c r="J29" s="55"/>
    </row>
    <row r="30" spans="1:10" ht="12.75" customHeight="1" x14ac:dyDescent="0.25">
      <c r="A30" s="70" t="s">
        <v>1265</v>
      </c>
      <c r="B30" s="50">
        <v>46218</v>
      </c>
      <c r="C30" s="53" t="s">
        <v>261</v>
      </c>
      <c r="D30" s="144" t="s">
        <v>1266</v>
      </c>
      <c r="E30" s="233"/>
      <c r="F30" s="233">
        <f t="shared" si="0"/>
        <v>16000</v>
      </c>
      <c r="G30" s="237">
        <v>42.2</v>
      </c>
      <c r="H30" s="234">
        <f t="shared" si="1"/>
        <v>8893.8499999999985</v>
      </c>
      <c r="I30" s="234">
        <f t="shared" si="2"/>
        <v>7106.1500000000005</v>
      </c>
      <c r="J30" s="55"/>
    </row>
    <row r="31" spans="1:10" ht="12.75" customHeight="1" x14ac:dyDescent="0.25">
      <c r="A31" s="70" t="s">
        <v>1436</v>
      </c>
      <c r="B31" s="365">
        <v>46241</v>
      </c>
      <c r="C31" s="53" t="s">
        <v>261</v>
      </c>
      <c r="D31" s="144" t="s">
        <v>1437</v>
      </c>
      <c r="E31" s="233"/>
      <c r="F31" s="233">
        <f t="shared" si="0"/>
        <v>16000</v>
      </c>
      <c r="G31" s="237">
        <v>148.88999999999999</v>
      </c>
      <c r="H31" s="234">
        <f t="shared" si="1"/>
        <v>9042.739999999998</v>
      </c>
      <c r="I31" s="234">
        <f t="shared" si="2"/>
        <v>6957.26</v>
      </c>
      <c r="J31" s="55"/>
    </row>
    <row r="32" spans="1:10" ht="12.75" customHeight="1" x14ac:dyDescent="0.25">
      <c r="A32" s="70" t="s">
        <v>1436</v>
      </c>
      <c r="B32" s="365">
        <v>46241</v>
      </c>
      <c r="C32" s="268">
        <v>9500</v>
      </c>
      <c r="D32" s="66" t="s">
        <v>1438</v>
      </c>
      <c r="E32" s="233"/>
      <c r="F32" s="233">
        <f t="shared" si="0"/>
        <v>16000</v>
      </c>
      <c r="G32" s="237">
        <v>1599.1</v>
      </c>
      <c r="H32" s="234">
        <f t="shared" si="1"/>
        <v>10641.839999999998</v>
      </c>
      <c r="I32" s="234">
        <f t="shared" si="2"/>
        <v>5358.16</v>
      </c>
      <c r="J32" s="55"/>
    </row>
    <row r="33" spans="1:10" ht="12.75" customHeight="1" x14ac:dyDescent="0.25">
      <c r="A33" s="70" t="s">
        <v>1531</v>
      </c>
      <c r="B33" s="365">
        <v>46272</v>
      </c>
      <c r="C33" s="53" t="s">
        <v>261</v>
      </c>
      <c r="D33" s="144" t="s">
        <v>1532</v>
      </c>
      <c r="E33" s="233"/>
      <c r="F33" s="233">
        <f t="shared" si="0"/>
        <v>16000</v>
      </c>
      <c r="G33" s="237">
        <v>168.52</v>
      </c>
      <c r="H33" s="234">
        <f t="shared" si="1"/>
        <v>10810.359999999999</v>
      </c>
      <c r="I33" s="234">
        <f t="shared" si="2"/>
        <v>5189.6399999999994</v>
      </c>
      <c r="J33" s="55"/>
    </row>
    <row r="34" spans="1:10" ht="12.75" customHeight="1" x14ac:dyDescent="0.25">
      <c r="A34" s="70" t="s">
        <v>1531</v>
      </c>
      <c r="B34" s="365">
        <v>46272</v>
      </c>
      <c r="C34" s="268">
        <v>9500</v>
      </c>
      <c r="D34" s="66" t="s">
        <v>1533</v>
      </c>
      <c r="E34" s="233"/>
      <c r="F34" s="233">
        <f t="shared" si="0"/>
        <v>16000</v>
      </c>
      <c r="G34" s="237">
        <v>1643.6</v>
      </c>
      <c r="H34" s="234">
        <f t="shared" si="1"/>
        <v>12453.96</v>
      </c>
      <c r="I34" s="234">
        <f t="shared" si="2"/>
        <v>3546.0399999999995</v>
      </c>
      <c r="J34" s="55"/>
    </row>
    <row r="35" spans="1:10" ht="12.75" customHeight="1" x14ac:dyDescent="0.25">
      <c r="A35" s="70"/>
      <c r="B35" s="365"/>
      <c r="C35" s="268"/>
      <c r="D35" s="66"/>
      <c r="E35" s="233"/>
      <c r="F35" s="233">
        <f t="shared" si="0"/>
        <v>16000</v>
      </c>
      <c r="G35" s="237"/>
      <c r="H35" s="234">
        <f t="shared" si="1"/>
        <v>12453.96</v>
      </c>
      <c r="I35" s="234">
        <f t="shared" si="2"/>
        <v>3546.0399999999995</v>
      </c>
      <c r="J35" s="55"/>
    </row>
    <row r="36" spans="1:10" ht="12.75" customHeight="1" x14ac:dyDescent="0.25">
      <c r="A36" s="70"/>
      <c r="B36" s="365"/>
      <c r="C36" s="268"/>
      <c r="D36" s="66"/>
      <c r="E36" s="233"/>
      <c r="F36" s="233">
        <f t="shared" si="0"/>
        <v>16000</v>
      </c>
      <c r="G36" s="237"/>
      <c r="H36" s="234">
        <f t="shared" si="1"/>
        <v>12453.96</v>
      </c>
      <c r="I36" s="234">
        <f t="shared" si="2"/>
        <v>3546.0399999999995</v>
      </c>
      <c r="J36" s="55"/>
    </row>
    <row r="37" spans="1:10" ht="12.75" customHeight="1" x14ac:dyDescent="0.25">
      <c r="A37" s="70"/>
      <c r="B37" s="365"/>
      <c r="C37" s="268"/>
      <c r="D37" s="66"/>
      <c r="E37" s="233"/>
      <c r="F37" s="233">
        <f t="shared" si="0"/>
        <v>16000</v>
      </c>
      <c r="G37" s="237"/>
      <c r="H37" s="234">
        <f t="shared" si="1"/>
        <v>12453.96</v>
      </c>
      <c r="I37" s="234">
        <f t="shared" si="2"/>
        <v>3546.0399999999995</v>
      </c>
      <c r="J37" s="55"/>
    </row>
    <row r="38" spans="1:10" ht="12.75" customHeight="1" x14ac:dyDescent="0.25">
      <c r="A38" s="49"/>
      <c r="B38" s="51"/>
      <c r="C38" s="65"/>
      <c r="D38" s="59"/>
      <c r="E38" s="54"/>
      <c r="F38" s="233"/>
      <c r="G38" s="54"/>
      <c r="H38" s="54"/>
      <c r="I38" s="54"/>
      <c r="J38" s="55"/>
    </row>
    <row r="39" spans="1:10" ht="12.75" customHeight="1" thickBot="1" x14ac:dyDescent="0.3">
      <c r="A39" s="49"/>
      <c r="B39" s="60"/>
      <c r="C39" s="65"/>
      <c r="D39" s="244" t="s">
        <v>24</v>
      </c>
      <c r="E39" s="245">
        <f>SUM(E9:E38)</f>
        <v>16000</v>
      </c>
      <c r="F39" s="245"/>
      <c r="G39" s="245">
        <f>SUM(G9:G38)</f>
        <v>12453.96</v>
      </c>
      <c r="H39" s="245"/>
      <c r="I39" s="245">
        <f>E39-G39</f>
        <v>3546.0400000000009</v>
      </c>
      <c r="J39" s="55"/>
    </row>
    <row r="40" spans="1:10" ht="12.75" customHeight="1" thickTop="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5FE4A-621E-41EE-AF59-CA9B2BC11A94}">
  <sheetPr>
    <pageSetUpPr fitToPage="1"/>
  </sheetPr>
  <dimension ref="A1:H108"/>
  <sheetViews>
    <sheetView zoomScaleNormal="100" workbookViewId="0">
      <selection activeCell="G9" sqref="G9"/>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7.140625" customWidth="1"/>
    <col min="6" max="6" width="13.4257812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#9498.00'!B1</f>
        <v>DAS TH Parking Lot Retaining Wall Repairs</v>
      </c>
      <c r="B1" s="3"/>
      <c r="C1" s="3"/>
      <c r="D1" s="3"/>
      <c r="E1" s="4"/>
      <c r="F1" s="4"/>
      <c r="G1" s="4"/>
      <c r="H1" s="28"/>
    </row>
    <row r="2" spans="1:8" ht="15.75" x14ac:dyDescent="0.25">
      <c r="A2" s="6" t="str">
        <f>'RECAP #9498.00'!B2</f>
        <v>Project # 9498.00</v>
      </c>
      <c r="B2" s="5"/>
      <c r="C2" s="5"/>
      <c r="D2" s="5"/>
      <c r="E2" s="4"/>
      <c r="F2" s="4"/>
      <c r="G2" s="4"/>
      <c r="H2" s="28"/>
    </row>
    <row r="3" spans="1:8" ht="15.75" x14ac:dyDescent="0.25">
      <c r="A3" s="7" t="str">
        <f>'RECAP #9498.00'!B3</f>
        <v>Program code 949800</v>
      </c>
      <c r="B3" s="5"/>
      <c r="C3" s="5"/>
      <c r="D3" s="5"/>
      <c r="E3" s="8" t="str">
        <f>'RECAP #9498.00'!E3</f>
        <v>Major Program 4D04</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1383</v>
      </c>
      <c r="F6" s="35"/>
      <c r="G6" s="38"/>
      <c r="H6" s="39"/>
    </row>
    <row r="7" spans="1:8" ht="15.75" x14ac:dyDescent="0.25">
      <c r="A7" s="11" t="str">
        <f>'RECAP #9498.00'!B6</f>
        <v>Project Manager - James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5">
      <c r="A9" s="239" t="s">
        <v>1382</v>
      </c>
      <c r="B9" s="177">
        <v>46233</v>
      </c>
      <c r="C9" s="241">
        <v>9500</v>
      </c>
      <c r="D9" s="241" t="s">
        <v>362</v>
      </c>
      <c r="E9" s="176" t="s">
        <v>359</v>
      </c>
      <c r="F9" s="259" t="s">
        <v>1381</v>
      </c>
      <c r="G9" s="237">
        <v>342.5</v>
      </c>
      <c r="H9" s="260">
        <f>G9</f>
        <v>342.5</v>
      </c>
    </row>
    <row r="10" spans="1:8" s="223" customFormat="1" ht="12.75" customHeight="1" x14ac:dyDescent="0.25">
      <c r="A10" s="241"/>
      <c r="B10" s="177"/>
      <c r="C10" s="240"/>
      <c r="D10" s="240"/>
      <c r="E10" s="258"/>
      <c r="F10" s="252"/>
      <c r="G10" s="260"/>
      <c r="H10" s="260">
        <f>H9+G10</f>
        <v>342.5</v>
      </c>
    </row>
    <row r="11" spans="1:8" s="223" customFormat="1" ht="12.75" customHeight="1" x14ac:dyDescent="0.25">
      <c r="A11" s="241"/>
      <c r="B11" s="177"/>
      <c r="C11" s="177"/>
      <c r="D11" s="177"/>
      <c r="E11" s="258"/>
      <c r="F11" s="252"/>
      <c r="G11" s="260"/>
      <c r="H11" s="260">
        <f t="shared" ref="H11:H20" si="0">H10+G11</f>
        <v>342.5</v>
      </c>
    </row>
    <row r="12" spans="1:8" s="223" customFormat="1" ht="12.75" customHeight="1" x14ac:dyDescent="0.25">
      <c r="A12" s="241" t="s">
        <v>2</v>
      </c>
      <c r="B12" s="177" t="s">
        <v>2</v>
      </c>
      <c r="C12" s="177"/>
      <c r="D12" s="177"/>
      <c r="E12" s="258" t="s">
        <v>2</v>
      </c>
      <c r="F12" s="252"/>
      <c r="G12" s="260"/>
      <c r="H12" s="260">
        <f t="shared" si="0"/>
        <v>342.5</v>
      </c>
    </row>
    <row r="13" spans="1:8" s="223" customFormat="1" ht="12.75" customHeight="1" x14ac:dyDescent="0.25">
      <c r="A13" s="241" t="s">
        <v>2</v>
      </c>
      <c r="B13" s="177" t="s">
        <v>2</v>
      </c>
      <c r="C13" s="177"/>
      <c r="D13" s="177"/>
      <c r="E13" s="258" t="s">
        <v>2</v>
      </c>
      <c r="F13" s="252"/>
      <c r="G13" s="260"/>
      <c r="H13" s="260">
        <f t="shared" si="0"/>
        <v>342.5</v>
      </c>
    </row>
    <row r="14" spans="1:8" s="223" customFormat="1" ht="12.75" customHeight="1" x14ac:dyDescent="0.25">
      <c r="A14" s="241"/>
      <c r="B14" s="177"/>
      <c r="C14" s="177"/>
      <c r="D14" s="177"/>
      <c r="E14" s="258"/>
      <c r="F14" s="252"/>
      <c r="G14" s="260"/>
      <c r="H14" s="260">
        <f t="shared" si="0"/>
        <v>342.5</v>
      </c>
    </row>
    <row r="15" spans="1:8" s="223" customFormat="1" ht="12.75" customHeight="1" x14ac:dyDescent="0.25">
      <c r="A15" s="241"/>
      <c r="B15" s="177"/>
      <c r="C15" s="177"/>
      <c r="D15" s="177"/>
      <c r="E15" s="261"/>
      <c r="F15" s="252"/>
      <c r="G15" s="260"/>
      <c r="H15" s="260">
        <f t="shared" si="0"/>
        <v>342.5</v>
      </c>
    </row>
    <row r="16" spans="1:8" s="223" customFormat="1" ht="12.75" customHeight="1" x14ac:dyDescent="0.25">
      <c r="A16" s="241"/>
      <c r="B16" s="177"/>
      <c r="C16" s="177"/>
      <c r="D16" s="177"/>
      <c r="E16" s="258"/>
      <c r="F16" s="252"/>
      <c r="G16" s="260"/>
      <c r="H16" s="260">
        <f t="shared" si="0"/>
        <v>342.5</v>
      </c>
    </row>
    <row r="17" spans="1:8" s="223" customFormat="1" ht="12.75" customHeight="1" x14ac:dyDescent="0.25">
      <c r="A17" s="230"/>
      <c r="B17" s="177"/>
      <c r="C17" s="177"/>
      <c r="D17" s="177"/>
      <c r="E17" s="258"/>
      <c r="F17" s="252"/>
      <c r="G17" s="260"/>
      <c r="H17" s="260">
        <f t="shared" si="0"/>
        <v>342.5</v>
      </c>
    </row>
    <row r="18" spans="1:8" s="223" customFormat="1" ht="12.75" customHeight="1" x14ac:dyDescent="0.25">
      <c r="A18" s="230"/>
      <c r="B18" s="177"/>
      <c r="C18" s="177"/>
      <c r="D18" s="177"/>
      <c r="E18" s="258"/>
      <c r="F18" s="252"/>
      <c r="G18" s="260"/>
      <c r="H18" s="260">
        <f t="shared" si="0"/>
        <v>342.5</v>
      </c>
    </row>
    <row r="19" spans="1:8" s="223" customFormat="1" ht="12.75" customHeight="1" x14ac:dyDescent="0.25">
      <c r="A19" s="230"/>
      <c r="B19" s="177"/>
      <c r="C19" s="177"/>
      <c r="D19" s="177"/>
      <c r="E19" s="258"/>
      <c r="F19" s="252"/>
      <c r="G19" s="260"/>
      <c r="H19" s="260">
        <f t="shared" si="0"/>
        <v>342.5</v>
      </c>
    </row>
    <row r="20" spans="1:8" s="223" customFormat="1" ht="12.75" customHeight="1" x14ac:dyDescent="0.25">
      <c r="A20" s="230"/>
      <c r="B20" s="177"/>
      <c r="C20" s="177"/>
      <c r="D20" s="177"/>
      <c r="E20" s="258"/>
      <c r="F20" s="252"/>
      <c r="G20" s="260"/>
      <c r="H20" s="260">
        <f t="shared" si="0"/>
        <v>342.5</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342.5</v>
      </c>
      <c r="H22" s="265"/>
    </row>
    <row r="23" spans="1:8" s="223" customFormat="1" ht="12.75" customHeight="1" thickTop="1" x14ac:dyDescent="0.25"/>
    <row r="24" spans="1:8" s="223" customFormat="1" ht="12.75" customHeight="1" x14ac:dyDescent="0.25"/>
    <row r="25" spans="1:8" s="223" customFormat="1" ht="12.75" customHeight="1" x14ac:dyDescent="0.25"/>
    <row r="26" spans="1:8" s="223" customFormat="1" ht="12.75" customHeight="1" x14ac:dyDescent="0.25"/>
    <row r="27" spans="1:8" s="223" customFormat="1" ht="12.75" customHeight="1" x14ac:dyDescent="0.25"/>
    <row r="28" spans="1:8" s="223" customFormat="1" ht="12.75" customHeight="1" x14ac:dyDescent="0.25"/>
    <row r="29" spans="1:8" s="223" customFormat="1" ht="12.75" customHeight="1" x14ac:dyDescent="0.25"/>
    <row r="30" spans="1:8" s="223" customFormat="1" ht="12.75" customHeight="1" x14ac:dyDescent="0.25"/>
    <row r="31" spans="1:8" s="223" customFormat="1" ht="12.75" customHeight="1" x14ac:dyDescent="0.25"/>
    <row r="32" spans="1:8" s="223" customFormat="1" ht="12.75" customHeight="1" x14ac:dyDescent="0.25"/>
    <row r="33" s="223" customFormat="1" ht="12.75" customHeight="1" x14ac:dyDescent="0.25"/>
    <row r="34" s="223" customFormat="1" ht="12.75" customHeight="1" x14ac:dyDescent="0.25"/>
    <row r="35" s="223" customFormat="1" ht="12.75" customHeight="1" x14ac:dyDescent="0.25"/>
    <row r="36" s="223" customFormat="1" ht="12.75" customHeight="1" x14ac:dyDescent="0.25"/>
    <row r="37" s="223" customFormat="1" ht="12.75" customHeight="1" x14ac:dyDescent="0.25"/>
    <row r="38" s="223" customFormat="1" ht="12.75" customHeight="1" x14ac:dyDescent="0.25"/>
    <row r="39" s="223" customFormat="1" ht="12.75" customHeight="1" x14ac:dyDescent="0.25"/>
    <row r="40" s="223" customFormat="1" ht="12.75" customHeight="1" x14ac:dyDescent="0.25"/>
    <row r="41" s="223" customFormat="1" ht="12.75" customHeight="1" x14ac:dyDescent="0.25"/>
    <row r="42" s="223" customFormat="1" ht="12.75" customHeight="1" x14ac:dyDescent="0.25"/>
    <row r="43" s="223" customFormat="1" ht="12.75" customHeight="1" x14ac:dyDescent="0.25"/>
    <row r="44" s="223" customFormat="1" ht="12.75" customHeight="1" x14ac:dyDescent="0.25"/>
    <row r="45" s="223" customFormat="1" ht="12.75" customHeight="1" x14ac:dyDescent="0.25"/>
    <row r="46" s="223" customFormat="1" ht="12.75" customHeight="1" x14ac:dyDescent="0.25"/>
    <row r="47" s="223" customFormat="1" ht="12.75" customHeight="1" x14ac:dyDescent="0.25"/>
    <row r="48" s="223" customFormat="1" ht="12.75" customHeight="1" x14ac:dyDescent="0.25"/>
    <row r="49" s="223" customFormat="1" ht="12.75" customHeight="1" x14ac:dyDescent="0.25"/>
    <row r="50" s="223" customFormat="1" ht="12.75" customHeight="1" x14ac:dyDescent="0.25"/>
    <row r="51" s="223" customFormat="1" ht="12.75" customHeight="1" x14ac:dyDescent="0.25"/>
    <row r="52" s="223" customFormat="1" ht="12.75" customHeight="1" x14ac:dyDescent="0.25"/>
    <row r="53" s="223" customFormat="1" ht="12.75" customHeight="1" x14ac:dyDescent="0.25"/>
    <row r="54" s="223" customFormat="1" ht="12.75" customHeight="1" x14ac:dyDescent="0.25"/>
    <row r="55" s="223" customFormat="1" ht="12.75" customHeight="1" x14ac:dyDescent="0.25"/>
    <row r="56" s="223" customFormat="1" ht="12.75" customHeight="1" x14ac:dyDescent="0.25"/>
    <row r="57" s="223" customFormat="1" ht="12.75" customHeight="1" x14ac:dyDescent="0.25"/>
    <row r="58" s="223" customFormat="1" ht="12.75" customHeight="1" x14ac:dyDescent="0.25"/>
    <row r="59" s="223" customFormat="1" ht="12.75" customHeight="1" x14ac:dyDescent="0.25"/>
    <row r="60" s="223" customFormat="1" ht="12.75" customHeight="1" x14ac:dyDescent="0.25"/>
    <row r="61" s="223" customFormat="1" ht="12.75" customHeight="1" x14ac:dyDescent="0.25"/>
    <row r="62" s="223" customFormat="1" ht="12.75" customHeight="1" x14ac:dyDescent="0.25"/>
    <row r="63" s="223" customFormat="1" ht="12.75" customHeight="1" x14ac:dyDescent="0.25"/>
    <row r="64" s="223" customFormat="1" ht="12.75" customHeight="1" x14ac:dyDescent="0.25"/>
    <row r="65" s="223" customFormat="1" ht="12.75" customHeight="1" x14ac:dyDescent="0.25"/>
    <row r="66" s="223" customFormat="1" ht="12.75" customHeight="1" x14ac:dyDescent="0.25"/>
    <row r="67" s="223" customFormat="1" ht="12.75" customHeight="1" x14ac:dyDescent="0.25"/>
    <row r="68" s="223" customFormat="1" ht="12.75" customHeight="1" x14ac:dyDescent="0.25"/>
    <row r="69" s="223" customFormat="1" ht="12.75" customHeight="1" x14ac:dyDescent="0.25"/>
    <row r="70" s="223" customFormat="1" ht="12.75" customHeight="1" x14ac:dyDescent="0.25"/>
    <row r="71" s="223" customFormat="1" ht="12.75" customHeight="1" x14ac:dyDescent="0.25"/>
    <row r="72" s="223" customFormat="1" ht="12.75" customHeight="1" x14ac:dyDescent="0.25"/>
    <row r="73" s="223" customFormat="1" ht="12.75" customHeight="1" x14ac:dyDescent="0.25"/>
    <row r="74" s="223" customFormat="1" ht="12.75" customHeight="1" x14ac:dyDescent="0.25"/>
    <row r="75" s="223" customFormat="1" ht="12.75" customHeight="1" x14ac:dyDescent="0.25"/>
    <row r="76" s="223" customFormat="1" ht="12.75" customHeight="1" x14ac:dyDescent="0.25"/>
    <row r="77" s="223" customFormat="1" ht="12.75" customHeight="1" x14ac:dyDescent="0.25"/>
    <row r="78" s="223" customFormat="1" ht="12.75" customHeight="1" x14ac:dyDescent="0.25"/>
    <row r="79" s="223" customFormat="1" ht="12.75" customHeight="1" x14ac:dyDescent="0.25"/>
    <row r="80" s="223" customFormat="1" ht="12.75" customHeight="1" x14ac:dyDescent="0.25"/>
    <row r="81" s="223" customFormat="1" ht="12.75" customHeight="1" x14ac:dyDescent="0.25"/>
    <row r="82" s="223" customFormat="1" ht="12.75" customHeight="1" x14ac:dyDescent="0.25"/>
    <row r="83" s="223" customFormat="1" ht="12.75" customHeight="1" x14ac:dyDescent="0.25"/>
    <row r="84" s="223" customFormat="1" ht="12.75" customHeight="1" x14ac:dyDescent="0.25"/>
    <row r="85" s="223" customFormat="1" ht="12.75" customHeight="1" x14ac:dyDescent="0.25"/>
    <row r="86" s="223" customFormat="1" ht="12.75" customHeight="1" x14ac:dyDescent="0.25"/>
    <row r="87" s="223" customFormat="1" ht="12.75" customHeight="1" x14ac:dyDescent="0.25"/>
    <row r="88" s="223" customFormat="1" ht="12.75" customHeight="1" x14ac:dyDescent="0.25"/>
    <row r="89" s="223" customFormat="1" ht="12.75" customHeight="1" x14ac:dyDescent="0.25"/>
    <row r="90" s="223" customFormat="1" ht="12.75" customHeight="1" x14ac:dyDescent="0.25"/>
    <row r="91" s="223" customFormat="1" ht="12.75" customHeight="1" x14ac:dyDescent="0.25"/>
    <row r="92" s="223" customFormat="1" ht="12.75" customHeight="1" x14ac:dyDescent="0.25"/>
    <row r="93" s="223" customFormat="1" ht="12.75" customHeight="1" x14ac:dyDescent="0.25"/>
    <row r="94" s="223" customFormat="1" ht="12.75" customHeight="1" x14ac:dyDescent="0.25"/>
    <row r="95" s="223" customFormat="1" ht="12.75" customHeight="1" x14ac:dyDescent="0.25"/>
    <row r="96" s="223" customFormat="1" ht="12.75" customHeight="1" x14ac:dyDescent="0.25"/>
    <row r="97" s="223" customFormat="1" ht="12.75" customHeight="1" x14ac:dyDescent="0.25"/>
    <row r="98" s="223" customFormat="1" ht="12.75" customHeight="1" x14ac:dyDescent="0.25"/>
    <row r="99" s="223" customFormat="1" ht="12.75" customHeight="1" x14ac:dyDescent="0.25"/>
    <row r="100" s="223" customFormat="1" ht="12.75" customHeight="1" x14ac:dyDescent="0.25"/>
    <row r="101" s="223" customFormat="1" ht="12.75" customHeight="1" x14ac:dyDescent="0.25"/>
    <row r="102" s="223" customFormat="1" ht="12.75" customHeight="1" x14ac:dyDescent="0.25"/>
    <row r="103" s="223" customFormat="1" ht="12.75" customHeight="1" x14ac:dyDescent="0.25"/>
    <row r="104" s="223" customFormat="1" ht="12.75" customHeight="1" x14ac:dyDescent="0.25"/>
    <row r="105" s="223" customFormat="1" ht="12.75" customHeight="1" x14ac:dyDescent="0.25"/>
    <row r="106" s="223" customFormat="1" ht="12.75" customHeight="1" x14ac:dyDescent="0.25"/>
    <row r="107" s="223" customFormat="1" ht="12.75" customHeight="1" x14ac:dyDescent="0.25"/>
    <row r="108" s="223"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4E2CC-3240-4C80-9F27-6917AF9AD0D4}">
  <sheetPr>
    <pageSetUpPr fitToPage="1"/>
  </sheetPr>
  <dimension ref="A1:I25"/>
  <sheetViews>
    <sheetView topLeftCell="A4" zoomScaleNormal="100" workbookViewId="0">
      <selection activeCell="F31" sqref="F3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#9498.00'!B1</f>
        <v>DAS TH Parking Lot Retaining Wall Repairs</v>
      </c>
      <c r="B1" s="3"/>
      <c r="C1" s="4"/>
      <c r="D1" s="4"/>
      <c r="E1" s="4"/>
      <c r="F1" s="28"/>
      <c r="G1" s="28"/>
      <c r="H1" s="29"/>
      <c r="I1" s="29"/>
    </row>
    <row r="2" spans="1:9" ht="15.75" x14ac:dyDescent="0.25">
      <c r="A2" s="6" t="str">
        <f>'RECAP #9498.00'!B2</f>
        <v>Project # 9498.00</v>
      </c>
      <c r="B2" s="5"/>
      <c r="C2" s="4"/>
      <c r="D2" s="4"/>
      <c r="E2" s="4"/>
      <c r="F2" s="28"/>
      <c r="G2" s="28"/>
      <c r="H2" s="29"/>
      <c r="I2" s="29"/>
    </row>
    <row r="3" spans="1:9" ht="15.75" x14ac:dyDescent="0.25">
      <c r="A3" s="7" t="str">
        <f>'RECAP #9498.00'!B3</f>
        <v>Program code 949800</v>
      </c>
      <c r="B3" s="5"/>
      <c r="C3" s="4"/>
      <c r="D3" s="8" t="str">
        <f>'RECAP #9498.00'!E3</f>
        <v>Major Program 4D04</v>
      </c>
      <c r="E3" s="4"/>
      <c r="F3" s="28"/>
      <c r="G3" s="28"/>
      <c r="H3" s="29"/>
      <c r="I3" s="29"/>
    </row>
    <row r="4" spans="1:9" ht="15.75" x14ac:dyDescent="0.25">
      <c r="A4" s="30" t="s">
        <v>114</v>
      </c>
      <c r="B4" s="31"/>
      <c r="C4" s="32"/>
      <c r="D4" s="33" t="s">
        <v>116</v>
      </c>
      <c r="E4" s="28"/>
      <c r="F4" s="28"/>
      <c r="G4" s="28"/>
      <c r="H4" s="29"/>
      <c r="I4" s="29"/>
    </row>
    <row r="5" spans="1:9" ht="15.75" x14ac:dyDescent="0.25">
      <c r="A5" s="34" t="s">
        <v>115</v>
      </c>
      <c r="B5" s="35"/>
      <c r="C5" s="36"/>
      <c r="D5" s="37" t="s">
        <v>340</v>
      </c>
      <c r="E5" s="38"/>
      <c r="F5" s="39"/>
      <c r="G5" s="39"/>
      <c r="H5" s="35"/>
      <c r="I5" s="29"/>
    </row>
    <row r="6" spans="1:9" ht="15.75" x14ac:dyDescent="0.25">
      <c r="A6" s="11" t="str">
        <f>'RECAP #9498.00'!B6</f>
        <v>Project Manager - James T.</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341</v>
      </c>
      <c r="B9" s="177">
        <v>45994</v>
      </c>
      <c r="C9" s="231" t="s">
        <v>109</v>
      </c>
      <c r="D9" s="232">
        <v>27466</v>
      </c>
      <c r="E9" s="233">
        <f>D9</f>
        <v>27466</v>
      </c>
      <c r="F9" s="234"/>
      <c r="G9" s="234"/>
      <c r="H9" s="234">
        <f>E9</f>
        <v>27466</v>
      </c>
      <c r="I9" s="235"/>
    </row>
    <row r="10" spans="1:9" s="223" customFormat="1" ht="12.75" customHeight="1" x14ac:dyDescent="0.25">
      <c r="A10" s="230" t="s">
        <v>582</v>
      </c>
      <c r="B10" s="236">
        <v>46073</v>
      </c>
      <c r="C10" s="231" t="s">
        <v>583</v>
      </c>
      <c r="D10" s="233"/>
      <c r="E10" s="233">
        <f t="shared" ref="E10:E21" si="0">E9+D10</f>
        <v>27466</v>
      </c>
      <c r="F10" s="237">
        <v>1084.71</v>
      </c>
      <c r="G10" s="234">
        <f t="shared" ref="G10:G21" si="1">G9+F10</f>
        <v>1084.71</v>
      </c>
      <c r="H10" s="234">
        <f t="shared" ref="H10:H21" si="2">H9-F10+D10</f>
        <v>26381.29</v>
      </c>
      <c r="I10" s="235"/>
    </row>
    <row r="11" spans="1:9" s="223" customFormat="1" ht="12.75" customHeight="1" x14ac:dyDescent="0.25">
      <c r="A11" s="230" t="s">
        <v>734</v>
      </c>
      <c r="B11" s="177">
        <v>46115</v>
      </c>
      <c r="C11" s="231" t="s">
        <v>735</v>
      </c>
      <c r="D11" s="233"/>
      <c r="E11" s="233">
        <f t="shared" si="0"/>
        <v>27466</v>
      </c>
      <c r="F11" s="237">
        <v>9176.4</v>
      </c>
      <c r="G11" s="234">
        <f t="shared" si="1"/>
        <v>10261.11</v>
      </c>
      <c r="H11" s="234">
        <f t="shared" si="2"/>
        <v>17204.89</v>
      </c>
      <c r="I11" s="235"/>
    </row>
    <row r="12" spans="1:9" s="223" customFormat="1" ht="12.75" customHeight="1" x14ac:dyDescent="0.25">
      <c r="A12" s="230" t="s">
        <v>980</v>
      </c>
      <c r="B12" s="177">
        <v>46181</v>
      </c>
      <c r="C12" s="231" t="s">
        <v>981</v>
      </c>
      <c r="D12" s="233"/>
      <c r="E12" s="233">
        <f t="shared" si="0"/>
        <v>27466</v>
      </c>
      <c r="F12" s="237">
        <v>3071.75</v>
      </c>
      <c r="G12" s="234">
        <f t="shared" si="1"/>
        <v>13332.86</v>
      </c>
      <c r="H12" s="234">
        <f t="shared" si="2"/>
        <v>14133.14</v>
      </c>
      <c r="I12" s="235"/>
    </row>
    <row r="13" spans="1:9" s="223" customFormat="1" ht="12.75" customHeight="1" x14ac:dyDescent="0.25">
      <c r="A13" s="328" t="s">
        <v>1173</v>
      </c>
      <c r="B13" s="329">
        <v>46210</v>
      </c>
      <c r="C13" s="330" t="s">
        <v>1174</v>
      </c>
      <c r="D13" s="331"/>
      <c r="E13" s="331">
        <f t="shared" si="0"/>
        <v>27466</v>
      </c>
      <c r="F13" s="338">
        <v>3105.05</v>
      </c>
      <c r="G13" s="332">
        <f t="shared" si="1"/>
        <v>16437.91</v>
      </c>
      <c r="H13" s="332">
        <f t="shared" si="2"/>
        <v>11028.09</v>
      </c>
      <c r="I13" s="333" t="s">
        <v>1285</v>
      </c>
    </row>
    <row r="14" spans="1:9" s="223" customFormat="1" ht="12.75" customHeight="1" x14ac:dyDescent="0.25">
      <c r="A14" s="230" t="s">
        <v>1306</v>
      </c>
      <c r="B14" s="177">
        <v>46225</v>
      </c>
      <c r="C14" s="231" t="s">
        <v>1286</v>
      </c>
      <c r="D14" s="232">
        <v>0</v>
      </c>
      <c r="E14" s="233">
        <f t="shared" si="0"/>
        <v>27466</v>
      </c>
      <c r="F14" s="234"/>
      <c r="G14" s="234">
        <f t="shared" si="1"/>
        <v>16437.91</v>
      </c>
      <c r="H14" s="234">
        <f t="shared" si="2"/>
        <v>11028.09</v>
      </c>
      <c r="I14" s="235"/>
    </row>
    <row r="15" spans="1:9" s="223" customFormat="1" ht="12.75" customHeight="1" x14ac:dyDescent="0.25">
      <c r="A15" s="230" t="s">
        <v>1429</v>
      </c>
      <c r="B15" s="177">
        <v>46246</v>
      </c>
      <c r="C15" s="231" t="s">
        <v>1430</v>
      </c>
      <c r="D15" s="233"/>
      <c r="E15" s="233">
        <f t="shared" si="0"/>
        <v>27466</v>
      </c>
      <c r="F15" s="237">
        <v>1640</v>
      </c>
      <c r="G15" s="234">
        <f t="shared" si="1"/>
        <v>18077.91</v>
      </c>
      <c r="H15" s="234">
        <f t="shared" si="2"/>
        <v>9388.09</v>
      </c>
      <c r="I15" s="235"/>
    </row>
    <row r="16" spans="1:9" s="223" customFormat="1" ht="12.75" customHeight="1" x14ac:dyDescent="0.25">
      <c r="A16" s="230"/>
      <c r="B16" s="177"/>
      <c r="C16" s="231"/>
      <c r="D16" s="233"/>
      <c r="E16" s="233">
        <f t="shared" si="0"/>
        <v>27466</v>
      </c>
      <c r="F16" s="238"/>
      <c r="G16" s="234">
        <f t="shared" si="1"/>
        <v>18077.91</v>
      </c>
      <c r="H16" s="234">
        <f t="shared" si="2"/>
        <v>9388.09</v>
      </c>
      <c r="I16" s="235"/>
    </row>
    <row r="17" spans="1:9" s="223" customFormat="1" ht="12.75" customHeight="1" x14ac:dyDescent="0.25">
      <c r="A17" s="230"/>
      <c r="B17" s="177"/>
      <c r="C17" s="231"/>
      <c r="D17" s="233"/>
      <c r="E17" s="233">
        <f t="shared" si="0"/>
        <v>27466</v>
      </c>
      <c r="F17" s="238"/>
      <c r="G17" s="234">
        <f t="shared" si="1"/>
        <v>18077.91</v>
      </c>
      <c r="H17" s="234">
        <f t="shared" si="2"/>
        <v>9388.09</v>
      </c>
      <c r="I17" s="235"/>
    </row>
    <row r="18" spans="1:9" s="223" customFormat="1" ht="12.75" customHeight="1" x14ac:dyDescent="0.25">
      <c r="A18" s="230"/>
      <c r="B18" s="177"/>
      <c r="C18" s="231"/>
      <c r="D18" s="233"/>
      <c r="E18" s="233">
        <f t="shared" si="0"/>
        <v>27466</v>
      </c>
      <c r="F18" s="238"/>
      <c r="G18" s="234">
        <f t="shared" si="1"/>
        <v>18077.91</v>
      </c>
      <c r="H18" s="234">
        <f t="shared" si="2"/>
        <v>9388.09</v>
      </c>
      <c r="I18" s="235"/>
    </row>
    <row r="19" spans="1:9" s="223" customFormat="1" ht="12.75" customHeight="1" x14ac:dyDescent="0.25">
      <c r="A19" s="230"/>
      <c r="B19" s="177"/>
      <c r="C19" s="231"/>
      <c r="D19" s="233"/>
      <c r="E19" s="233">
        <f t="shared" si="0"/>
        <v>27466</v>
      </c>
      <c r="F19" s="234"/>
      <c r="G19" s="234">
        <f t="shared" si="1"/>
        <v>18077.91</v>
      </c>
      <c r="H19" s="234">
        <f t="shared" si="2"/>
        <v>9388.09</v>
      </c>
      <c r="I19" s="235"/>
    </row>
    <row r="20" spans="1:9" s="223" customFormat="1" ht="12.75" customHeight="1" x14ac:dyDescent="0.25">
      <c r="A20" s="230"/>
      <c r="B20" s="177"/>
      <c r="C20" s="231"/>
      <c r="D20" s="233"/>
      <c r="E20" s="233">
        <f t="shared" si="0"/>
        <v>27466</v>
      </c>
      <c r="F20" s="234"/>
      <c r="G20" s="234">
        <f t="shared" si="1"/>
        <v>18077.91</v>
      </c>
      <c r="H20" s="234">
        <f t="shared" si="2"/>
        <v>9388.09</v>
      </c>
      <c r="I20" s="235"/>
    </row>
    <row r="21" spans="1:9" s="223" customFormat="1" ht="12.75" customHeight="1" x14ac:dyDescent="0.25">
      <c r="A21" s="230"/>
      <c r="B21" s="177"/>
      <c r="C21" s="239"/>
      <c r="D21" s="233"/>
      <c r="E21" s="233">
        <f t="shared" si="0"/>
        <v>27466</v>
      </c>
      <c r="F21" s="234"/>
      <c r="G21" s="234">
        <f t="shared" si="1"/>
        <v>18077.91</v>
      </c>
      <c r="H21" s="234">
        <f t="shared" si="2"/>
        <v>9388.09</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27466</v>
      </c>
      <c r="E23" s="245"/>
      <c r="F23" s="245">
        <f>SUM(F9:F22)</f>
        <v>18077.91</v>
      </c>
      <c r="G23" s="245"/>
      <c r="H23" s="245">
        <f>D23-F23</f>
        <v>9388.09</v>
      </c>
      <c r="I23" s="235"/>
    </row>
    <row r="24" spans="1:9" s="223" customFormat="1" ht="12.75" customHeight="1" thickTop="1" x14ac:dyDescent="0.25"/>
    <row r="25" spans="1:9" s="223" customFormat="1" ht="12.75" customHeight="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28E6B-1F3F-4FDF-B970-8E3EEC82EE67}">
  <sheetPr>
    <pageSetUpPr fitToPage="1"/>
  </sheetPr>
  <dimension ref="A1:I25"/>
  <sheetViews>
    <sheetView zoomScaleNormal="100" workbookViewId="0">
      <selection activeCell="H23" sqref="H2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#9498.00'!B1</f>
        <v>DAS TH Parking Lot Retaining Wall Repairs</v>
      </c>
      <c r="B1" s="3"/>
      <c r="C1" s="4"/>
      <c r="D1" s="4"/>
      <c r="E1" s="4"/>
      <c r="F1" s="28"/>
      <c r="G1" s="28"/>
      <c r="H1" s="29"/>
      <c r="I1" s="29"/>
    </row>
    <row r="2" spans="1:9" ht="15.75" x14ac:dyDescent="0.25">
      <c r="A2" s="6" t="str">
        <f>'RECAP #9498.00'!B2</f>
        <v>Project # 9498.00</v>
      </c>
      <c r="B2" s="5"/>
      <c r="C2" s="4"/>
      <c r="D2" s="4"/>
      <c r="E2" s="4"/>
      <c r="F2" s="28"/>
      <c r="G2" s="28"/>
      <c r="H2" s="29"/>
      <c r="I2" s="29"/>
    </row>
    <row r="3" spans="1:9" ht="15.75" x14ac:dyDescent="0.25">
      <c r="A3" s="7" t="str">
        <f>'RECAP #9498.00'!B3</f>
        <v>Program code 949800</v>
      </c>
      <c r="B3" s="5"/>
      <c r="C3" s="4"/>
      <c r="D3" s="8" t="str">
        <f>'RECAP #9498.00'!E3</f>
        <v>Major Program 4D04</v>
      </c>
      <c r="E3" s="4"/>
      <c r="F3" s="28"/>
      <c r="G3" s="28"/>
      <c r="H3" s="29"/>
      <c r="I3" s="29"/>
    </row>
    <row r="4" spans="1:9" ht="15.75" x14ac:dyDescent="0.25">
      <c r="A4" s="30" t="s">
        <v>1433</v>
      </c>
      <c r="B4" s="31"/>
      <c r="C4" s="32"/>
      <c r="D4" s="33" t="s">
        <v>1434</v>
      </c>
      <c r="E4" s="28"/>
      <c r="F4" s="28"/>
      <c r="G4" s="28"/>
      <c r="H4" s="29"/>
      <c r="I4" s="29"/>
    </row>
    <row r="5" spans="1:9" ht="15.75" x14ac:dyDescent="0.25">
      <c r="A5" s="34" t="s">
        <v>104</v>
      </c>
      <c r="B5" s="35"/>
      <c r="C5" s="36"/>
      <c r="D5" s="37" t="s">
        <v>276</v>
      </c>
      <c r="E5" s="38"/>
      <c r="F5" s="39"/>
      <c r="G5" s="39"/>
      <c r="H5" s="35"/>
      <c r="I5" s="29"/>
    </row>
    <row r="6" spans="1:9" ht="15.75" x14ac:dyDescent="0.25">
      <c r="A6" s="11" t="str">
        <f>'RECAP #9498.00'!B6</f>
        <v>Project Manager - James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1435</v>
      </c>
      <c r="B9" s="177">
        <v>46247</v>
      </c>
      <c r="C9" s="231" t="s">
        <v>109</v>
      </c>
      <c r="D9" s="232">
        <v>4630</v>
      </c>
      <c r="E9" s="233">
        <f>D9</f>
        <v>4630</v>
      </c>
      <c r="F9" s="234"/>
      <c r="G9" s="234"/>
      <c r="H9" s="234">
        <f>E9</f>
        <v>4630</v>
      </c>
      <c r="I9" s="235"/>
    </row>
    <row r="10" spans="1:9" s="223" customFormat="1" ht="12.75" customHeight="1" x14ac:dyDescent="0.25">
      <c r="A10" s="230"/>
      <c r="B10" s="236"/>
      <c r="C10" s="231"/>
      <c r="D10" s="233"/>
      <c r="E10" s="233">
        <f t="shared" ref="E10:E21" si="0">E9+D10</f>
        <v>4630</v>
      </c>
      <c r="F10" s="237"/>
      <c r="G10" s="234">
        <f t="shared" ref="G10:G21" si="1">G9+F10</f>
        <v>0</v>
      </c>
      <c r="H10" s="234">
        <f t="shared" ref="H10:H21" si="2">H9-F10+D10</f>
        <v>4630</v>
      </c>
      <c r="I10" s="235"/>
    </row>
    <row r="11" spans="1:9" s="223" customFormat="1" ht="12.75" customHeight="1" x14ac:dyDescent="0.25">
      <c r="A11" s="230"/>
      <c r="B11" s="177"/>
      <c r="C11" s="231"/>
      <c r="D11" s="233"/>
      <c r="E11" s="233">
        <f t="shared" si="0"/>
        <v>4630</v>
      </c>
      <c r="F11" s="237"/>
      <c r="G11" s="234">
        <f t="shared" si="1"/>
        <v>0</v>
      </c>
      <c r="H11" s="234">
        <f t="shared" si="2"/>
        <v>4630</v>
      </c>
      <c r="I11" s="235"/>
    </row>
    <row r="12" spans="1:9" s="223" customFormat="1" ht="12.75" customHeight="1" x14ac:dyDescent="0.25">
      <c r="A12" s="230"/>
      <c r="B12" s="177"/>
      <c r="C12" s="231"/>
      <c r="D12" s="233"/>
      <c r="E12" s="233">
        <f t="shared" si="0"/>
        <v>4630</v>
      </c>
      <c r="F12" s="237"/>
      <c r="G12" s="234">
        <f t="shared" si="1"/>
        <v>0</v>
      </c>
      <c r="H12" s="234">
        <f t="shared" si="2"/>
        <v>4630</v>
      </c>
      <c r="I12" s="235"/>
    </row>
    <row r="13" spans="1:9" s="223" customFormat="1" ht="12.75" customHeight="1" x14ac:dyDescent="0.25">
      <c r="A13" s="230"/>
      <c r="B13" s="177"/>
      <c r="C13" s="231"/>
      <c r="D13" s="233"/>
      <c r="E13" s="233">
        <f t="shared" si="0"/>
        <v>4630</v>
      </c>
      <c r="F13" s="237"/>
      <c r="G13" s="234">
        <f t="shared" si="1"/>
        <v>0</v>
      </c>
      <c r="H13" s="234">
        <f t="shared" si="2"/>
        <v>4630</v>
      </c>
      <c r="I13" s="298"/>
    </row>
    <row r="14" spans="1:9" s="223" customFormat="1" ht="12.75" customHeight="1" x14ac:dyDescent="0.25">
      <c r="A14" s="230"/>
      <c r="B14" s="177"/>
      <c r="C14" s="231"/>
      <c r="D14" s="232"/>
      <c r="E14" s="233">
        <f t="shared" si="0"/>
        <v>4630</v>
      </c>
      <c r="F14" s="234"/>
      <c r="G14" s="234">
        <f t="shared" si="1"/>
        <v>0</v>
      </c>
      <c r="H14" s="234">
        <f t="shared" si="2"/>
        <v>4630</v>
      </c>
      <c r="I14" s="235"/>
    </row>
    <row r="15" spans="1:9" s="223" customFormat="1" ht="12.75" customHeight="1" x14ac:dyDescent="0.25">
      <c r="A15" s="230"/>
      <c r="B15" s="177"/>
      <c r="C15" s="231"/>
      <c r="D15" s="233"/>
      <c r="E15" s="233">
        <f t="shared" si="0"/>
        <v>4630</v>
      </c>
      <c r="F15" s="238"/>
      <c r="G15" s="234">
        <f t="shared" si="1"/>
        <v>0</v>
      </c>
      <c r="H15" s="234">
        <f t="shared" si="2"/>
        <v>4630</v>
      </c>
      <c r="I15" s="235"/>
    </row>
    <row r="16" spans="1:9" s="223" customFormat="1" ht="12.75" customHeight="1" x14ac:dyDescent="0.25">
      <c r="A16" s="230"/>
      <c r="B16" s="177"/>
      <c r="C16" s="231"/>
      <c r="D16" s="233"/>
      <c r="E16" s="233">
        <f t="shared" si="0"/>
        <v>4630</v>
      </c>
      <c r="F16" s="238"/>
      <c r="G16" s="234">
        <f t="shared" si="1"/>
        <v>0</v>
      </c>
      <c r="H16" s="234">
        <f t="shared" si="2"/>
        <v>4630</v>
      </c>
      <c r="I16" s="235"/>
    </row>
    <row r="17" spans="1:9" s="223" customFormat="1" ht="12.75" customHeight="1" x14ac:dyDescent="0.25">
      <c r="A17" s="230"/>
      <c r="B17" s="177"/>
      <c r="C17" s="231"/>
      <c r="D17" s="233"/>
      <c r="E17" s="233">
        <f t="shared" si="0"/>
        <v>4630</v>
      </c>
      <c r="F17" s="238"/>
      <c r="G17" s="234">
        <f t="shared" si="1"/>
        <v>0</v>
      </c>
      <c r="H17" s="234">
        <f t="shared" si="2"/>
        <v>4630</v>
      </c>
      <c r="I17" s="235"/>
    </row>
    <row r="18" spans="1:9" s="223" customFormat="1" ht="12.75" customHeight="1" x14ac:dyDescent="0.25">
      <c r="A18" s="230"/>
      <c r="B18" s="177"/>
      <c r="C18" s="231"/>
      <c r="D18" s="233"/>
      <c r="E18" s="233">
        <f t="shared" si="0"/>
        <v>4630</v>
      </c>
      <c r="F18" s="238"/>
      <c r="G18" s="234">
        <f t="shared" si="1"/>
        <v>0</v>
      </c>
      <c r="H18" s="234">
        <f t="shared" si="2"/>
        <v>4630</v>
      </c>
      <c r="I18" s="235"/>
    </row>
    <row r="19" spans="1:9" s="223" customFormat="1" ht="12.75" customHeight="1" x14ac:dyDescent="0.25">
      <c r="A19" s="230"/>
      <c r="B19" s="177"/>
      <c r="C19" s="231"/>
      <c r="D19" s="233"/>
      <c r="E19" s="233">
        <f t="shared" si="0"/>
        <v>4630</v>
      </c>
      <c r="F19" s="234"/>
      <c r="G19" s="234">
        <f t="shared" si="1"/>
        <v>0</v>
      </c>
      <c r="H19" s="234">
        <f t="shared" si="2"/>
        <v>4630</v>
      </c>
      <c r="I19" s="235"/>
    </row>
    <row r="20" spans="1:9" s="223" customFormat="1" ht="12.75" customHeight="1" x14ac:dyDescent="0.25">
      <c r="A20" s="230"/>
      <c r="B20" s="177"/>
      <c r="C20" s="231"/>
      <c r="D20" s="233"/>
      <c r="E20" s="233">
        <f t="shared" si="0"/>
        <v>4630</v>
      </c>
      <c r="F20" s="234"/>
      <c r="G20" s="234">
        <f t="shared" si="1"/>
        <v>0</v>
      </c>
      <c r="H20" s="234">
        <f t="shared" si="2"/>
        <v>4630</v>
      </c>
      <c r="I20" s="235"/>
    </row>
    <row r="21" spans="1:9" s="223" customFormat="1" ht="12.75" customHeight="1" x14ac:dyDescent="0.25">
      <c r="A21" s="230"/>
      <c r="B21" s="177"/>
      <c r="C21" s="239"/>
      <c r="D21" s="233"/>
      <c r="E21" s="233">
        <f t="shared" si="0"/>
        <v>4630</v>
      </c>
      <c r="F21" s="234"/>
      <c r="G21" s="234">
        <f t="shared" si="1"/>
        <v>0</v>
      </c>
      <c r="H21" s="234">
        <f t="shared" si="2"/>
        <v>4630</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4630</v>
      </c>
      <c r="E23" s="245"/>
      <c r="F23" s="245">
        <f>SUM(F9:F22)</f>
        <v>0</v>
      </c>
      <c r="G23" s="245"/>
      <c r="H23" s="245">
        <f>D23-F23</f>
        <v>4630</v>
      </c>
      <c r="I23" s="235"/>
    </row>
    <row r="24" spans="1:9" s="223" customFormat="1" ht="12.75" customHeight="1" thickTop="1" x14ac:dyDescent="0.25"/>
    <row r="25" spans="1:9" s="223" customFormat="1" ht="12.75" customHeight="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FD2F8-188A-4089-86EF-3FA6BEDE16F5}">
  <sheetPr>
    <pageSetUpPr fitToPage="1"/>
  </sheetPr>
  <dimension ref="A1:I28"/>
  <sheetViews>
    <sheetView zoomScaleNormal="100" workbookViewId="0">
      <selection activeCell="F10" sqref="F10"/>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2.140625" customWidth="1"/>
    <col min="8" max="8" width="12.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#9498.00'!B1</f>
        <v>DAS TH Parking Lot Retaining Wall Repairs</v>
      </c>
      <c r="B1" s="3"/>
      <c r="C1" s="4"/>
      <c r="D1" s="4"/>
      <c r="E1" s="4"/>
      <c r="F1" s="28"/>
      <c r="G1" s="28"/>
      <c r="H1" s="29"/>
      <c r="I1" s="29"/>
    </row>
    <row r="2" spans="1:9" ht="15.75" x14ac:dyDescent="0.25">
      <c r="A2" s="6" t="str">
        <f>'RECAP #9498.00'!B2</f>
        <v>Project # 9498.00</v>
      </c>
      <c r="B2" s="5"/>
      <c r="C2" s="4"/>
      <c r="D2" s="4"/>
      <c r="E2" s="4"/>
      <c r="F2" s="28"/>
      <c r="G2" s="28"/>
      <c r="H2" s="29"/>
      <c r="I2" s="29"/>
    </row>
    <row r="3" spans="1:9" ht="15.75" x14ac:dyDescent="0.25">
      <c r="A3" s="7" t="str">
        <f>'RECAP #9498.00'!B3</f>
        <v>Program code 949800</v>
      </c>
      <c r="B3" s="5"/>
      <c r="C3" s="4"/>
      <c r="D3" s="8" t="str">
        <f>'RECAP #9498.00'!E3</f>
        <v>Major Program 4D04</v>
      </c>
      <c r="E3" s="4"/>
      <c r="F3" s="28"/>
      <c r="G3" s="28"/>
      <c r="H3" s="29"/>
      <c r="I3" s="29"/>
    </row>
    <row r="4" spans="1:9" ht="15.75" x14ac:dyDescent="0.25">
      <c r="A4" s="30" t="s">
        <v>893</v>
      </c>
      <c r="B4" s="31"/>
      <c r="C4" s="32"/>
      <c r="D4" s="33" t="s">
        <v>105</v>
      </c>
      <c r="E4" s="28"/>
      <c r="F4" s="28"/>
      <c r="G4" s="28"/>
      <c r="H4" s="29"/>
      <c r="I4" s="29"/>
    </row>
    <row r="5" spans="1:9" ht="15.75" x14ac:dyDescent="0.25">
      <c r="A5" s="34" t="s">
        <v>104</v>
      </c>
      <c r="B5" s="35"/>
      <c r="C5" s="36"/>
      <c r="D5" s="37" t="s">
        <v>302</v>
      </c>
      <c r="E5" s="38"/>
      <c r="F5" s="39"/>
      <c r="G5" s="39"/>
      <c r="H5" s="35"/>
      <c r="I5" s="29"/>
    </row>
    <row r="6" spans="1:9" ht="15.75" x14ac:dyDescent="0.25">
      <c r="A6" s="11" t="str">
        <f>'RECAP #9498.00'!B6</f>
        <v>Project Manager - James T.</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1455</v>
      </c>
      <c r="B9" s="177">
        <v>46251</v>
      </c>
      <c r="C9" s="231" t="s">
        <v>109</v>
      </c>
      <c r="D9" s="232">
        <v>46632.54</v>
      </c>
      <c r="E9" s="233">
        <f>D9</f>
        <v>46632.54</v>
      </c>
      <c r="F9" s="234"/>
      <c r="G9" s="234"/>
      <c r="H9" s="234">
        <f>E9</f>
        <v>46632.54</v>
      </c>
      <c r="I9" s="235"/>
    </row>
    <row r="10" spans="1:9" s="223" customFormat="1" ht="12.75" customHeight="1" x14ac:dyDescent="0.25">
      <c r="A10" s="230" t="s">
        <v>1534</v>
      </c>
      <c r="B10" s="236">
        <v>46274</v>
      </c>
      <c r="C10" s="231" t="s">
        <v>1535</v>
      </c>
      <c r="D10" s="233"/>
      <c r="E10" s="233">
        <f t="shared" ref="E10:E21" si="0">E9+D10</f>
        <v>46632.54</v>
      </c>
      <c r="F10" s="237">
        <v>3291.65</v>
      </c>
      <c r="G10" s="234">
        <f t="shared" ref="G10:G21" si="1">G9+F10</f>
        <v>3291.65</v>
      </c>
      <c r="H10" s="234">
        <f t="shared" ref="H10:H21" si="2">H9-F10+D10</f>
        <v>43340.89</v>
      </c>
      <c r="I10" s="235"/>
    </row>
    <row r="11" spans="1:9" s="223" customFormat="1" ht="12.75" customHeight="1" x14ac:dyDescent="0.25">
      <c r="A11" s="230"/>
      <c r="B11" s="177"/>
      <c r="C11" s="231"/>
      <c r="D11" s="233"/>
      <c r="E11" s="233">
        <f t="shared" si="0"/>
        <v>46632.54</v>
      </c>
      <c r="F11" s="237"/>
      <c r="G11" s="234">
        <f t="shared" si="1"/>
        <v>3291.65</v>
      </c>
      <c r="H11" s="234">
        <f t="shared" si="2"/>
        <v>43340.89</v>
      </c>
      <c r="I11" s="235"/>
    </row>
    <row r="12" spans="1:9" s="223" customFormat="1" ht="12.75" customHeight="1" x14ac:dyDescent="0.25">
      <c r="A12" s="230"/>
      <c r="B12" s="177"/>
      <c r="C12" s="231"/>
      <c r="D12" s="233"/>
      <c r="E12" s="233">
        <f t="shared" si="0"/>
        <v>46632.54</v>
      </c>
      <c r="F12" s="237"/>
      <c r="G12" s="234">
        <f t="shared" si="1"/>
        <v>3291.65</v>
      </c>
      <c r="H12" s="234">
        <f t="shared" si="2"/>
        <v>43340.89</v>
      </c>
      <c r="I12" s="235"/>
    </row>
    <row r="13" spans="1:9" s="223" customFormat="1" ht="12.75" customHeight="1" x14ac:dyDescent="0.25">
      <c r="A13" s="230"/>
      <c r="B13" s="177"/>
      <c r="C13" s="231"/>
      <c r="D13" s="233"/>
      <c r="E13" s="233">
        <f t="shared" si="0"/>
        <v>46632.54</v>
      </c>
      <c r="F13" s="237"/>
      <c r="G13" s="234">
        <f t="shared" si="1"/>
        <v>3291.65</v>
      </c>
      <c r="H13" s="234">
        <f t="shared" si="2"/>
        <v>43340.89</v>
      </c>
      <c r="I13" s="298"/>
    </row>
    <row r="14" spans="1:9" s="223" customFormat="1" ht="12.75" customHeight="1" x14ac:dyDescent="0.25">
      <c r="A14" s="230"/>
      <c r="B14" s="177"/>
      <c r="C14" s="231"/>
      <c r="D14" s="232"/>
      <c r="E14" s="233">
        <f t="shared" si="0"/>
        <v>46632.54</v>
      </c>
      <c r="F14" s="234"/>
      <c r="G14" s="234">
        <f t="shared" si="1"/>
        <v>3291.65</v>
      </c>
      <c r="H14" s="234">
        <f t="shared" si="2"/>
        <v>43340.89</v>
      </c>
      <c r="I14" s="235"/>
    </row>
    <row r="15" spans="1:9" s="223" customFormat="1" ht="12.75" customHeight="1" x14ac:dyDescent="0.25">
      <c r="A15" s="230"/>
      <c r="B15" s="177"/>
      <c r="C15" s="231"/>
      <c r="D15" s="233"/>
      <c r="E15" s="233">
        <f t="shared" si="0"/>
        <v>46632.54</v>
      </c>
      <c r="F15" s="238"/>
      <c r="G15" s="234">
        <f t="shared" si="1"/>
        <v>3291.65</v>
      </c>
      <c r="H15" s="234">
        <f t="shared" si="2"/>
        <v>43340.89</v>
      </c>
      <c r="I15" s="235"/>
    </row>
    <row r="16" spans="1:9" s="223" customFormat="1" ht="12.75" customHeight="1" x14ac:dyDescent="0.25">
      <c r="A16" s="230"/>
      <c r="B16" s="177"/>
      <c r="C16" s="231"/>
      <c r="D16" s="233"/>
      <c r="E16" s="233">
        <f t="shared" si="0"/>
        <v>46632.54</v>
      </c>
      <c r="F16" s="238"/>
      <c r="G16" s="234">
        <f t="shared" si="1"/>
        <v>3291.65</v>
      </c>
      <c r="H16" s="234">
        <f t="shared" si="2"/>
        <v>43340.89</v>
      </c>
      <c r="I16" s="235"/>
    </row>
    <row r="17" spans="1:9" s="223" customFormat="1" ht="12.75" customHeight="1" x14ac:dyDescent="0.25">
      <c r="A17" s="230"/>
      <c r="B17" s="177"/>
      <c r="C17" s="231"/>
      <c r="D17" s="233"/>
      <c r="E17" s="233">
        <f t="shared" si="0"/>
        <v>46632.54</v>
      </c>
      <c r="F17" s="238"/>
      <c r="G17" s="234">
        <f t="shared" si="1"/>
        <v>3291.65</v>
      </c>
      <c r="H17" s="234">
        <f t="shared" si="2"/>
        <v>43340.89</v>
      </c>
      <c r="I17" s="235"/>
    </row>
    <row r="18" spans="1:9" s="223" customFormat="1" ht="12.75" customHeight="1" x14ac:dyDescent="0.25">
      <c r="A18" s="230"/>
      <c r="B18" s="177"/>
      <c r="C18" s="231"/>
      <c r="D18" s="233"/>
      <c r="E18" s="233">
        <f t="shared" si="0"/>
        <v>46632.54</v>
      </c>
      <c r="F18" s="238"/>
      <c r="G18" s="234">
        <f t="shared" si="1"/>
        <v>3291.65</v>
      </c>
      <c r="H18" s="234">
        <f t="shared" si="2"/>
        <v>43340.89</v>
      </c>
      <c r="I18" s="235"/>
    </row>
    <row r="19" spans="1:9" s="223" customFormat="1" ht="12.75" customHeight="1" x14ac:dyDescent="0.25">
      <c r="A19" s="230"/>
      <c r="B19" s="177"/>
      <c r="C19" s="231"/>
      <c r="D19" s="233"/>
      <c r="E19" s="233">
        <f t="shared" si="0"/>
        <v>46632.54</v>
      </c>
      <c r="F19" s="234"/>
      <c r="G19" s="234">
        <f t="shared" si="1"/>
        <v>3291.65</v>
      </c>
      <c r="H19" s="234">
        <f t="shared" si="2"/>
        <v>43340.89</v>
      </c>
      <c r="I19" s="235"/>
    </row>
    <row r="20" spans="1:9" s="223" customFormat="1" ht="12.75" customHeight="1" x14ac:dyDescent="0.25">
      <c r="A20" s="230"/>
      <c r="B20" s="177"/>
      <c r="C20" s="231"/>
      <c r="D20" s="233"/>
      <c r="E20" s="233">
        <f t="shared" si="0"/>
        <v>46632.54</v>
      </c>
      <c r="F20" s="234"/>
      <c r="G20" s="234">
        <f t="shared" si="1"/>
        <v>3291.65</v>
      </c>
      <c r="H20" s="234">
        <f t="shared" si="2"/>
        <v>43340.89</v>
      </c>
      <c r="I20" s="235"/>
    </row>
    <row r="21" spans="1:9" s="223" customFormat="1" ht="12.75" customHeight="1" x14ac:dyDescent="0.25">
      <c r="A21" s="230"/>
      <c r="B21" s="177"/>
      <c r="C21" s="239"/>
      <c r="D21" s="233"/>
      <c r="E21" s="233">
        <f t="shared" si="0"/>
        <v>46632.54</v>
      </c>
      <c r="F21" s="234"/>
      <c r="G21" s="234">
        <f t="shared" si="1"/>
        <v>3291.65</v>
      </c>
      <c r="H21" s="234">
        <f t="shared" si="2"/>
        <v>43340.89</v>
      </c>
      <c r="I21" s="235"/>
    </row>
    <row r="23" spans="1:9" ht="15" customHeight="1" thickBot="1" x14ac:dyDescent="0.3">
      <c r="C23" s="244" t="s">
        <v>24</v>
      </c>
      <c r="D23" s="245">
        <f>SUM(D9:D22)</f>
        <v>46632.54</v>
      </c>
      <c r="E23" s="245"/>
      <c r="F23" s="245">
        <f>SUM(F10:F21)</f>
        <v>3291.65</v>
      </c>
      <c r="G23" s="245"/>
      <c r="H23" s="245">
        <f>D23-F23</f>
        <v>43340.89</v>
      </c>
      <c r="I23" s="235"/>
    </row>
    <row r="24" spans="1:9" ht="15" customHeight="1" thickTop="1" x14ac:dyDescent="0.25">
      <c r="H24" s="366"/>
    </row>
    <row r="25" spans="1:9" ht="15" customHeight="1" x14ac:dyDescent="0.25">
      <c r="C25" s="253" t="s">
        <v>110</v>
      </c>
      <c r="D25" s="254">
        <v>41632.54</v>
      </c>
      <c r="E25" s="254"/>
      <c r="F25" s="254">
        <f>3291.65</f>
        <v>3291.65</v>
      </c>
      <c r="G25" s="254"/>
      <c r="H25" s="254">
        <f t="shared" ref="H25:H26" si="3">D25-F25</f>
        <v>38340.89</v>
      </c>
    </row>
    <row r="26" spans="1:9" ht="15" customHeight="1" x14ac:dyDescent="0.25">
      <c r="C26" s="253" t="s">
        <v>111</v>
      </c>
      <c r="D26" s="254">
        <v>5000</v>
      </c>
      <c r="E26" s="254"/>
      <c r="F26" s="254"/>
      <c r="G26" s="254"/>
      <c r="H26" s="254">
        <f t="shared" si="3"/>
        <v>5000</v>
      </c>
    </row>
    <row r="27" spans="1:9" ht="15" customHeight="1" thickBot="1" x14ac:dyDescent="0.3">
      <c r="C27" s="255" t="s">
        <v>67</v>
      </c>
      <c r="D27" s="256">
        <f>SUM(D25:D26)</f>
        <v>46632.54</v>
      </c>
      <c r="E27" s="257"/>
      <c r="F27" s="256">
        <f>SUM(F25:F26)</f>
        <v>3291.65</v>
      </c>
      <c r="G27" s="257"/>
      <c r="H27" s="256">
        <f>D27-F27</f>
        <v>43340.89</v>
      </c>
    </row>
    <row r="28" spans="1:9"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19D06-A88D-4132-9957-411518480E09}">
  <sheetPr>
    <pageSetUpPr fitToPage="1"/>
  </sheetPr>
  <dimension ref="A1:I24"/>
  <sheetViews>
    <sheetView zoomScaleNormal="100" workbookViewId="0">
      <selection activeCell="D5" sqref="D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2.140625" customWidth="1"/>
    <col min="8" max="8" width="12.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#9498.00'!B1</f>
        <v>DAS TH Parking Lot Retaining Wall Repairs</v>
      </c>
      <c r="B1" s="3"/>
      <c r="C1" s="4"/>
      <c r="D1" s="4"/>
      <c r="E1" s="4"/>
      <c r="F1" s="28"/>
      <c r="G1" s="28"/>
      <c r="H1" s="29"/>
      <c r="I1" s="29"/>
    </row>
    <row r="2" spans="1:9" ht="15.75" x14ac:dyDescent="0.25">
      <c r="A2" s="6" t="str">
        <f>'RECAP #9498.00'!B2</f>
        <v>Project # 9498.00</v>
      </c>
      <c r="B2" s="5"/>
      <c r="C2" s="4"/>
      <c r="D2" s="4"/>
      <c r="E2" s="4"/>
      <c r="F2" s="28"/>
      <c r="G2" s="28"/>
      <c r="H2" s="29"/>
      <c r="I2" s="29"/>
    </row>
    <row r="3" spans="1:9" ht="15.75" x14ac:dyDescent="0.25">
      <c r="A3" s="7" t="str">
        <f>'RECAP #9498.00'!B3</f>
        <v>Program code 949800</v>
      </c>
      <c r="B3" s="5"/>
      <c r="C3" s="4"/>
      <c r="D3" s="8" t="str">
        <f>'RECAP #9498.00'!E3</f>
        <v>Major Program 4D04</v>
      </c>
      <c r="E3" s="4"/>
      <c r="F3" s="28"/>
      <c r="G3" s="28"/>
      <c r="H3" s="29"/>
      <c r="I3" s="29"/>
    </row>
    <row r="4" spans="1:9" ht="15.75" x14ac:dyDescent="0.25">
      <c r="A4" s="30" t="s">
        <v>1456</v>
      </c>
      <c r="B4" s="31"/>
      <c r="C4" s="32"/>
      <c r="D4" s="33" t="s">
        <v>1457</v>
      </c>
      <c r="E4" s="28"/>
      <c r="F4" s="28"/>
      <c r="G4" s="28"/>
      <c r="H4" s="29"/>
      <c r="I4" s="29"/>
    </row>
    <row r="5" spans="1:9" ht="15.75" x14ac:dyDescent="0.25">
      <c r="A5" s="34" t="s">
        <v>104</v>
      </c>
      <c r="B5" s="35"/>
      <c r="C5" s="36"/>
      <c r="D5" s="37" t="s">
        <v>1458</v>
      </c>
      <c r="E5" s="38"/>
      <c r="F5" s="39"/>
      <c r="G5" s="39"/>
      <c r="H5" s="35"/>
      <c r="I5" s="29"/>
    </row>
    <row r="6" spans="1:9" ht="15.75" x14ac:dyDescent="0.25">
      <c r="A6" s="11" t="str">
        <f>'RECAP #9498.00'!B6</f>
        <v>Project Manager - James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1459</v>
      </c>
      <c r="B9" s="177">
        <v>46251</v>
      </c>
      <c r="C9" s="231" t="s">
        <v>109</v>
      </c>
      <c r="D9" s="232">
        <v>87870</v>
      </c>
      <c r="E9" s="233">
        <f>D9</f>
        <v>87870</v>
      </c>
      <c r="F9" s="234"/>
      <c r="G9" s="234"/>
      <c r="H9" s="234">
        <f>E9</f>
        <v>87870</v>
      </c>
      <c r="I9" s="235"/>
    </row>
    <row r="10" spans="1:9" s="223" customFormat="1" ht="12.75" customHeight="1" x14ac:dyDescent="0.25">
      <c r="A10" s="230"/>
      <c r="B10" s="236"/>
      <c r="C10" s="231"/>
      <c r="D10" s="233"/>
      <c r="E10" s="233">
        <f t="shared" ref="E10:E21" si="0">E9+D10</f>
        <v>87870</v>
      </c>
      <c r="F10" s="237"/>
      <c r="G10" s="234">
        <f t="shared" ref="G10:G21" si="1">G9+F10</f>
        <v>0</v>
      </c>
      <c r="H10" s="234">
        <f t="shared" ref="H10:H21" si="2">H9-F10+D10</f>
        <v>87870</v>
      </c>
      <c r="I10" s="235"/>
    </row>
    <row r="11" spans="1:9" s="223" customFormat="1" ht="12.75" customHeight="1" x14ac:dyDescent="0.25">
      <c r="A11" s="230"/>
      <c r="B11" s="177"/>
      <c r="C11" s="231"/>
      <c r="D11" s="233"/>
      <c r="E11" s="233">
        <f t="shared" si="0"/>
        <v>87870</v>
      </c>
      <c r="F11" s="237"/>
      <c r="G11" s="234">
        <f t="shared" si="1"/>
        <v>0</v>
      </c>
      <c r="H11" s="234">
        <f t="shared" si="2"/>
        <v>87870</v>
      </c>
      <c r="I11" s="235"/>
    </row>
    <row r="12" spans="1:9" s="223" customFormat="1" ht="12.75" customHeight="1" x14ac:dyDescent="0.25">
      <c r="A12" s="230"/>
      <c r="B12" s="177"/>
      <c r="C12" s="231"/>
      <c r="D12" s="233"/>
      <c r="E12" s="233">
        <f t="shared" si="0"/>
        <v>87870</v>
      </c>
      <c r="F12" s="237"/>
      <c r="G12" s="234">
        <f t="shared" si="1"/>
        <v>0</v>
      </c>
      <c r="H12" s="234">
        <f t="shared" si="2"/>
        <v>87870</v>
      </c>
      <c r="I12" s="235"/>
    </row>
    <row r="13" spans="1:9" s="223" customFormat="1" ht="12.75" customHeight="1" x14ac:dyDescent="0.25">
      <c r="A13" s="230"/>
      <c r="B13" s="177"/>
      <c r="C13" s="231"/>
      <c r="D13" s="233"/>
      <c r="E13" s="233">
        <f t="shared" si="0"/>
        <v>87870</v>
      </c>
      <c r="F13" s="237"/>
      <c r="G13" s="234">
        <f t="shared" si="1"/>
        <v>0</v>
      </c>
      <c r="H13" s="234">
        <f t="shared" si="2"/>
        <v>87870</v>
      </c>
      <c r="I13" s="298"/>
    </row>
    <row r="14" spans="1:9" s="223" customFormat="1" ht="12.75" customHeight="1" x14ac:dyDescent="0.25">
      <c r="A14" s="230"/>
      <c r="B14" s="177"/>
      <c r="C14" s="231"/>
      <c r="D14" s="232"/>
      <c r="E14" s="233">
        <f t="shared" si="0"/>
        <v>87870</v>
      </c>
      <c r="F14" s="234"/>
      <c r="G14" s="234">
        <f t="shared" si="1"/>
        <v>0</v>
      </c>
      <c r="H14" s="234">
        <f t="shared" si="2"/>
        <v>87870</v>
      </c>
      <c r="I14" s="235"/>
    </row>
    <row r="15" spans="1:9" s="223" customFormat="1" ht="12.75" customHeight="1" x14ac:dyDescent="0.25">
      <c r="A15" s="230"/>
      <c r="B15" s="177"/>
      <c r="C15" s="231"/>
      <c r="D15" s="233"/>
      <c r="E15" s="233">
        <f t="shared" si="0"/>
        <v>87870</v>
      </c>
      <c r="F15" s="238"/>
      <c r="G15" s="234">
        <f t="shared" si="1"/>
        <v>0</v>
      </c>
      <c r="H15" s="234">
        <f t="shared" si="2"/>
        <v>87870</v>
      </c>
      <c r="I15" s="235"/>
    </row>
    <row r="16" spans="1:9" s="223" customFormat="1" ht="12.75" customHeight="1" x14ac:dyDescent="0.25">
      <c r="A16" s="230"/>
      <c r="B16" s="177"/>
      <c r="C16" s="231"/>
      <c r="D16" s="233"/>
      <c r="E16" s="233">
        <f t="shared" si="0"/>
        <v>87870</v>
      </c>
      <c r="F16" s="238"/>
      <c r="G16" s="234">
        <f t="shared" si="1"/>
        <v>0</v>
      </c>
      <c r="H16" s="234">
        <f t="shared" si="2"/>
        <v>87870</v>
      </c>
      <c r="I16" s="235"/>
    </row>
    <row r="17" spans="1:9" s="223" customFormat="1" ht="12.75" customHeight="1" x14ac:dyDescent="0.25">
      <c r="A17" s="230"/>
      <c r="B17" s="177"/>
      <c r="C17" s="231"/>
      <c r="D17" s="233"/>
      <c r="E17" s="233">
        <f t="shared" si="0"/>
        <v>87870</v>
      </c>
      <c r="F17" s="238"/>
      <c r="G17" s="234">
        <f t="shared" si="1"/>
        <v>0</v>
      </c>
      <c r="H17" s="234">
        <f t="shared" si="2"/>
        <v>87870</v>
      </c>
      <c r="I17" s="235"/>
    </row>
    <row r="18" spans="1:9" s="223" customFormat="1" ht="12.75" customHeight="1" x14ac:dyDescent="0.25">
      <c r="A18" s="230"/>
      <c r="B18" s="177"/>
      <c r="C18" s="231"/>
      <c r="D18" s="233"/>
      <c r="E18" s="233">
        <f t="shared" si="0"/>
        <v>87870</v>
      </c>
      <c r="F18" s="238"/>
      <c r="G18" s="234">
        <f t="shared" si="1"/>
        <v>0</v>
      </c>
      <c r="H18" s="234">
        <f t="shared" si="2"/>
        <v>87870</v>
      </c>
      <c r="I18" s="235"/>
    </row>
    <row r="19" spans="1:9" s="223" customFormat="1" ht="12.75" customHeight="1" x14ac:dyDescent="0.25">
      <c r="A19" s="230"/>
      <c r="B19" s="177"/>
      <c r="C19" s="231"/>
      <c r="D19" s="233"/>
      <c r="E19" s="233">
        <f t="shared" si="0"/>
        <v>87870</v>
      </c>
      <c r="F19" s="234"/>
      <c r="G19" s="234">
        <f t="shared" si="1"/>
        <v>0</v>
      </c>
      <c r="H19" s="234">
        <f t="shared" si="2"/>
        <v>87870</v>
      </c>
      <c r="I19" s="235"/>
    </row>
    <row r="20" spans="1:9" s="223" customFormat="1" ht="12.75" customHeight="1" x14ac:dyDescent="0.25">
      <c r="A20" s="230"/>
      <c r="B20" s="177"/>
      <c r="C20" s="231"/>
      <c r="D20" s="233"/>
      <c r="E20" s="233">
        <f t="shared" si="0"/>
        <v>87870</v>
      </c>
      <c r="F20" s="234"/>
      <c r="G20" s="234">
        <f t="shared" si="1"/>
        <v>0</v>
      </c>
      <c r="H20" s="234">
        <f t="shared" si="2"/>
        <v>87870</v>
      </c>
      <c r="I20" s="235"/>
    </row>
    <row r="21" spans="1:9" s="223" customFormat="1" ht="12.75" customHeight="1" x14ac:dyDescent="0.25">
      <c r="A21" s="230"/>
      <c r="B21" s="177"/>
      <c r="C21" s="239"/>
      <c r="D21" s="233"/>
      <c r="E21" s="233">
        <f t="shared" si="0"/>
        <v>87870</v>
      </c>
      <c r="F21" s="234"/>
      <c r="G21" s="234">
        <f t="shared" si="1"/>
        <v>0</v>
      </c>
      <c r="H21" s="234">
        <f t="shared" si="2"/>
        <v>87870</v>
      </c>
      <c r="I21" s="235"/>
    </row>
    <row r="23" spans="1:9" ht="15" customHeight="1" thickBot="1" x14ac:dyDescent="0.3">
      <c r="C23" s="244" t="s">
        <v>24</v>
      </c>
      <c r="D23" s="245">
        <f>SUM(D9:D22)</f>
        <v>87870</v>
      </c>
      <c r="E23" s="245"/>
      <c r="F23" s="245">
        <f>SUM(F10:F21)</f>
        <v>0</v>
      </c>
      <c r="G23" s="245"/>
      <c r="H23" s="245">
        <f>D23-F23</f>
        <v>87870</v>
      </c>
      <c r="I23" s="235"/>
    </row>
    <row r="24" spans="1:9" ht="15" customHeight="1" thickTop="1" x14ac:dyDescent="0.25">
      <c r="H24" s="366"/>
    </row>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C4B12-98DB-4684-8B40-377898A30475}">
  <sheetPr>
    <pageSetUpPr fitToPage="1"/>
  </sheetPr>
  <dimension ref="A1:G18"/>
  <sheetViews>
    <sheetView zoomScaleNormal="100" workbookViewId="0">
      <selection activeCell="H20" sqref="H20"/>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153</v>
      </c>
      <c r="C1" s="3"/>
      <c r="D1" s="4"/>
      <c r="E1" s="4"/>
      <c r="F1" s="4"/>
      <c r="G1" s="4"/>
    </row>
    <row r="2" spans="1:7" ht="15.75" x14ac:dyDescent="0.25">
      <c r="A2" s="1"/>
      <c r="B2" s="6" t="s">
        <v>191</v>
      </c>
      <c r="C2" s="5"/>
      <c r="D2" s="4"/>
      <c r="E2" s="4"/>
      <c r="F2" s="4"/>
      <c r="G2" s="4"/>
    </row>
    <row r="3" spans="1:7" ht="15.75" x14ac:dyDescent="0.25">
      <c r="A3" s="1"/>
      <c r="B3" s="7" t="s">
        <v>192</v>
      </c>
      <c r="C3" s="5"/>
      <c r="D3" s="4"/>
      <c r="E3" s="8" t="s">
        <v>181</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974</v>
      </c>
      <c r="C6" s="12"/>
      <c r="D6" s="13" t="s">
        <v>2</v>
      </c>
      <c r="E6" s="4"/>
      <c r="F6" s="4"/>
      <c r="G6" s="4"/>
    </row>
    <row r="7" spans="1:7" ht="32.25" customHeight="1" thickBot="1" x14ac:dyDescent="0.3">
      <c r="A7" s="1"/>
      <c r="B7" s="14" t="s">
        <v>2</v>
      </c>
      <c r="C7" s="15" t="s">
        <v>3</v>
      </c>
      <c r="D7" s="16" t="s">
        <v>4</v>
      </c>
      <c r="E7" s="17" t="s">
        <v>5</v>
      </c>
      <c r="F7" s="18" t="s">
        <v>6</v>
      </c>
      <c r="G7" s="18" t="s">
        <v>7</v>
      </c>
    </row>
    <row r="8" spans="1:7" ht="28.35" customHeight="1" x14ac:dyDescent="0.25">
      <c r="A8" s="1"/>
      <c r="B8" s="1" t="s">
        <v>8</v>
      </c>
      <c r="C8" s="19">
        <f>FINANCIAL!G22</f>
        <v>440965</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73" t="s">
        <v>250</v>
      </c>
      <c r="B10" s="247" t="s">
        <v>350</v>
      </c>
      <c r="C10" s="248"/>
      <c r="D10" s="251">
        <f>'#9499.00 Boyd Jones'!D23</f>
        <v>16566.099999999999</v>
      </c>
      <c r="E10" s="251">
        <f>'#9499.00 Boyd Jones'!F23</f>
        <v>16566.099999999999</v>
      </c>
      <c r="F10" s="251">
        <f>'#9499.00 Boyd Jones'!H23</f>
        <v>0</v>
      </c>
      <c r="G10" s="250"/>
    </row>
    <row r="11" spans="1:7" s="223" customFormat="1" ht="12.75" customHeight="1" x14ac:dyDescent="0.25">
      <c r="A11" s="246"/>
      <c r="B11" s="247" t="s">
        <v>10</v>
      </c>
      <c r="C11" s="248"/>
      <c r="D11" s="251">
        <f>'#9499.00 PM TIME '!E37</f>
        <v>17000</v>
      </c>
      <c r="E11" s="251">
        <f>'#9499.00 PM TIME '!G37</f>
        <v>15564.54</v>
      </c>
      <c r="F11" s="251">
        <f>'#9499.00 PM TIME '!I37</f>
        <v>1435.4599999999991</v>
      </c>
      <c r="G11" s="250"/>
    </row>
    <row r="12" spans="1:7" s="223" customFormat="1" ht="12.75" customHeight="1" x14ac:dyDescent="0.25">
      <c r="A12" s="246"/>
      <c r="B12" s="247" t="s">
        <v>11</v>
      </c>
      <c r="C12" s="249"/>
      <c r="D12" s="252">
        <f>'#9499.00 Misc '!G22</f>
        <v>12950.43</v>
      </c>
      <c r="E12" s="252">
        <f>'#9499.00 Misc '!G22</f>
        <v>12950.43</v>
      </c>
      <c r="F12" s="251">
        <f>D12-E12</f>
        <v>0</v>
      </c>
      <c r="G12" s="250"/>
    </row>
    <row r="13" spans="1:7" s="223" customFormat="1" ht="12.75" customHeight="1" x14ac:dyDescent="0.25">
      <c r="A13" s="273" t="s">
        <v>250</v>
      </c>
      <c r="B13" s="247" t="s">
        <v>420</v>
      </c>
      <c r="C13" s="249"/>
      <c r="D13" s="252">
        <f>'#9499.00 Larson Engineering'!D23</f>
        <v>33530</v>
      </c>
      <c r="E13" s="252">
        <f>'#9499.00 Larson Engineering'!F23</f>
        <v>33530</v>
      </c>
      <c r="F13" s="251">
        <f>'#9499.00 Larson Engineering'!H23</f>
        <v>0</v>
      </c>
      <c r="G13" s="250"/>
    </row>
    <row r="14" spans="1:7" s="223" customFormat="1" ht="12.75" customHeight="1" x14ac:dyDescent="0.25">
      <c r="A14" s="246"/>
      <c r="B14" s="247" t="s">
        <v>717</v>
      </c>
      <c r="C14" s="249"/>
      <c r="D14" s="252">
        <f>'#9499.00 Boyd Jones (2)'!D23</f>
        <v>29267.48</v>
      </c>
      <c r="E14" s="252">
        <f>'#9499.00 Boyd Jones (2)'!F23</f>
        <v>29204.080000000002</v>
      </c>
      <c r="F14" s="251">
        <f>'#9499.00 Boyd Jones (2)'!H23</f>
        <v>63.399999999997817</v>
      </c>
      <c r="G14" s="250"/>
    </row>
    <row r="15" spans="1:7" s="223" customFormat="1" ht="12.75" customHeight="1" x14ac:dyDescent="0.25">
      <c r="A15" s="246"/>
      <c r="B15" s="247" t="s">
        <v>747</v>
      </c>
      <c r="C15" s="249"/>
      <c r="D15" s="252">
        <f>'#9499.00 Core Construction'!D23</f>
        <v>310000</v>
      </c>
      <c r="E15" s="252">
        <f>'#9499.00 Core Construction'!F23</f>
        <v>292182.92</v>
      </c>
      <c r="F15" s="251">
        <f>'#9499.00 Core Construction'!H23</f>
        <v>17817.080000000016</v>
      </c>
      <c r="G15" s="250"/>
    </row>
    <row r="16" spans="1:7" s="223" customFormat="1" ht="12.75" customHeight="1" x14ac:dyDescent="0.25">
      <c r="A16" s="246"/>
      <c r="B16" s="247"/>
      <c r="C16" s="249"/>
      <c r="D16" s="252"/>
      <c r="E16" s="252"/>
      <c r="F16" s="251"/>
      <c r="G16" s="250"/>
    </row>
    <row r="17" spans="1:7" ht="24" customHeight="1" thickBot="1" x14ac:dyDescent="0.3">
      <c r="A17" s="25"/>
      <c r="B17" s="26" t="s">
        <v>12</v>
      </c>
      <c r="C17" s="27">
        <f>SUM(C8:C16)</f>
        <v>440965</v>
      </c>
      <c r="D17" s="27">
        <f>SUM(D8:D16)</f>
        <v>419314.01</v>
      </c>
      <c r="E17" s="27">
        <f>SUM(E8:E16)</f>
        <v>399998.07</v>
      </c>
      <c r="F17" s="27">
        <f>SUM(D17-E17)</f>
        <v>19315.940000000002</v>
      </c>
      <c r="G17" s="27">
        <f>C8-D17</f>
        <v>21650.989999999991</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2D8D1-7B30-49E7-BD94-46C53D29F8D4}">
  <sheetPr>
    <tabColor rgb="FF0070C0"/>
    <pageSetUpPr fitToPage="1"/>
  </sheetPr>
  <dimension ref="A1:I29"/>
  <sheetViews>
    <sheetView topLeftCell="A6" zoomScaleNormal="100" workbookViewId="0">
      <selection activeCell="C33" sqref="C33"/>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1" style="274"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#9499.00'!B1</f>
        <v>IPBS 6535 Corporate Drive Parking Lot Replacement</v>
      </c>
      <c r="B1" s="30"/>
      <c r="C1" s="153"/>
      <c r="D1" s="153"/>
      <c r="E1" s="153"/>
      <c r="F1" s="156"/>
      <c r="G1" s="156"/>
      <c r="H1" s="179"/>
      <c r="I1" s="179"/>
    </row>
    <row r="2" spans="1:9" ht="15.75" x14ac:dyDescent="0.25">
      <c r="A2" s="31" t="str">
        <f>'RECAP #9499.00'!B2</f>
        <v>Project # 9499.00</v>
      </c>
      <c r="B2" s="150"/>
      <c r="C2" s="153"/>
      <c r="D2" s="153"/>
      <c r="E2" s="153"/>
      <c r="F2" s="156"/>
      <c r="G2" s="156"/>
      <c r="H2" s="179"/>
      <c r="I2" s="179"/>
    </row>
    <row r="3" spans="1:9" ht="15.75" x14ac:dyDescent="0.25">
      <c r="A3" s="154" t="str">
        <f>'RECAP #9499.00'!B3</f>
        <v>Program code 949900</v>
      </c>
      <c r="B3" s="150"/>
      <c r="C3" s="153"/>
      <c r="D3" s="155" t="str">
        <f>'RECAP #9499.00'!E3</f>
        <v>Major Program 4E19</v>
      </c>
      <c r="E3" s="153"/>
      <c r="F3" s="156"/>
      <c r="G3" s="156"/>
      <c r="H3" s="179"/>
      <c r="I3" s="179"/>
    </row>
    <row r="4" spans="1:9" ht="15.75" x14ac:dyDescent="0.25">
      <c r="A4" s="30" t="s">
        <v>350</v>
      </c>
      <c r="B4" s="31"/>
      <c r="C4" s="179"/>
      <c r="D4" s="180" t="s">
        <v>351</v>
      </c>
      <c r="E4" s="156"/>
      <c r="F4" s="156"/>
      <c r="G4" s="156"/>
      <c r="H4" s="179"/>
      <c r="I4" s="179"/>
    </row>
    <row r="5" spans="1:9" ht="15.75" x14ac:dyDescent="0.25">
      <c r="A5" s="181" t="s">
        <v>104</v>
      </c>
      <c r="B5" s="179"/>
      <c r="C5" s="182"/>
      <c r="D5" s="37" t="s">
        <v>352</v>
      </c>
      <c r="E5" s="42"/>
      <c r="F5" s="156"/>
      <c r="G5" s="156"/>
      <c r="H5" s="179"/>
      <c r="I5" s="179"/>
    </row>
    <row r="6" spans="1:9" ht="15.75" x14ac:dyDescent="0.25">
      <c r="A6" s="31" t="str">
        <f>'RECAP #9499.00'!B6</f>
        <v>Project Manager -  Brandon A.</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353</v>
      </c>
      <c r="B9" s="276">
        <v>45999</v>
      </c>
      <c r="C9" s="277" t="s">
        <v>109</v>
      </c>
      <c r="D9" s="278">
        <v>17986.57</v>
      </c>
      <c r="E9" s="279">
        <f>D9</f>
        <v>17986.57</v>
      </c>
      <c r="F9" s="280"/>
      <c r="G9" s="280"/>
      <c r="H9" s="280">
        <f>E9</f>
        <v>17986.57</v>
      </c>
      <c r="I9" s="281"/>
    </row>
    <row r="10" spans="1:9" s="282" customFormat="1" ht="12.75" customHeight="1" x14ac:dyDescent="0.25">
      <c r="A10" s="275" t="s">
        <v>392</v>
      </c>
      <c r="B10" s="283">
        <v>45663</v>
      </c>
      <c r="C10" s="277" t="s">
        <v>393</v>
      </c>
      <c r="D10" s="279"/>
      <c r="E10" s="279">
        <f t="shared" ref="E10:E21" si="0">E9+D10</f>
        <v>17986.57</v>
      </c>
      <c r="F10" s="284">
        <v>3657.72</v>
      </c>
      <c r="G10" s="280">
        <f t="shared" ref="G10:G21" si="1">G9+F10</f>
        <v>3657.72</v>
      </c>
      <c r="H10" s="280">
        <f t="shared" ref="H10:H21" si="2">H9-F10+D10</f>
        <v>14328.85</v>
      </c>
      <c r="I10" s="281"/>
    </row>
    <row r="11" spans="1:9" s="282" customFormat="1" ht="12.75" customHeight="1" x14ac:dyDescent="0.25">
      <c r="A11" s="275" t="s">
        <v>559</v>
      </c>
      <c r="B11" s="276">
        <v>46069</v>
      </c>
      <c r="C11" s="277" t="s">
        <v>560</v>
      </c>
      <c r="D11" s="279"/>
      <c r="E11" s="279">
        <f t="shared" si="0"/>
        <v>17986.57</v>
      </c>
      <c r="F11" s="284">
        <v>1902.69</v>
      </c>
      <c r="G11" s="280">
        <f t="shared" si="1"/>
        <v>5560.41</v>
      </c>
      <c r="H11" s="280">
        <f t="shared" si="2"/>
        <v>12426.16</v>
      </c>
      <c r="I11" s="281"/>
    </row>
    <row r="12" spans="1:9" s="282" customFormat="1" ht="12.75" customHeight="1" x14ac:dyDescent="0.25">
      <c r="A12" s="275" t="s">
        <v>664</v>
      </c>
      <c r="B12" s="276">
        <v>46100</v>
      </c>
      <c r="C12" s="277" t="s">
        <v>665</v>
      </c>
      <c r="D12" s="279"/>
      <c r="E12" s="279">
        <f t="shared" si="0"/>
        <v>17986.57</v>
      </c>
      <c r="F12" s="284">
        <v>5535.28</v>
      </c>
      <c r="G12" s="280">
        <f t="shared" si="1"/>
        <v>11095.689999999999</v>
      </c>
      <c r="H12" s="280">
        <f t="shared" si="2"/>
        <v>6890.88</v>
      </c>
      <c r="I12" s="281"/>
    </row>
    <row r="13" spans="1:9" s="282" customFormat="1" ht="12.75" customHeight="1" x14ac:dyDescent="0.25">
      <c r="A13" s="275" t="s">
        <v>804</v>
      </c>
      <c r="B13" s="276">
        <v>46128</v>
      </c>
      <c r="C13" s="277" t="s">
        <v>805</v>
      </c>
      <c r="D13" s="279"/>
      <c r="E13" s="279">
        <f t="shared" si="0"/>
        <v>17986.57</v>
      </c>
      <c r="F13" s="284">
        <v>5470.41</v>
      </c>
      <c r="G13" s="280">
        <f t="shared" si="1"/>
        <v>16566.099999999999</v>
      </c>
      <c r="H13" s="280">
        <f t="shared" si="2"/>
        <v>1420.4700000000003</v>
      </c>
      <c r="I13" s="281"/>
    </row>
    <row r="14" spans="1:9" s="282" customFormat="1" ht="12.75" customHeight="1" x14ac:dyDescent="0.25">
      <c r="A14" s="275" t="s">
        <v>353</v>
      </c>
      <c r="B14" s="276">
        <v>46231</v>
      </c>
      <c r="C14" s="277" t="s">
        <v>1202</v>
      </c>
      <c r="D14" s="285">
        <v>-1420.47</v>
      </c>
      <c r="E14" s="279">
        <f t="shared" si="0"/>
        <v>16566.099999999999</v>
      </c>
      <c r="F14" s="280"/>
      <c r="G14" s="280">
        <f t="shared" si="1"/>
        <v>16566.099999999999</v>
      </c>
      <c r="H14" s="280">
        <f t="shared" si="2"/>
        <v>0</v>
      </c>
      <c r="I14" s="281"/>
    </row>
    <row r="15" spans="1:9" s="282" customFormat="1" ht="12.75" customHeight="1" x14ac:dyDescent="0.25">
      <c r="A15" s="275"/>
      <c r="B15" s="276"/>
      <c r="C15" s="277"/>
      <c r="D15" s="279"/>
      <c r="E15" s="279">
        <f t="shared" si="0"/>
        <v>16566.099999999999</v>
      </c>
      <c r="F15" s="284"/>
      <c r="G15" s="280">
        <f t="shared" si="1"/>
        <v>16566.099999999999</v>
      </c>
      <c r="H15" s="280">
        <f t="shared" si="2"/>
        <v>0</v>
      </c>
      <c r="I15" s="281"/>
    </row>
    <row r="16" spans="1:9" s="282" customFormat="1" ht="12.75" customHeight="1" x14ac:dyDescent="0.25">
      <c r="A16" s="275"/>
      <c r="B16" s="276"/>
      <c r="C16" s="277"/>
      <c r="D16" s="279"/>
      <c r="E16" s="279">
        <f t="shared" si="0"/>
        <v>16566.099999999999</v>
      </c>
      <c r="F16" s="284"/>
      <c r="G16" s="280">
        <f t="shared" si="1"/>
        <v>16566.099999999999</v>
      </c>
      <c r="H16" s="280">
        <f t="shared" si="2"/>
        <v>0</v>
      </c>
      <c r="I16" s="281"/>
    </row>
    <row r="17" spans="1:9" s="282" customFormat="1" ht="12.75" customHeight="1" x14ac:dyDescent="0.25">
      <c r="A17" s="275"/>
      <c r="B17" s="276"/>
      <c r="C17" s="277"/>
      <c r="D17" s="279"/>
      <c r="E17" s="279">
        <f t="shared" si="0"/>
        <v>16566.099999999999</v>
      </c>
      <c r="F17" s="284"/>
      <c r="G17" s="280">
        <f t="shared" si="1"/>
        <v>16566.099999999999</v>
      </c>
      <c r="H17" s="280">
        <f t="shared" si="2"/>
        <v>0</v>
      </c>
      <c r="I17" s="281"/>
    </row>
    <row r="18" spans="1:9" s="282" customFormat="1" ht="12.75" customHeight="1" x14ac:dyDescent="0.25">
      <c r="A18" s="275"/>
      <c r="B18" s="276"/>
      <c r="C18" s="277"/>
      <c r="D18" s="279"/>
      <c r="E18" s="279">
        <f t="shared" si="0"/>
        <v>16566.099999999999</v>
      </c>
      <c r="F18" s="284"/>
      <c r="G18" s="280">
        <f t="shared" si="1"/>
        <v>16566.099999999999</v>
      </c>
      <c r="H18" s="280">
        <f t="shared" si="2"/>
        <v>0</v>
      </c>
      <c r="I18" s="281"/>
    </row>
    <row r="19" spans="1:9" s="282" customFormat="1" ht="12.75" customHeight="1" x14ac:dyDescent="0.25">
      <c r="A19" s="275"/>
      <c r="B19" s="276"/>
      <c r="C19" s="277"/>
      <c r="D19" s="279"/>
      <c r="E19" s="279">
        <f t="shared" si="0"/>
        <v>16566.099999999999</v>
      </c>
      <c r="F19" s="280"/>
      <c r="G19" s="280">
        <f t="shared" si="1"/>
        <v>16566.099999999999</v>
      </c>
      <c r="H19" s="280">
        <f t="shared" si="2"/>
        <v>0</v>
      </c>
      <c r="I19" s="281"/>
    </row>
    <row r="20" spans="1:9" s="282" customFormat="1" ht="12.75" customHeight="1" x14ac:dyDescent="0.25">
      <c r="A20" s="275"/>
      <c r="B20" s="276"/>
      <c r="C20" s="277"/>
      <c r="D20" s="279"/>
      <c r="E20" s="279">
        <f t="shared" si="0"/>
        <v>16566.099999999999</v>
      </c>
      <c r="F20" s="280"/>
      <c r="G20" s="280">
        <f t="shared" si="1"/>
        <v>16566.099999999999</v>
      </c>
      <c r="H20" s="280">
        <f t="shared" si="2"/>
        <v>0</v>
      </c>
      <c r="I20" s="281"/>
    </row>
    <row r="21" spans="1:9" s="282" customFormat="1" ht="12.75" customHeight="1" x14ac:dyDescent="0.25">
      <c r="A21" s="275"/>
      <c r="B21" s="276"/>
      <c r="C21" s="286"/>
      <c r="D21" s="279"/>
      <c r="E21" s="279">
        <f t="shared" si="0"/>
        <v>16566.099999999999</v>
      </c>
      <c r="F21" s="280"/>
      <c r="G21" s="280">
        <f t="shared" si="1"/>
        <v>16566.099999999999</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16566.099999999999</v>
      </c>
      <c r="E23" s="290"/>
      <c r="F23" s="290">
        <f>SUM(F9:F22)</f>
        <v>16566.099999999999</v>
      </c>
      <c r="G23" s="290"/>
      <c r="H23" s="290">
        <f>D23-F23</f>
        <v>0</v>
      </c>
      <c r="I23" s="281"/>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f>17686.57-1123.47</f>
        <v>16563.099999999999</v>
      </c>
      <c r="E26" s="292"/>
      <c r="F26" s="292">
        <f>3657.72+1902.69+5535.28+5467.41</f>
        <v>16563.099999999999</v>
      </c>
      <c r="G26" s="292"/>
      <c r="H26" s="292">
        <f>D26-F26</f>
        <v>0</v>
      </c>
      <c r="I26" s="281"/>
    </row>
    <row r="27" spans="1:9" s="282" customFormat="1" ht="12.75" customHeight="1" x14ac:dyDescent="0.25">
      <c r="A27" s="275"/>
      <c r="B27" s="277"/>
      <c r="C27" s="287" t="s">
        <v>111</v>
      </c>
      <c r="D27" s="292">
        <f>300-297</f>
        <v>3</v>
      </c>
      <c r="E27" s="292"/>
      <c r="F27" s="292">
        <f>3</f>
        <v>3</v>
      </c>
      <c r="G27" s="292"/>
      <c r="H27" s="292">
        <f>D27-F27</f>
        <v>0</v>
      </c>
      <c r="I27" s="281"/>
    </row>
    <row r="28" spans="1:9" s="282" customFormat="1" ht="12.75" customHeight="1" thickBot="1" x14ac:dyDescent="0.3">
      <c r="A28" s="275"/>
      <c r="B28" s="277"/>
      <c r="C28" s="293" t="s">
        <v>67</v>
      </c>
      <c r="D28" s="290">
        <f>SUM(D26:D27)</f>
        <v>16566.099999999999</v>
      </c>
      <c r="E28" s="294"/>
      <c r="F28" s="290">
        <f>SUM(F26:F27)</f>
        <v>16566.099999999999</v>
      </c>
      <c r="G28" s="294"/>
      <c r="H28" s="290">
        <f>SUM(H26:H27)</f>
        <v>0</v>
      </c>
      <c r="I28" s="281"/>
    </row>
    <row r="29" spans="1:9" s="282" customFormat="1" ht="12.75" customHeight="1" thickTop="1" x14ac:dyDescent="0.25"/>
  </sheetData>
  <conditionalFormatting sqref="I8:I23">
    <cfRule type="cellIs" dxfId="42" priority="1" operator="greaterThan">
      <formula>$H$23</formula>
    </cfRule>
  </conditionalFormatting>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078ED-2D9B-4355-B944-FF8EFF910305}">
  <sheetPr>
    <pageSetUpPr fitToPage="1"/>
  </sheetPr>
  <dimension ref="A1:J40"/>
  <sheetViews>
    <sheetView topLeftCell="A6" zoomScaleNormal="100" workbookViewId="0">
      <selection activeCell="K32" sqref="K32"/>
    </sheetView>
  </sheetViews>
  <sheetFormatPr defaultColWidth="11.42578125" defaultRowHeight="15" customHeight="1" x14ac:dyDescent="0.25"/>
  <cols>
    <col min="1" max="1" width="24.5703125" customWidth="1"/>
    <col min="2" max="3" width="9.42578125" customWidth="1"/>
    <col min="4" max="4" width="41.42578125" customWidth="1"/>
    <col min="5" max="5" width="12.5703125" customWidth="1"/>
    <col min="6" max="6" width="13.5703125" customWidth="1"/>
    <col min="7" max="7" width="12.42578125" customWidth="1"/>
    <col min="8" max="8" width="10.5703125" customWidth="1"/>
    <col min="9" max="9" width="13.710937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#9499.00'!B1</f>
        <v>IPBS 6535 Corporate Drive Parking Lot Replacement</v>
      </c>
      <c r="B1" s="3"/>
      <c r="C1" s="3"/>
      <c r="D1" s="4"/>
      <c r="E1" s="4"/>
      <c r="F1" s="4"/>
      <c r="G1" s="28"/>
      <c r="H1" s="28"/>
      <c r="I1" s="29"/>
      <c r="J1" s="29"/>
    </row>
    <row r="2" spans="1:10" ht="15.75" x14ac:dyDescent="0.25">
      <c r="A2" s="6" t="str">
        <f>'RECAP #9499.00'!B2</f>
        <v>Project # 9499.00</v>
      </c>
      <c r="B2" s="5"/>
      <c r="C2" s="5"/>
      <c r="D2" s="4"/>
      <c r="E2" s="4"/>
      <c r="F2" s="4"/>
      <c r="G2" s="28"/>
      <c r="H2" s="28"/>
      <c r="I2" s="29"/>
      <c r="J2" s="29"/>
    </row>
    <row r="3" spans="1:10" ht="15.75" x14ac:dyDescent="0.25">
      <c r="A3" s="7" t="str">
        <f>'RECAP #9499.00'!B3</f>
        <v>Program code 949900</v>
      </c>
      <c r="B3" s="5"/>
      <c r="C3" s="5"/>
      <c r="D3" s="4"/>
      <c r="E3" s="8" t="str">
        <f>'RECAP #9499.00'!E3</f>
        <v>Major Program 4E19</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235</v>
      </c>
      <c r="F6" s="42"/>
      <c r="G6" s="43"/>
      <c r="H6" s="39"/>
      <c r="I6" s="35"/>
      <c r="J6" s="29"/>
    </row>
    <row r="7" spans="1:10" ht="15.75" x14ac:dyDescent="0.25">
      <c r="A7" s="11" t="str">
        <f>'RECAP #9499.00'!B6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f>15000+2000</f>
        <v>17000</v>
      </c>
      <c r="F9" s="233">
        <f>E9</f>
        <v>17000</v>
      </c>
      <c r="G9" s="234"/>
      <c r="H9" s="234"/>
      <c r="I9" s="234">
        <f>F9</f>
        <v>17000</v>
      </c>
      <c r="J9" s="235"/>
    </row>
    <row r="10" spans="1:10" s="223" customFormat="1" ht="12.75" customHeight="1" x14ac:dyDescent="0.25">
      <c r="A10" s="176" t="s">
        <v>314</v>
      </c>
      <c r="B10" s="177">
        <v>45968</v>
      </c>
      <c r="C10" s="241" t="s">
        <v>261</v>
      </c>
      <c r="D10" s="148" t="s">
        <v>315</v>
      </c>
      <c r="E10" s="233"/>
      <c r="F10" s="233">
        <f t="shared" ref="F10:F35" si="0">F9+E10</f>
        <v>17000</v>
      </c>
      <c r="G10" s="237">
        <v>128.13999999999999</v>
      </c>
      <c r="H10" s="234">
        <f t="shared" ref="H10:H35" si="1">H9+G10</f>
        <v>128.13999999999999</v>
      </c>
      <c r="I10" s="234">
        <f t="shared" ref="I10:I35" si="2">I9-G10+E10</f>
        <v>16871.86</v>
      </c>
      <c r="J10" s="235"/>
    </row>
    <row r="11" spans="1:10" s="223" customFormat="1" ht="12.75" customHeight="1" x14ac:dyDescent="0.25">
      <c r="A11" s="176" t="s">
        <v>314</v>
      </c>
      <c r="B11" s="177">
        <v>45968</v>
      </c>
      <c r="C11" s="241">
        <v>9500</v>
      </c>
      <c r="D11" s="149" t="s">
        <v>316</v>
      </c>
      <c r="E11" s="233"/>
      <c r="F11" s="233">
        <f t="shared" si="0"/>
        <v>17000</v>
      </c>
      <c r="G11" s="237">
        <v>1311.2</v>
      </c>
      <c r="H11" s="234">
        <f t="shared" si="1"/>
        <v>1439.3400000000001</v>
      </c>
      <c r="I11" s="234">
        <f t="shared" si="2"/>
        <v>15560.66</v>
      </c>
      <c r="J11" s="235"/>
    </row>
    <row r="12" spans="1:10" s="223" customFormat="1" ht="12.75" customHeight="1" x14ac:dyDescent="0.2">
      <c r="A12" s="70" t="s">
        <v>364</v>
      </c>
      <c r="B12" s="50">
        <v>45996</v>
      </c>
      <c r="C12" s="53" t="s">
        <v>261</v>
      </c>
      <c r="D12" s="144" t="s">
        <v>365</v>
      </c>
      <c r="E12" s="233"/>
      <c r="F12" s="233">
        <f t="shared" si="0"/>
        <v>17000</v>
      </c>
      <c r="G12" s="237">
        <v>145.53</v>
      </c>
      <c r="H12" s="234">
        <f t="shared" si="1"/>
        <v>1584.8700000000001</v>
      </c>
      <c r="I12" s="234">
        <f t="shared" si="2"/>
        <v>15415.13</v>
      </c>
      <c r="J12" s="235"/>
    </row>
    <row r="13" spans="1:10" s="223" customFormat="1" ht="12.75" customHeight="1" x14ac:dyDescent="0.2">
      <c r="A13" s="70" t="s">
        <v>364</v>
      </c>
      <c r="B13" s="50">
        <v>45996</v>
      </c>
      <c r="C13" s="268">
        <v>9500</v>
      </c>
      <c r="D13" s="66" t="s">
        <v>366</v>
      </c>
      <c r="E13" s="233"/>
      <c r="F13" s="233">
        <f t="shared" si="0"/>
        <v>17000</v>
      </c>
      <c r="G13" s="237">
        <v>904.2</v>
      </c>
      <c r="H13" s="234">
        <f t="shared" si="1"/>
        <v>2489.0700000000002</v>
      </c>
      <c r="I13" s="234">
        <f t="shared" si="2"/>
        <v>14510.929999999998</v>
      </c>
      <c r="J13" s="235"/>
    </row>
    <row r="14" spans="1:10" s="223" customFormat="1" ht="12.75" customHeight="1" x14ac:dyDescent="0.2">
      <c r="A14" s="70" t="s">
        <v>423</v>
      </c>
      <c r="B14" s="50">
        <v>46030</v>
      </c>
      <c r="C14" s="53" t="s">
        <v>261</v>
      </c>
      <c r="D14" s="144" t="s">
        <v>424</v>
      </c>
      <c r="E14" s="233"/>
      <c r="F14" s="233">
        <f t="shared" si="0"/>
        <v>17000</v>
      </c>
      <c r="G14" s="237">
        <v>130.35</v>
      </c>
      <c r="H14" s="234">
        <f t="shared" si="1"/>
        <v>2619.42</v>
      </c>
      <c r="I14" s="234">
        <f t="shared" si="2"/>
        <v>14380.579999999998</v>
      </c>
      <c r="J14" s="235"/>
    </row>
    <row r="15" spans="1:10" s="223" customFormat="1" ht="12.75" customHeight="1" x14ac:dyDescent="0.2">
      <c r="A15" s="70" t="s">
        <v>423</v>
      </c>
      <c r="B15" s="50">
        <v>46030</v>
      </c>
      <c r="C15" s="268">
        <v>9500</v>
      </c>
      <c r="D15" s="66" t="s">
        <v>425</v>
      </c>
      <c r="E15" s="233"/>
      <c r="F15" s="233">
        <f t="shared" si="0"/>
        <v>17000</v>
      </c>
      <c r="G15" s="237">
        <v>1478.4</v>
      </c>
      <c r="H15" s="234">
        <f t="shared" si="1"/>
        <v>4097.82</v>
      </c>
      <c r="I15" s="234">
        <f t="shared" si="2"/>
        <v>12902.179999999998</v>
      </c>
      <c r="J15" s="235"/>
    </row>
    <row r="16" spans="1:10" s="223" customFormat="1" ht="12.75" customHeight="1" x14ac:dyDescent="0.2">
      <c r="A16" s="70" t="s">
        <v>548</v>
      </c>
      <c r="B16" s="50">
        <v>46062</v>
      </c>
      <c r="C16" s="53" t="s">
        <v>261</v>
      </c>
      <c r="D16" s="144" t="s">
        <v>549</v>
      </c>
      <c r="E16" s="233"/>
      <c r="F16" s="233">
        <f t="shared" si="0"/>
        <v>17000</v>
      </c>
      <c r="G16" s="237">
        <v>74.430000000000007</v>
      </c>
      <c r="H16" s="234">
        <f t="shared" si="1"/>
        <v>4172.25</v>
      </c>
      <c r="I16" s="234">
        <f t="shared" si="2"/>
        <v>12827.749999999998</v>
      </c>
      <c r="J16" s="235"/>
    </row>
    <row r="17" spans="1:10" s="223" customFormat="1" ht="12.75" customHeight="1" x14ac:dyDescent="0.2">
      <c r="A17" s="70" t="s">
        <v>548</v>
      </c>
      <c r="B17" s="50">
        <v>46062</v>
      </c>
      <c r="C17" s="268">
        <v>9500</v>
      </c>
      <c r="D17" s="66" t="s">
        <v>550</v>
      </c>
      <c r="E17" s="233"/>
      <c r="F17" s="233">
        <f t="shared" si="0"/>
        <v>17000</v>
      </c>
      <c r="G17" s="237">
        <v>924.6</v>
      </c>
      <c r="H17" s="234">
        <f t="shared" si="1"/>
        <v>5096.8500000000004</v>
      </c>
      <c r="I17" s="234">
        <f t="shared" si="2"/>
        <v>11903.149999999998</v>
      </c>
      <c r="J17" s="235"/>
    </row>
    <row r="18" spans="1:10" s="223" customFormat="1" ht="12.75" customHeight="1" x14ac:dyDescent="0.2">
      <c r="A18" s="70" t="s">
        <v>644</v>
      </c>
      <c r="B18" s="50">
        <v>46090</v>
      </c>
      <c r="C18" s="53" t="s">
        <v>261</v>
      </c>
      <c r="D18" s="144" t="s">
        <v>645</v>
      </c>
      <c r="E18" s="233"/>
      <c r="F18" s="233">
        <f t="shared" si="0"/>
        <v>17000</v>
      </c>
      <c r="G18" s="237">
        <v>77.349999999999994</v>
      </c>
      <c r="H18" s="234">
        <f t="shared" si="1"/>
        <v>5174.2000000000007</v>
      </c>
      <c r="I18" s="234">
        <f t="shared" si="2"/>
        <v>11825.799999999997</v>
      </c>
      <c r="J18" s="235"/>
    </row>
    <row r="19" spans="1:10" s="223" customFormat="1" ht="12.75" customHeight="1" x14ac:dyDescent="0.2">
      <c r="A19" s="70" t="s">
        <v>644</v>
      </c>
      <c r="B19" s="50">
        <v>46090</v>
      </c>
      <c r="C19" s="268">
        <v>9500</v>
      </c>
      <c r="D19" s="66" t="s">
        <v>646</v>
      </c>
      <c r="E19" s="233"/>
      <c r="F19" s="233">
        <f t="shared" si="0"/>
        <v>17000</v>
      </c>
      <c r="G19" s="237">
        <v>891.2</v>
      </c>
      <c r="H19" s="234">
        <f t="shared" si="1"/>
        <v>6065.4000000000005</v>
      </c>
      <c r="I19" s="234">
        <f t="shared" si="2"/>
        <v>10934.599999999997</v>
      </c>
      <c r="J19" s="235"/>
    </row>
    <row r="20" spans="1:10" s="223" customFormat="1" ht="12.75" customHeight="1" x14ac:dyDescent="0.25">
      <c r="A20" s="70" t="s">
        <v>744</v>
      </c>
      <c r="B20" s="50">
        <v>46118</v>
      </c>
      <c r="C20" s="53" t="s">
        <v>261</v>
      </c>
      <c r="D20" s="144" t="s">
        <v>745</v>
      </c>
      <c r="E20"/>
      <c r="F20" s="233">
        <f t="shared" si="0"/>
        <v>17000</v>
      </c>
      <c r="G20" s="237">
        <v>131.66999999999999</v>
      </c>
      <c r="H20" s="234">
        <f t="shared" si="1"/>
        <v>6197.0700000000006</v>
      </c>
      <c r="I20" s="234">
        <f t="shared" si="2"/>
        <v>10802.929999999997</v>
      </c>
      <c r="J20" s="235"/>
    </row>
    <row r="21" spans="1:10" s="223" customFormat="1" ht="12.75" customHeight="1" x14ac:dyDescent="0.25">
      <c r="A21" s="70" t="s">
        <v>744</v>
      </c>
      <c r="B21" s="50">
        <v>46118</v>
      </c>
      <c r="C21" s="268">
        <v>9500</v>
      </c>
      <c r="D21" s="66" t="s">
        <v>746</v>
      </c>
      <c r="E21"/>
      <c r="F21" s="233">
        <f t="shared" si="0"/>
        <v>17000</v>
      </c>
      <c r="G21" s="237">
        <v>1074.2</v>
      </c>
      <c r="H21" s="234">
        <f t="shared" si="1"/>
        <v>7271.27</v>
      </c>
      <c r="I21" s="234">
        <f t="shared" si="2"/>
        <v>9728.7299999999959</v>
      </c>
      <c r="J21" s="235"/>
    </row>
    <row r="22" spans="1:10" s="223" customFormat="1" ht="12.75" customHeight="1" x14ac:dyDescent="0.25">
      <c r="A22" s="70" t="s">
        <v>869</v>
      </c>
      <c r="B22" s="50">
        <v>46149</v>
      </c>
      <c r="C22" s="53" t="s">
        <v>261</v>
      </c>
      <c r="D22" s="144" t="s">
        <v>870</v>
      </c>
      <c r="E22"/>
      <c r="F22" s="233">
        <f t="shared" si="0"/>
        <v>17000</v>
      </c>
      <c r="G22" s="237">
        <v>196.51</v>
      </c>
      <c r="H22" s="234">
        <f t="shared" si="1"/>
        <v>7467.7800000000007</v>
      </c>
      <c r="I22" s="234">
        <f t="shared" si="2"/>
        <v>9532.2199999999957</v>
      </c>
      <c r="J22" s="235"/>
    </row>
    <row r="23" spans="1:10" s="223" customFormat="1" ht="12.75" customHeight="1" x14ac:dyDescent="0.25">
      <c r="A23" s="70" t="s">
        <v>869</v>
      </c>
      <c r="B23" s="50">
        <v>46149</v>
      </c>
      <c r="C23" s="268">
        <v>9500</v>
      </c>
      <c r="D23" s="66" t="s">
        <v>871</v>
      </c>
      <c r="E23"/>
      <c r="F23" s="233">
        <f t="shared" si="0"/>
        <v>17000</v>
      </c>
      <c r="G23" s="237">
        <v>2048.1</v>
      </c>
      <c r="H23" s="234">
        <f t="shared" si="1"/>
        <v>9515.880000000001</v>
      </c>
      <c r="I23" s="234">
        <f t="shared" si="2"/>
        <v>7484.1199999999953</v>
      </c>
      <c r="J23" s="235"/>
    </row>
    <row r="24" spans="1:10" s="223" customFormat="1" ht="12.75" customHeight="1" x14ac:dyDescent="0.25">
      <c r="A24" s="70" t="s">
        <v>984</v>
      </c>
      <c r="B24" s="50">
        <v>46181</v>
      </c>
      <c r="C24" s="53" t="s">
        <v>261</v>
      </c>
      <c r="D24" s="144" t="s">
        <v>985</v>
      </c>
      <c r="E24"/>
      <c r="F24" s="233">
        <f t="shared" si="0"/>
        <v>17000</v>
      </c>
      <c r="G24" s="237">
        <v>129.5</v>
      </c>
      <c r="H24" s="234">
        <f t="shared" si="1"/>
        <v>9645.380000000001</v>
      </c>
      <c r="I24" s="234">
        <f t="shared" si="2"/>
        <v>7354.6199999999953</v>
      </c>
      <c r="J24" s="235"/>
    </row>
    <row r="25" spans="1:10" s="223" customFormat="1" ht="12.75" customHeight="1" x14ac:dyDescent="0.25">
      <c r="A25" s="70" t="s">
        <v>984</v>
      </c>
      <c r="B25" s="50">
        <v>46181</v>
      </c>
      <c r="C25" s="268">
        <v>9500</v>
      </c>
      <c r="D25" s="66" t="s">
        <v>986</v>
      </c>
      <c r="E25"/>
      <c r="F25" s="233">
        <f t="shared" si="0"/>
        <v>17000</v>
      </c>
      <c r="G25" s="237">
        <v>1590.1</v>
      </c>
      <c r="H25" s="234">
        <f t="shared" si="1"/>
        <v>11235.480000000001</v>
      </c>
      <c r="I25" s="234">
        <f t="shared" si="2"/>
        <v>5764.519999999995</v>
      </c>
      <c r="J25" s="235"/>
    </row>
    <row r="26" spans="1:10" s="223" customFormat="1" ht="12.75" customHeight="1" x14ac:dyDescent="0.25">
      <c r="A26" s="70" t="s">
        <v>1186</v>
      </c>
      <c r="B26" s="50">
        <v>46211</v>
      </c>
      <c r="C26" s="53" t="s">
        <v>261</v>
      </c>
      <c r="D26" s="144" t="s">
        <v>1187</v>
      </c>
      <c r="E26"/>
      <c r="F26" s="233">
        <f t="shared" si="0"/>
        <v>17000</v>
      </c>
      <c r="G26" s="237">
        <v>192.31</v>
      </c>
      <c r="H26" s="234">
        <f t="shared" si="1"/>
        <v>11427.79</v>
      </c>
      <c r="I26" s="234">
        <f t="shared" si="2"/>
        <v>5572.2099999999946</v>
      </c>
      <c r="J26" s="235"/>
    </row>
    <row r="27" spans="1:10" s="223" customFormat="1" ht="12.75" customHeight="1" x14ac:dyDescent="0.25">
      <c r="A27" s="70" t="s">
        <v>1186</v>
      </c>
      <c r="B27" s="50">
        <v>46211</v>
      </c>
      <c r="C27" s="268">
        <v>9500</v>
      </c>
      <c r="D27" s="66" t="s">
        <v>1188</v>
      </c>
      <c r="E27"/>
      <c r="F27" s="233">
        <f t="shared" si="0"/>
        <v>17000</v>
      </c>
      <c r="G27" s="237">
        <v>2216.5</v>
      </c>
      <c r="H27" s="234">
        <f t="shared" si="1"/>
        <v>13644.29</v>
      </c>
      <c r="I27" s="234">
        <f t="shared" si="2"/>
        <v>3355.7099999999946</v>
      </c>
      <c r="J27" s="235"/>
    </row>
    <row r="28" spans="1:10" s="223" customFormat="1" ht="12.75" customHeight="1" x14ac:dyDescent="0.25">
      <c r="A28" s="70" t="s">
        <v>1265</v>
      </c>
      <c r="B28" s="50">
        <v>46218</v>
      </c>
      <c r="C28" s="53" t="s">
        <v>261</v>
      </c>
      <c r="D28" s="144" t="s">
        <v>1266</v>
      </c>
      <c r="E28"/>
      <c r="F28" s="233">
        <f t="shared" si="0"/>
        <v>17000</v>
      </c>
      <c r="G28" s="237">
        <v>76.89</v>
      </c>
      <c r="H28" s="234">
        <f t="shared" si="1"/>
        <v>13721.18</v>
      </c>
      <c r="I28" s="234">
        <f t="shared" si="2"/>
        <v>3278.8199999999947</v>
      </c>
      <c r="J28" s="235"/>
    </row>
    <row r="29" spans="1:10" s="223" customFormat="1" ht="12.75" customHeight="1" x14ac:dyDescent="0.25">
      <c r="A29" s="70" t="s">
        <v>1436</v>
      </c>
      <c r="B29" s="365">
        <v>46241</v>
      </c>
      <c r="C29" s="53" t="s">
        <v>261</v>
      </c>
      <c r="D29" s="144" t="s">
        <v>1437</v>
      </c>
      <c r="E29"/>
      <c r="F29" s="233">
        <f t="shared" si="0"/>
        <v>17000</v>
      </c>
      <c r="G29" s="237">
        <v>98.67</v>
      </c>
      <c r="H29" s="234">
        <f t="shared" si="1"/>
        <v>13819.85</v>
      </c>
      <c r="I29" s="234">
        <f t="shared" si="2"/>
        <v>3180.1499999999946</v>
      </c>
      <c r="J29" s="235"/>
    </row>
    <row r="30" spans="1:10" s="223" customFormat="1" ht="12.75" customHeight="1" x14ac:dyDescent="0.25">
      <c r="A30" s="70" t="s">
        <v>1436</v>
      </c>
      <c r="B30" s="365">
        <v>46241</v>
      </c>
      <c r="C30" s="268">
        <v>9500</v>
      </c>
      <c r="D30" s="66" t="s">
        <v>1438</v>
      </c>
      <c r="E30"/>
      <c r="F30" s="233">
        <f t="shared" si="0"/>
        <v>17000</v>
      </c>
      <c r="G30" s="237">
        <v>1055.7</v>
      </c>
      <c r="H30" s="234">
        <f t="shared" si="1"/>
        <v>14875.550000000001</v>
      </c>
      <c r="I30" s="234">
        <f t="shared" si="2"/>
        <v>2124.4499999999944</v>
      </c>
      <c r="J30" s="235"/>
    </row>
    <row r="31" spans="1:10" s="223" customFormat="1" ht="12.75" customHeight="1" x14ac:dyDescent="0.25">
      <c r="A31" s="70" t="s">
        <v>1531</v>
      </c>
      <c r="B31" s="365">
        <v>46272</v>
      </c>
      <c r="C31" s="53" t="s">
        <v>261</v>
      </c>
      <c r="D31" s="144" t="s">
        <v>1532</v>
      </c>
      <c r="E31"/>
      <c r="F31" s="233">
        <f t="shared" si="0"/>
        <v>17000</v>
      </c>
      <c r="G31" s="237">
        <v>63.89</v>
      </c>
      <c r="H31" s="234">
        <f t="shared" si="1"/>
        <v>14939.44</v>
      </c>
      <c r="I31" s="234">
        <f t="shared" si="2"/>
        <v>2060.5599999999945</v>
      </c>
      <c r="J31" s="235"/>
    </row>
    <row r="32" spans="1:10" s="223" customFormat="1" ht="12.75" customHeight="1" x14ac:dyDescent="0.25">
      <c r="A32" s="70" t="s">
        <v>1531</v>
      </c>
      <c r="B32" s="365">
        <v>46272</v>
      </c>
      <c r="C32" s="268">
        <v>9500</v>
      </c>
      <c r="D32" s="66" t="s">
        <v>1533</v>
      </c>
      <c r="E32"/>
      <c r="F32" s="233">
        <f t="shared" si="0"/>
        <v>17000</v>
      </c>
      <c r="G32" s="237">
        <v>625.1</v>
      </c>
      <c r="H32" s="234">
        <f t="shared" si="1"/>
        <v>15564.54</v>
      </c>
      <c r="I32" s="234">
        <f t="shared" si="2"/>
        <v>1435.4599999999946</v>
      </c>
      <c r="J32" s="235"/>
    </row>
    <row r="33" spans="1:10" s="223" customFormat="1" ht="12.75" customHeight="1" x14ac:dyDescent="0.25">
      <c r="A33" s="70"/>
      <c r="B33" s="365"/>
      <c r="C33" s="268"/>
      <c r="D33" s="66"/>
      <c r="E33"/>
      <c r="F33" s="233">
        <f t="shared" si="0"/>
        <v>17000</v>
      </c>
      <c r="G33" s="238"/>
      <c r="H33" s="234">
        <f t="shared" si="1"/>
        <v>15564.54</v>
      </c>
      <c r="I33" s="234">
        <f t="shared" si="2"/>
        <v>1435.4599999999946</v>
      </c>
      <c r="J33" s="235"/>
    </row>
    <row r="34" spans="1:10" s="223" customFormat="1" ht="12.75" customHeight="1" x14ac:dyDescent="0.25">
      <c r="A34" s="70"/>
      <c r="B34" s="365"/>
      <c r="C34" s="268"/>
      <c r="D34" s="66"/>
      <c r="E34"/>
      <c r="F34" s="233">
        <f t="shared" si="0"/>
        <v>17000</v>
      </c>
      <c r="G34" s="238"/>
      <c r="H34" s="234">
        <f t="shared" si="1"/>
        <v>15564.54</v>
      </c>
      <c r="I34" s="234">
        <f t="shared" si="2"/>
        <v>1435.4599999999946</v>
      </c>
      <c r="J34" s="235"/>
    </row>
    <row r="35" spans="1:10" s="223" customFormat="1" ht="12.75" customHeight="1" x14ac:dyDescent="0.25">
      <c r="A35" s="70"/>
      <c r="B35" s="50"/>
      <c r="C35" s="53"/>
      <c r="D35" s="144"/>
      <c r="E35"/>
      <c r="F35" s="233">
        <f t="shared" si="0"/>
        <v>17000</v>
      </c>
      <c r="G35" s="237"/>
      <c r="H35" s="234">
        <f t="shared" si="1"/>
        <v>15564.54</v>
      </c>
      <c r="I35" s="234">
        <f t="shared" si="2"/>
        <v>1435.4599999999946</v>
      </c>
      <c r="J35" s="235"/>
    </row>
    <row r="36" spans="1:10" s="223" customFormat="1" ht="12.75" customHeight="1" x14ac:dyDescent="0.25">
      <c r="A36" s="230"/>
      <c r="B36" s="231"/>
      <c r="C36" s="241"/>
      <c r="D36" s="240"/>
      <c r="E36" s="234"/>
      <c r="F36" s="234"/>
      <c r="G36" s="234"/>
      <c r="H36" s="234"/>
      <c r="I36" s="234"/>
      <c r="J36" s="235"/>
    </row>
    <row r="37" spans="1:10" s="223" customFormat="1" ht="12.75" customHeight="1" thickBot="1" x14ac:dyDescent="0.3">
      <c r="A37" s="230"/>
      <c r="B37" s="243"/>
      <c r="C37" s="241"/>
      <c r="D37" s="244" t="s">
        <v>24</v>
      </c>
      <c r="E37" s="245">
        <f>SUM(E9:E36)</f>
        <v>17000</v>
      </c>
      <c r="F37" s="245"/>
      <c r="G37" s="245">
        <f>SUM(G9:G36)</f>
        <v>15564.54</v>
      </c>
      <c r="H37" s="245"/>
      <c r="I37" s="245">
        <f>E37-G37</f>
        <v>1435.4599999999991</v>
      </c>
      <c r="J37" s="235"/>
    </row>
    <row r="38" spans="1:10" s="223" customFormat="1" ht="12.75" customHeight="1" thickTop="1" x14ac:dyDescent="0.25"/>
    <row r="39" spans="1:10" s="223" customFormat="1" ht="12.75" customHeight="1" x14ac:dyDescent="0.25"/>
    <row r="40" spans="1:10" s="223"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A9FD8-612E-492B-801F-E5DD60442549}">
  <sheetPr>
    <pageSetUpPr fitToPage="1"/>
  </sheetPr>
  <dimension ref="A1:I33"/>
  <sheetViews>
    <sheetView zoomScaleNormal="100" workbookViewId="0">
      <selection activeCell="M21" sqref="M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9.7109375" customWidth="1"/>
    <col min="6" max="6" width="14.710937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9" ht="24.75" customHeight="1" x14ac:dyDescent="0.25">
      <c r="A1" s="2" t="str">
        <f>'RECAP #9499.00'!B1</f>
        <v>IPBS 6535 Corporate Drive Parking Lot Replacement</v>
      </c>
      <c r="B1" s="3"/>
      <c r="C1" s="3"/>
      <c r="D1" s="3"/>
      <c r="E1" s="4"/>
      <c r="F1" s="4"/>
      <c r="G1" s="4"/>
      <c r="H1" s="28"/>
    </row>
    <row r="2" spans="1:9" ht="15.75" x14ac:dyDescent="0.25">
      <c r="A2" s="6" t="str">
        <f>'RECAP #9499.00'!B2</f>
        <v>Project # 9499.00</v>
      </c>
      <c r="B2" s="5"/>
      <c r="C2" s="5"/>
      <c r="D2" s="5"/>
      <c r="E2" s="4"/>
      <c r="F2" s="4"/>
      <c r="G2" s="4"/>
      <c r="H2" s="28"/>
    </row>
    <row r="3" spans="1:9" ht="15.75" x14ac:dyDescent="0.25">
      <c r="A3" s="7" t="str">
        <f>'RECAP #9499.00'!B3</f>
        <v>Program code 949900</v>
      </c>
      <c r="B3" s="5"/>
      <c r="C3" s="5"/>
      <c r="D3" s="5"/>
      <c r="E3" s="8" t="str">
        <f>'RECAP #9499.00'!E3</f>
        <v>Major Program 4E19</v>
      </c>
      <c r="F3" s="5"/>
      <c r="G3" s="4"/>
      <c r="H3" s="28"/>
    </row>
    <row r="4" spans="1:9" ht="15.75" x14ac:dyDescent="0.25">
      <c r="A4" s="67" t="s">
        <v>30</v>
      </c>
      <c r="B4" s="68"/>
      <c r="C4" s="68"/>
      <c r="D4" s="68"/>
      <c r="E4" s="33"/>
      <c r="F4" s="5"/>
      <c r="G4" s="28"/>
      <c r="H4" s="28"/>
    </row>
    <row r="5" spans="1:9" ht="15.75" x14ac:dyDescent="0.25">
      <c r="A5" s="11"/>
      <c r="B5" s="35"/>
      <c r="C5" s="35"/>
      <c r="D5" s="35"/>
      <c r="E5" s="69" t="s">
        <v>31</v>
      </c>
      <c r="F5" s="5"/>
      <c r="G5" s="38"/>
      <c r="H5" s="39"/>
    </row>
    <row r="6" spans="1:9" ht="15.75" x14ac:dyDescent="0.25">
      <c r="A6" s="34" t="s">
        <v>66</v>
      </c>
      <c r="B6" s="11"/>
      <c r="C6" s="11"/>
      <c r="D6" s="11"/>
      <c r="E6" s="8" t="s">
        <v>719</v>
      </c>
      <c r="F6" s="35"/>
      <c r="G6" s="38"/>
      <c r="H6" s="39"/>
    </row>
    <row r="7" spans="1:9" ht="15.75" x14ac:dyDescent="0.25">
      <c r="A7" s="11" t="str">
        <f>'RECAP #9499.00'!B6</f>
        <v>Project Manager -  Brandon A.</v>
      </c>
      <c r="B7" s="44"/>
      <c r="C7" s="44"/>
      <c r="D7" s="44"/>
      <c r="E7" s="44"/>
      <c r="F7" s="5"/>
      <c r="G7" s="39"/>
      <c r="H7" s="39"/>
    </row>
    <row r="8" spans="1:9" ht="32.25" thickBot="1" x14ac:dyDescent="0.3">
      <c r="A8" s="45" t="s">
        <v>32</v>
      </c>
      <c r="B8" s="46" t="s">
        <v>17</v>
      </c>
      <c r="C8" s="64" t="s">
        <v>27</v>
      </c>
      <c r="D8" s="64" t="s">
        <v>28</v>
      </c>
      <c r="E8" s="47" t="s">
        <v>18</v>
      </c>
      <c r="F8" s="48" t="s">
        <v>33</v>
      </c>
      <c r="G8" s="48" t="s">
        <v>21</v>
      </c>
      <c r="H8" s="48" t="s">
        <v>22</v>
      </c>
    </row>
    <row r="9" spans="1:9" ht="12.75" customHeight="1" x14ac:dyDescent="0.25">
      <c r="A9" s="239" t="s">
        <v>833</v>
      </c>
      <c r="B9" s="177">
        <v>46142</v>
      </c>
      <c r="C9" s="241" t="s">
        <v>361</v>
      </c>
      <c r="D9" s="241" t="s">
        <v>830</v>
      </c>
      <c r="E9" s="176" t="s">
        <v>832</v>
      </c>
      <c r="F9" s="317" t="s">
        <v>831</v>
      </c>
      <c r="G9" s="303">
        <v>1150</v>
      </c>
      <c r="H9" s="260">
        <f>G9</f>
        <v>1150</v>
      </c>
      <c r="I9" s="223"/>
    </row>
    <row r="10" spans="1:9" ht="12.75" customHeight="1" x14ac:dyDescent="0.25">
      <c r="A10" s="176" t="s">
        <v>1072</v>
      </c>
      <c r="B10" s="177">
        <v>46191</v>
      </c>
      <c r="C10" s="241" t="s">
        <v>361</v>
      </c>
      <c r="D10" s="241" t="s">
        <v>830</v>
      </c>
      <c r="E10" s="176" t="s">
        <v>832</v>
      </c>
      <c r="F10" s="272" t="s">
        <v>1073</v>
      </c>
      <c r="G10" s="303">
        <v>700</v>
      </c>
      <c r="H10" s="260">
        <f>H9+G10</f>
        <v>1850</v>
      </c>
      <c r="I10" s="223"/>
    </row>
    <row r="11" spans="1:9" ht="12.75" customHeight="1" x14ac:dyDescent="0.25">
      <c r="A11" s="176" t="s">
        <v>1144</v>
      </c>
      <c r="B11" s="177">
        <v>46203</v>
      </c>
      <c r="C11" s="241" t="s">
        <v>361</v>
      </c>
      <c r="D11" s="241" t="s">
        <v>362</v>
      </c>
      <c r="E11" s="58" t="s">
        <v>368</v>
      </c>
      <c r="F11" s="272" t="s">
        <v>1143</v>
      </c>
      <c r="G11" s="303">
        <v>200</v>
      </c>
      <c r="H11" s="260">
        <f t="shared" ref="H11:H20" si="0">H10+G11</f>
        <v>2050</v>
      </c>
      <c r="I11" s="223"/>
    </row>
    <row r="12" spans="1:9" ht="12.75" customHeight="1" x14ac:dyDescent="0.25">
      <c r="A12" s="176" t="s">
        <v>1218</v>
      </c>
      <c r="B12" s="177">
        <v>46216</v>
      </c>
      <c r="C12" s="241">
        <v>9500</v>
      </c>
      <c r="D12" s="241" t="s">
        <v>362</v>
      </c>
      <c r="E12" s="258" t="s">
        <v>1219</v>
      </c>
      <c r="F12" s="272" t="s">
        <v>1217</v>
      </c>
      <c r="G12" s="303">
        <v>2602.83</v>
      </c>
      <c r="H12" s="260">
        <f t="shared" si="0"/>
        <v>4652.83</v>
      </c>
      <c r="I12" s="223"/>
    </row>
    <row r="13" spans="1:9" ht="12.75" customHeight="1" x14ac:dyDescent="0.25">
      <c r="A13" s="176" t="s">
        <v>1340</v>
      </c>
      <c r="B13" s="177">
        <v>46226</v>
      </c>
      <c r="C13" s="241">
        <v>9500</v>
      </c>
      <c r="D13" s="241" t="s">
        <v>362</v>
      </c>
      <c r="E13" s="258" t="s">
        <v>1339</v>
      </c>
      <c r="F13" s="272" t="s">
        <v>1338</v>
      </c>
      <c r="G13" s="303">
        <v>1777.1</v>
      </c>
      <c r="H13" s="260">
        <f t="shared" si="0"/>
        <v>6429.93</v>
      </c>
      <c r="I13" s="223"/>
    </row>
    <row r="14" spans="1:9" ht="12.75" customHeight="1" x14ac:dyDescent="0.25">
      <c r="A14" s="176" t="s">
        <v>1432</v>
      </c>
      <c r="B14" s="177">
        <v>46247</v>
      </c>
      <c r="C14" s="241">
        <v>9500</v>
      </c>
      <c r="D14" s="177" t="s">
        <v>362</v>
      </c>
      <c r="E14" s="258" t="s">
        <v>1091</v>
      </c>
      <c r="F14" s="272" t="s">
        <v>1431</v>
      </c>
      <c r="G14" s="303">
        <v>6520.5</v>
      </c>
      <c r="H14" s="260">
        <f t="shared" si="0"/>
        <v>12950.43</v>
      </c>
      <c r="I14" s="223"/>
    </row>
    <row r="15" spans="1:9" ht="12.75" customHeight="1" x14ac:dyDescent="0.25">
      <c r="A15" s="241"/>
      <c r="B15" s="177"/>
      <c r="C15" s="177"/>
      <c r="D15" s="177"/>
      <c r="E15" s="261"/>
      <c r="F15" s="252"/>
      <c r="G15" s="260"/>
      <c r="H15" s="260">
        <f t="shared" si="0"/>
        <v>12950.43</v>
      </c>
      <c r="I15" s="223"/>
    </row>
    <row r="16" spans="1:9" ht="12.75" customHeight="1" x14ac:dyDescent="0.25">
      <c r="A16" s="241"/>
      <c r="B16" s="177"/>
      <c r="C16" s="177"/>
      <c r="D16" s="177"/>
      <c r="E16" s="258"/>
      <c r="F16" s="252"/>
      <c r="G16" s="260"/>
      <c r="H16" s="260">
        <f t="shared" si="0"/>
        <v>12950.43</v>
      </c>
      <c r="I16" s="223"/>
    </row>
    <row r="17" spans="1:9" ht="12.75" customHeight="1" x14ac:dyDescent="0.25">
      <c r="A17" s="230"/>
      <c r="B17" s="177"/>
      <c r="C17" s="177"/>
      <c r="D17" s="177"/>
      <c r="E17" s="258"/>
      <c r="F17" s="252"/>
      <c r="G17" s="260"/>
      <c r="H17" s="260">
        <f t="shared" si="0"/>
        <v>12950.43</v>
      </c>
      <c r="I17" s="223"/>
    </row>
    <row r="18" spans="1:9" ht="12.75" customHeight="1" x14ac:dyDescent="0.25">
      <c r="A18" s="230"/>
      <c r="B18" s="177"/>
      <c r="C18" s="177"/>
      <c r="D18" s="177"/>
      <c r="E18" s="258"/>
      <c r="F18" s="252"/>
      <c r="G18" s="260"/>
      <c r="H18" s="260">
        <f t="shared" si="0"/>
        <v>12950.43</v>
      </c>
      <c r="I18" s="223"/>
    </row>
    <row r="19" spans="1:9" ht="12.75" customHeight="1" x14ac:dyDescent="0.25">
      <c r="A19" s="230"/>
      <c r="B19" s="177"/>
      <c r="C19" s="177"/>
      <c r="D19" s="177"/>
      <c r="E19" s="258"/>
      <c r="F19" s="252"/>
      <c r="G19" s="260"/>
      <c r="H19" s="260">
        <f t="shared" si="0"/>
        <v>12950.43</v>
      </c>
      <c r="I19" s="223"/>
    </row>
    <row r="20" spans="1:9" ht="12.75" customHeight="1" x14ac:dyDescent="0.25">
      <c r="A20" s="230"/>
      <c r="B20" s="177"/>
      <c r="C20" s="177"/>
      <c r="D20" s="177"/>
      <c r="E20" s="258"/>
      <c r="F20" s="252"/>
      <c r="G20" s="260"/>
      <c r="H20" s="260">
        <f t="shared" si="0"/>
        <v>12950.43</v>
      </c>
      <c r="I20" s="223"/>
    </row>
    <row r="21" spans="1:9" ht="12.75" customHeight="1" x14ac:dyDescent="0.25">
      <c r="A21" s="230"/>
      <c r="B21" s="240"/>
      <c r="C21" s="240"/>
      <c r="D21" s="240"/>
      <c r="E21" s="258"/>
      <c r="F21" s="260"/>
      <c r="G21" s="258"/>
      <c r="H21" s="260"/>
      <c r="I21" s="223"/>
    </row>
    <row r="22" spans="1:9" ht="12.75" customHeight="1" thickBot="1" x14ac:dyDescent="0.3">
      <c r="A22" s="262"/>
      <c r="B22" s="263"/>
      <c r="C22" s="263"/>
      <c r="D22" s="263"/>
      <c r="E22" s="264" t="s">
        <v>24</v>
      </c>
      <c r="F22" s="265"/>
      <c r="G22" s="245">
        <f>SUM(G9:G21)</f>
        <v>12950.43</v>
      </c>
      <c r="H22" s="265"/>
      <c r="I22" s="223"/>
    </row>
    <row r="23" spans="1:9" ht="12.75" customHeight="1" thickTop="1" x14ac:dyDescent="0.25">
      <c r="A23" s="223"/>
      <c r="B23" s="223"/>
      <c r="C23" s="223"/>
      <c r="D23" s="223"/>
      <c r="E23" s="223"/>
      <c r="F23" s="223"/>
      <c r="G23" s="223"/>
      <c r="H23" s="223"/>
      <c r="I23" s="223"/>
    </row>
    <row r="24" spans="1:9" ht="12.75" customHeight="1" x14ac:dyDescent="0.25">
      <c r="A24" s="223"/>
      <c r="B24" s="223"/>
      <c r="C24" s="223"/>
      <c r="D24" s="223"/>
      <c r="E24" s="223"/>
      <c r="F24" s="223"/>
      <c r="G24" s="223"/>
      <c r="H24" s="223"/>
      <c r="I24" s="223"/>
    </row>
    <row r="25" spans="1:9" ht="12.75" customHeight="1" x14ac:dyDescent="0.25">
      <c r="A25" s="223"/>
      <c r="B25" s="223"/>
      <c r="C25" s="223"/>
      <c r="D25" s="223"/>
      <c r="E25" s="223"/>
      <c r="F25" s="223"/>
      <c r="G25" s="223"/>
      <c r="H25" s="223"/>
      <c r="I25" s="223"/>
    </row>
    <row r="26" spans="1:9" ht="12.75" customHeight="1" x14ac:dyDescent="0.25"/>
    <row r="27" spans="1:9" ht="12.75" customHeight="1" x14ac:dyDescent="0.25"/>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ht="12.75" customHeight="1" x14ac:dyDescent="0.25"/>
  </sheetData>
  <pageMargins left="0.25" right="0.25" top="0.95" bottom="0.75" header="0.09" footer="0.3"/>
  <pageSetup scale="7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27A6F-3F6E-4F74-866D-11FC2F869313}">
  <sheetPr>
    <tabColor rgb="FF0070C0"/>
    <pageSetUpPr fitToPage="1"/>
  </sheetPr>
  <dimension ref="A1:I33"/>
  <sheetViews>
    <sheetView zoomScaleNormal="100" workbookViewId="0">
      <selection activeCell="M26" sqref="M26"/>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1" style="274" customWidth="1"/>
    <col min="9" max="9" width="6.42578125" style="274" bestFit="1"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#9499.00'!B1</f>
        <v>IPBS 6535 Corporate Drive Parking Lot Replacement</v>
      </c>
      <c r="B1" s="30"/>
      <c r="C1" s="153"/>
      <c r="D1" s="153"/>
      <c r="E1" s="153"/>
      <c r="F1" s="156"/>
      <c r="G1" s="156"/>
      <c r="H1" s="179"/>
      <c r="I1" s="179"/>
    </row>
    <row r="2" spans="1:9" ht="15.75" x14ac:dyDescent="0.25">
      <c r="A2" s="31" t="str">
        <f>'RECAP #9499.00'!B2</f>
        <v>Project # 9499.00</v>
      </c>
      <c r="B2" s="150"/>
      <c r="C2" s="153"/>
      <c r="D2" s="153"/>
      <c r="E2" s="153"/>
      <c r="F2" s="156"/>
      <c r="G2" s="156"/>
      <c r="H2" s="179"/>
      <c r="I2" s="179"/>
    </row>
    <row r="3" spans="1:9" ht="15.75" x14ac:dyDescent="0.25">
      <c r="A3" s="154" t="str">
        <f>'RECAP #9499.00'!B3</f>
        <v>Program code 949900</v>
      </c>
      <c r="B3" s="150"/>
      <c r="C3" s="153"/>
      <c r="D3" s="155" t="str">
        <f>'RECAP #9499.00'!E3</f>
        <v>Major Program 4E19</v>
      </c>
      <c r="E3" s="153"/>
      <c r="F3" s="156"/>
      <c r="G3" s="156"/>
      <c r="H3" s="179"/>
      <c r="I3" s="179"/>
    </row>
    <row r="4" spans="1:9" ht="15.75" x14ac:dyDescent="0.25">
      <c r="A4" s="30" t="s">
        <v>420</v>
      </c>
      <c r="B4" s="31"/>
      <c r="C4" s="179"/>
      <c r="D4" s="180" t="s">
        <v>421</v>
      </c>
      <c r="E4" s="156"/>
      <c r="F4" s="156"/>
      <c r="G4" s="156"/>
      <c r="H4" s="179"/>
      <c r="I4" s="179"/>
    </row>
    <row r="5" spans="1:9" ht="15.75" x14ac:dyDescent="0.25">
      <c r="A5" s="181" t="s">
        <v>115</v>
      </c>
      <c r="B5" s="179"/>
      <c r="C5" s="182"/>
      <c r="D5" s="37" t="s">
        <v>422</v>
      </c>
      <c r="E5" s="42"/>
      <c r="F5" s="156"/>
      <c r="G5" s="156"/>
      <c r="H5" s="179"/>
      <c r="I5" s="179"/>
    </row>
    <row r="6" spans="1:9" ht="15.75" x14ac:dyDescent="0.25">
      <c r="A6" s="31" t="str">
        <f>'RECAP #9499.00'!B6</f>
        <v>Project Manager -  Brandon A.</v>
      </c>
      <c r="B6" s="31"/>
      <c r="C6" s="183"/>
      <c r="D6" s="184" t="s">
        <v>118</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454</v>
      </c>
      <c r="B9" s="276">
        <v>46045</v>
      </c>
      <c r="C9" s="277" t="s">
        <v>109</v>
      </c>
      <c r="D9" s="278">
        <v>33530</v>
      </c>
      <c r="E9" s="279">
        <f>D9</f>
        <v>33530</v>
      </c>
      <c r="F9" s="280"/>
      <c r="G9" s="280"/>
      <c r="H9" s="280">
        <f>E9</f>
        <v>33530</v>
      </c>
      <c r="I9" s="281"/>
    </row>
    <row r="10" spans="1:9" s="282" customFormat="1" ht="12.75" customHeight="1" x14ac:dyDescent="0.25">
      <c r="A10" s="275" t="s">
        <v>581</v>
      </c>
      <c r="B10" s="283">
        <v>46073</v>
      </c>
      <c r="C10" s="277" t="s">
        <v>393</v>
      </c>
      <c r="D10" s="279"/>
      <c r="E10" s="279">
        <f t="shared" ref="E10:E21" si="0">E9+D10</f>
        <v>33530</v>
      </c>
      <c r="F10" s="284">
        <v>14300</v>
      </c>
      <c r="G10" s="280">
        <f t="shared" ref="G10:G21" si="1">G9+F10</f>
        <v>14300</v>
      </c>
      <c r="H10" s="280">
        <f t="shared" ref="H10:H21" si="2">H9-F10+D10</f>
        <v>19230</v>
      </c>
      <c r="I10" s="281"/>
    </row>
    <row r="11" spans="1:9" s="282" customFormat="1" ht="12.75" customHeight="1" x14ac:dyDescent="0.25">
      <c r="A11" s="275" t="s">
        <v>712</v>
      </c>
      <c r="B11" s="276">
        <v>46107</v>
      </c>
      <c r="C11" s="277" t="s">
        <v>560</v>
      </c>
      <c r="D11" s="279"/>
      <c r="E11" s="279">
        <f t="shared" si="0"/>
        <v>33530</v>
      </c>
      <c r="F11" s="284">
        <v>10420</v>
      </c>
      <c r="G11" s="280">
        <f t="shared" si="1"/>
        <v>24720</v>
      </c>
      <c r="H11" s="280">
        <f t="shared" si="2"/>
        <v>8810</v>
      </c>
      <c r="I11" s="281"/>
    </row>
    <row r="12" spans="1:9" s="282" customFormat="1" ht="12.75" customHeight="1" x14ac:dyDescent="0.25">
      <c r="A12" s="275" t="s">
        <v>761</v>
      </c>
      <c r="B12" s="276">
        <v>46125</v>
      </c>
      <c r="C12" s="277" t="s">
        <v>665</v>
      </c>
      <c r="D12" s="279"/>
      <c r="E12" s="279">
        <f t="shared" si="0"/>
        <v>33530</v>
      </c>
      <c r="F12" s="284">
        <v>2350</v>
      </c>
      <c r="G12" s="280">
        <f t="shared" si="1"/>
        <v>27070</v>
      </c>
      <c r="H12" s="280">
        <f t="shared" si="2"/>
        <v>6460</v>
      </c>
      <c r="I12" s="281"/>
    </row>
    <row r="13" spans="1:9" s="282" customFormat="1" ht="12.75" customHeight="1" x14ac:dyDescent="0.25">
      <c r="A13" s="275" t="s">
        <v>929</v>
      </c>
      <c r="B13" s="276">
        <v>46168</v>
      </c>
      <c r="C13" s="277" t="s">
        <v>805</v>
      </c>
      <c r="D13" s="279"/>
      <c r="E13" s="279">
        <f t="shared" si="0"/>
        <v>33530</v>
      </c>
      <c r="F13" s="284">
        <v>646</v>
      </c>
      <c r="G13" s="280">
        <f t="shared" si="1"/>
        <v>27716</v>
      </c>
      <c r="H13" s="280">
        <f t="shared" si="2"/>
        <v>5814</v>
      </c>
      <c r="I13" s="281"/>
    </row>
    <row r="14" spans="1:9" s="282" customFormat="1" ht="12.75" customHeight="1" x14ac:dyDescent="0.25">
      <c r="A14" s="275" t="s">
        <v>1220</v>
      </c>
      <c r="B14" s="276">
        <v>46216</v>
      </c>
      <c r="C14" s="277" t="s">
        <v>1221</v>
      </c>
      <c r="D14" s="279"/>
      <c r="E14" s="279">
        <f t="shared" si="0"/>
        <v>33530</v>
      </c>
      <c r="F14" s="284">
        <v>5814</v>
      </c>
      <c r="G14" s="280">
        <f t="shared" si="1"/>
        <v>33530</v>
      </c>
      <c r="H14" s="280">
        <f t="shared" si="2"/>
        <v>0</v>
      </c>
      <c r="I14" s="281"/>
    </row>
    <row r="15" spans="1:9" s="282" customFormat="1" ht="12.75" customHeight="1" x14ac:dyDescent="0.25">
      <c r="A15" s="275"/>
      <c r="B15" s="276"/>
      <c r="C15" s="277"/>
      <c r="D15" s="279"/>
      <c r="E15" s="279">
        <f t="shared" si="0"/>
        <v>33530</v>
      </c>
      <c r="F15" s="284"/>
      <c r="G15" s="280">
        <f t="shared" si="1"/>
        <v>33530</v>
      </c>
      <c r="H15" s="280">
        <f t="shared" si="2"/>
        <v>0</v>
      </c>
      <c r="I15" s="281"/>
    </row>
    <row r="16" spans="1:9" s="282" customFormat="1" ht="12.75" customHeight="1" x14ac:dyDescent="0.25">
      <c r="A16" s="275"/>
      <c r="B16" s="276"/>
      <c r="C16" s="277"/>
      <c r="D16" s="279"/>
      <c r="E16" s="279">
        <f t="shared" si="0"/>
        <v>33530</v>
      </c>
      <c r="F16" s="284"/>
      <c r="G16" s="280">
        <f t="shared" si="1"/>
        <v>33530</v>
      </c>
      <c r="H16" s="280">
        <f t="shared" si="2"/>
        <v>0</v>
      </c>
      <c r="I16" s="281"/>
    </row>
    <row r="17" spans="1:9" s="282" customFormat="1" ht="12.75" customHeight="1" x14ac:dyDescent="0.25">
      <c r="A17" s="275"/>
      <c r="B17" s="276"/>
      <c r="C17" s="277"/>
      <c r="D17" s="279"/>
      <c r="E17" s="279">
        <f t="shared" si="0"/>
        <v>33530</v>
      </c>
      <c r="F17" s="284"/>
      <c r="G17" s="280">
        <f t="shared" si="1"/>
        <v>33530</v>
      </c>
      <c r="H17" s="280">
        <f t="shared" si="2"/>
        <v>0</v>
      </c>
      <c r="I17" s="281"/>
    </row>
    <row r="18" spans="1:9" s="282" customFormat="1" ht="12.75" customHeight="1" x14ac:dyDescent="0.25">
      <c r="A18" s="275"/>
      <c r="B18" s="276"/>
      <c r="C18" s="277"/>
      <c r="D18" s="279"/>
      <c r="E18" s="279">
        <f t="shared" si="0"/>
        <v>33530</v>
      </c>
      <c r="F18" s="284"/>
      <c r="G18" s="280">
        <f t="shared" si="1"/>
        <v>33530</v>
      </c>
      <c r="H18" s="280">
        <f t="shared" si="2"/>
        <v>0</v>
      </c>
      <c r="I18" s="281"/>
    </row>
    <row r="19" spans="1:9" s="282" customFormat="1" ht="12.75" customHeight="1" x14ac:dyDescent="0.25">
      <c r="A19" s="275"/>
      <c r="B19" s="276"/>
      <c r="C19" s="277"/>
      <c r="D19" s="279"/>
      <c r="E19" s="279">
        <f t="shared" si="0"/>
        <v>33530</v>
      </c>
      <c r="F19" s="280"/>
      <c r="G19" s="280">
        <f t="shared" si="1"/>
        <v>33530</v>
      </c>
      <c r="H19" s="280">
        <f t="shared" si="2"/>
        <v>0</v>
      </c>
      <c r="I19" s="281"/>
    </row>
    <row r="20" spans="1:9" s="282" customFormat="1" ht="12.75" customHeight="1" x14ac:dyDescent="0.25">
      <c r="A20" s="275"/>
      <c r="B20" s="276"/>
      <c r="C20" s="277"/>
      <c r="D20" s="279"/>
      <c r="E20" s="279">
        <f t="shared" si="0"/>
        <v>33530</v>
      </c>
      <c r="F20" s="280"/>
      <c r="G20" s="280">
        <f t="shared" si="1"/>
        <v>33530</v>
      </c>
      <c r="H20" s="280">
        <f t="shared" si="2"/>
        <v>0</v>
      </c>
      <c r="I20" s="281"/>
    </row>
    <row r="21" spans="1:9" s="282" customFormat="1" ht="12.75" customHeight="1" x14ac:dyDescent="0.25">
      <c r="A21" s="275"/>
      <c r="B21" s="276"/>
      <c r="C21" s="286"/>
      <c r="D21" s="279"/>
      <c r="E21" s="279">
        <f t="shared" si="0"/>
        <v>33530</v>
      </c>
      <c r="F21" s="280"/>
      <c r="G21" s="280">
        <f t="shared" si="1"/>
        <v>33530</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33530</v>
      </c>
      <c r="E23" s="290"/>
      <c r="F23" s="290">
        <f>SUM(F9:F22)</f>
        <v>33530</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455</v>
      </c>
      <c r="D26" s="280">
        <v>2000</v>
      </c>
      <c r="E26" s="280"/>
      <c r="F26" s="280">
        <f>2000</f>
        <v>2000</v>
      </c>
      <c r="G26" s="280"/>
      <c r="H26" s="280">
        <f t="shared" ref="H26:H31" si="3">D26-F26</f>
        <v>0</v>
      </c>
      <c r="I26" s="281"/>
    </row>
    <row r="27" spans="1:9" s="282" customFormat="1" ht="12.75" customHeight="1" x14ac:dyDescent="0.25">
      <c r="A27" s="275"/>
      <c r="B27" s="277"/>
      <c r="C27" s="287" t="s">
        <v>456</v>
      </c>
      <c r="D27" s="280">
        <v>3200</v>
      </c>
      <c r="E27" s="280"/>
      <c r="F27" s="280">
        <f>3200</f>
        <v>3200</v>
      </c>
      <c r="G27" s="280"/>
      <c r="H27" s="280">
        <f t="shared" si="3"/>
        <v>0</v>
      </c>
      <c r="I27" s="281"/>
    </row>
    <row r="28" spans="1:9" s="282" customFormat="1" ht="12.75" customHeight="1" x14ac:dyDescent="0.25">
      <c r="A28" s="275"/>
      <c r="B28" s="277"/>
      <c r="C28" s="287" t="s">
        <v>457</v>
      </c>
      <c r="D28" s="280">
        <v>9100</v>
      </c>
      <c r="E28" s="280"/>
      <c r="F28" s="280">
        <f>9100</f>
        <v>9100</v>
      </c>
      <c r="G28" s="280"/>
      <c r="H28" s="280">
        <f t="shared" si="3"/>
        <v>0</v>
      </c>
      <c r="I28" s="281"/>
    </row>
    <row r="29" spans="1:9" s="282" customFormat="1" ht="12.75" customHeight="1" x14ac:dyDescent="0.25">
      <c r="A29" s="275"/>
      <c r="B29" s="277"/>
      <c r="C29" s="287" t="s">
        <v>399</v>
      </c>
      <c r="D29" s="280">
        <v>10420</v>
      </c>
      <c r="E29" s="280"/>
      <c r="F29" s="280">
        <f>10420</f>
        <v>10420</v>
      </c>
      <c r="G29" s="280"/>
      <c r="H29" s="280">
        <f t="shared" si="3"/>
        <v>0</v>
      </c>
      <c r="I29" s="281"/>
    </row>
    <row r="30" spans="1:9" s="282" customFormat="1" ht="12.75" customHeight="1" x14ac:dyDescent="0.25">
      <c r="A30" s="275"/>
      <c r="B30" s="277"/>
      <c r="C30" s="287" t="s">
        <v>300</v>
      </c>
      <c r="D30" s="292">
        <v>2350</v>
      </c>
      <c r="E30" s="292"/>
      <c r="F30" s="292">
        <f>2350</f>
        <v>2350</v>
      </c>
      <c r="G30" s="292"/>
      <c r="H30" s="280">
        <f t="shared" si="3"/>
        <v>0</v>
      </c>
      <c r="I30" s="281"/>
    </row>
    <row r="31" spans="1:9" s="282" customFormat="1" ht="12.75" customHeight="1" x14ac:dyDescent="0.25">
      <c r="A31" s="275"/>
      <c r="B31" s="277"/>
      <c r="C31" s="287" t="s">
        <v>122</v>
      </c>
      <c r="D31" s="292">
        <v>6460</v>
      </c>
      <c r="E31" s="292"/>
      <c r="F31" s="292">
        <f>646+5814</f>
        <v>6460</v>
      </c>
      <c r="G31" s="292"/>
      <c r="H31" s="280">
        <f t="shared" si="3"/>
        <v>0</v>
      </c>
      <c r="I31" s="281"/>
    </row>
    <row r="32" spans="1:9" s="282" customFormat="1" ht="12.75" customHeight="1" thickBot="1" x14ac:dyDescent="0.3">
      <c r="A32" s="275"/>
      <c r="B32" s="277"/>
      <c r="C32" s="293" t="s">
        <v>67</v>
      </c>
      <c r="D32" s="290">
        <f>SUM(D26:D31)</f>
        <v>33530</v>
      </c>
      <c r="E32" s="294"/>
      <c r="F32" s="290">
        <f>SUM(F26:F31)</f>
        <v>33530</v>
      </c>
      <c r="G32" s="294"/>
      <c r="H32" s="290">
        <f>SUM(H26:H31)</f>
        <v>0</v>
      </c>
      <c r="I32" s="281"/>
    </row>
    <row r="33" s="282" customFormat="1" ht="12.75" customHeight="1" thickTop="1" x14ac:dyDescent="0.25"/>
  </sheetData>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BECE1-41B0-4E6D-B170-2B7E42D1F2E8}">
  <sheetPr>
    <pageSetUpPr fitToPage="1"/>
  </sheetPr>
  <dimension ref="A1:I31"/>
  <sheetViews>
    <sheetView zoomScaleNormal="100" workbookViewId="0">
      <selection activeCell="F15" sqref="F1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#9499.00'!B1</f>
        <v>IPBS 6535 Corporate Drive Parking Lot Replacement</v>
      </c>
      <c r="B1" s="3"/>
      <c r="C1" s="4"/>
      <c r="D1" s="4"/>
      <c r="E1" s="4"/>
      <c r="F1" s="28"/>
      <c r="G1" s="28"/>
      <c r="H1" s="29"/>
      <c r="I1" s="29"/>
    </row>
    <row r="2" spans="1:9" ht="15.75" x14ac:dyDescent="0.25">
      <c r="A2" s="6" t="str">
        <f>'RECAP #9499.00'!B2</f>
        <v>Project # 9499.00</v>
      </c>
      <c r="B2" s="5"/>
      <c r="C2" s="4"/>
      <c r="D2" s="4"/>
      <c r="E2" s="4"/>
      <c r="F2" s="28"/>
      <c r="G2" s="28"/>
      <c r="H2" s="29"/>
      <c r="I2" s="29"/>
    </row>
    <row r="3" spans="1:9" ht="15.75" x14ac:dyDescent="0.25">
      <c r="A3" s="7" t="str">
        <f>'RECAP #9499.00'!B3</f>
        <v>Program code 949900</v>
      </c>
      <c r="B3" s="5"/>
      <c r="C3" s="4"/>
      <c r="D3" s="8" t="str">
        <f>'RECAP #9499.00'!E3</f>
        <v>Major Program 4E19</v>
      </c>
      <c r="E3" s="4"/>
      <c r="F3" s="28"/>
      <c r="G3" s="28"/>
      <c r="H3" s="29"/>
      <c r="I3" s="29"/>
    </row>
    <row r="4" spans="1:9" ht="15.75" x14ac:dyDescent="0.25">
      <c r="A4" s="30" t="s">
        <v>717</v>
      </c>
      <c r="B4" s="31"/>
      <c r="C4" s="32"/>
      <c r="D4" s="33" t="s">
        <v>351</v>
      </c>
      <c r="E4" s="28"/>
      <c r="F4" s="28"/>
      <c r="G4" s="28"/>
      <c r="H4" s="29"/>
      <c r="I4" s="29"/>
    </row>
    <row r="5" spans="1:9" ht="15.75" x14ac:dyDescent="0.25">
      <c r="A5" s="34" t="s">
        <v>104</v>
      </c>
      <c r="B5" s="35"/>
      <c r="C5" s="36"/>
      <c r="D5" s="37" t="s">
        <v>352</v>
      </c>
      <c r="E5" s="38"/>
      <c r="F5" s="39"/>
      <c r="G5" s="39"/>
      <c r="H5" s="35"/>
      <c r="I5" s="29"/>
    </row>
    <row r="6" spans="1:9" ht="15.75" x14ac:dyDescent="0.25">
      <c r="A6" s="11" t="str">
        <f>'RECAP #9499.00'!B6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718</v>
      </c>
      <c r="B9" s="177">
        <v>46111</v>
      </c>
      <c r="C9" s="231" t="s">
        <v>109</v>
      </c>
      <c r="D9" s="232">
        <v>29267.48</v>
      </c>
      <c r="E9" s="233">
        <f>D9</f>
        <v>29267.48</v>
      </c>
      <c r="F9" s="234"/>
      <c r="G9" s="234"/>
      <c r="H9" s="234">
        <f>E9</f>
        <v>29267.48</v>
      </c>
      <c r="I9" s="235"/>
    </row>
    <row r="10" spans="1:9" s="223" customFormat="1" ht="12.75" customHeight="1" x14ac:dyDescent="0.25">
      <c r="A10" s="230" t="s">
        <v>886</v>
      </c>
      <c r="B10" s="236">
        <v>46161</v>
      </c>
      <c r="C10" s="231" t="s">
        <v>887</v>
      </c>
      <c r="D10" s="233"/>
      <c r="E10" s="233">
        <f t="shared" ref="E10:E21" si="0">E9+D10</f>
        <v>29267.48</v>
      </c>
      <c r="F10" s="237">
        <v>6557.86</v>
      </c>
      <c r="G10" s="234">
        <f t="shared" ref="G10:G21" si="1">G9+F10</f>
        <v>6557.86</v>
      </c>
      <c r="H10" s="234">
        <f t="shared" ref="H10:H21" si="2">H9-F10+D10</f>
        <v>22709.62</v>
      </c>
      <c r="I10" s="235"/>
    </row>
    <row r="11" spans="1:9" s="223" customFormat="1" ht="12.75" customHeight="1" x14ac:dyDescent="0.25">
      <c r="A11" s="230" t="s">
        <v>1181</v>
      </c>
      <c r="B11" s="177">
        <v>46210</v>
      </c>
      <c r="C11" s="231" t="s">
        <v>1106</v>
      </c>
      <c r="D11" s="233"/>
      <c r="E11" s="233">
        <f t="shared" si="0"/>
        <v>29267.48</v>
      </c>
      <c r="F11" s="237">
        <v>15145.31</v>
      </c>
      <c r="G11" s="234">
        <f t="shared" si="1"/>
        <v>21703.17</v>
      </c>
      <c r="H11" s="234">
        <f t="shared" si="2"/>
        <v>7564.3099999999995</v>
      </c>
      <c r="I11" s="235"/>
    </row>
    <row r="12" spans="1:9" s="223" customFormat="1" ht="12.75" customHeight="1" x14ac:dyDescent="0.25">
      <c r="A12" s="328" t="s">
        <v>1226</v>
      </c>
      <c r="B12" s="329">
        <v>46216</v>
      </c>
      <c r="C12" s="330" t="s">
        <v>1227</v>
      </c>
      <c r="D12" s="331"/>
      <c r="E12" s="331">
        <f t="shared" si="0"/>
        <v>29267.48</v>
      </c>
      <c r="F12" s="338">
        <v>5710.01</v>
      </c>
      <c r="G12" s="332">
        <f t="shared" si="1"/>
        <v>27413.18</v>
      </c>
      <c r="H12" s="332">
        <f t="shared" si="2"/>
        <v>1854.2999999999993</v>
      </c>
      <c r="I12" s="333" t="s">
        <v>1285</v>
      </c>
    </row>
    <row r="13" spans="1:9" s="223" customFormat="1" ht="12.75" customHeight="1" x14ac:dyDescent="0.25">
      <c r="A13" s="230" t="s">
        <v>1307</v>
      </c>
      <c r="B13" s="177">
        <v>46225</v>
      </c>
      <c r="C13" s="231" t="s">
        <v>1286</v>
      </c>
      <c r="D13" s="232">
        <v>0</v>
      </c>
      <c r="E13" s="233">
        <f t="shared" si="0"/>
        <v>29267.48</v>
      </c>
      <c r="F13" s="238"/>
      <c r="G13" s="234">
        <f t="shared" si="1"/>
        <v>27413.18</v>
      </c>
      <c r="H13" s="234">
        <f t="shared" si="2"/>
        <v>1854.2999999999993</v>
      </c>
      <c r="I13" s="235"/>
    </row>
    <row r="14" spans="1:9" s="223" customFormat="1" ht="12.75" customHeight="1" x14ac:dyDescent="0.25">
      <c r="A14" s="230" t="s">
        <v>1400</v>
      </c>
      <c r="B14" s="177">
        <v>46240</v>
      </c>
      <c r="C14" s="231" t="s">
        <v>1401</v>
      </c>
      <c r="D14" s="233"/>
      <c r="E14" s="233">
        <f t="shared" si="0"/>
        <v>29267.48</v>
      </c>
      <c r="F14" s="237">
        <v>1072.1600000000001</v>
      </c>
      <c r="G14" s="234">
        <f t="shared" si="1"/>
        <v>28485.34</v>
      </c>
      <c r="H14" s="234">
        <f t="shared" si="2"/>
        <v>782.13999999999919</v>
      </c>
      <c r="I14" s="235"/>
    </row>
    <row r="15" spans="1:9" s="223" customFormat="1" ht="12.75" customHeight="1" x14ac:dyDescent="0.25">
      <c r="A15" s="230" t="s">
        <v>1538</v>
      </c>
      <c r="B15" s="177">
        <v>46279</v>
      </c>
      <c r="C15" s="231" t="s">
        <v>1539</v>
      </c>
      <c r="D15" s="233"/>
      <c r="E15" s="233">
        <f t="shared" si="0"/>
        <v>29267.48</v>
      </c>
      <c r="F15" s="237">
        <v>718.74</v>
      </c>
      <c r="G15" s="234">
        <f t="shared" si="1"/>
        <v>29204.080000000002</v>
      </c>
      <c r="H15" s="234">
        <f t="shared" si="2"/>
        <v>63.399999999999181</v>
      </c>
      <c r="I15" s="235"/>
    </row>
    <row r="16" spans="1:9" s="223" customFormat="1" ht="12.75" customHeight="1" x14ac:dyDescent="0.25">
      <c r="A16" s="230"/>
      <c r="B16" s="177"/>
      <c r="C16" s="231"/>
      <c r="D16" s="233"/>
      <c r="E16" s="233">
        <f t="shared" si="0"/>
        <v>29267.48</v>
      </c>
      <c r="F16" s="238"/>
      <c r="G16" s="234">
        <f t="shared" si="1"/>
        <v>29204.080000000002</v>
      </c>
      <c r="H16" s="234">
        <f t="shared" si="2"/>
        <v>63.399999999999181</v>
      </c>
      <c r="I16" s="235"/>
    </row>
    <row r="17" spans="1:9" s="223" customFormat="1" ht="12.75" customHeight="1" x14ac:dyDescent="0.25">
      <c r="A17" s="230"/>
      <c r="B17" s="177"/>
      <c r="C17" s="231"/>
      <c r="D17" s="233"/>
      <c r="E17" s="233">
        <f t="shared" si="0"/>
        <v>29267.48</v>
      </c>
      <c r="F17" s="238"/>
      <c r="G17" s="234">
        <f t="shared" si="1"/>
        <v>29204.080000000002</v>
      </c>
      <c r="H17" s="234">
        <f t="shared" si="2"/>
        <v>63.399999999999181</v>
      </c>
      <c r="I17" s="235"/>
    </row>
    <row r="18" spans="1:9" s="223" customFormat="1" ht="12.75" customHeight="1" x14ac:dyDescent="0.25">
      <c r="A18" s="230"/>
      <c r="B18" s="177"/>
      <c r="C18" s="231"/>
      <c r="D18" s="233"/>
      <c r="E18" s="233">
        <f t="shared" si="0"/>
        <v>29267.48</v>
      </c>
      <c r="F18" s="238"/>
      <c r="G18" s="234">
        <f t="shared" si="1"/>
        <v>29204.080000000002</v>
      </c>
      <c r="H18" s="234">
        <f t="shared" si="2"/>
        <v>63.399999999999181</v>
      </c>
      <c r="I18" s="235"/>
    </row>
    <row r="19" spans="1:9" s="223" customFormat="1" ht="12.75" customHeight="1" x14ac:dyDescent="0.25">
      <c r="A19" s="230"/>
      <c r="B19" s="177"/>
      <c r="C19" s="231"/>
      <c r="D19" s="233"/>
      <c r="E19" s="233">
        <f t="shared" si="0"/>
        <v>29267.48</v>
      </c>
      <c r="F19" s="234"/>
      <c r="G19" s="234">
        <f t="shared" si="1"/>
        <v>29204.080000000002</v>
      </c>
      <c r="H19" s="234">
        <f t="shared" si="2"/>
        <v>63.399999999999181</v>
      </c>
      <c r="I19" s="235"/>
    </row>
    <row r="20" spans="1:9" s="223" customFormat="1" ht="12.75" customHeight="1" x14ac:dyDescent="0.25">
      <c r="A20" s="230"/>
      <c r="B20" s="177"/>
      <c r="C20" s="231"/>
      <c r="D20" s="233"/>
      <c r="E20" s="233">
        <f t="shared" si="0"/>
        <v>29267.48</v>
      </c>
      <c r="F20" s="234"/>
      <c r="G20" s="234">
        <f t="shared" si="1"/>
        <v>29204.080000000002</v>
      </c>
      <c r="H20" s="234">
        <f t="shared" si="2"/>
        <v>63.399999999999181</v>
      </c>
      <c r="I20" s="235"/>
    </row>
    <row r="21" spans="1:9" s="223" customFormat="1" ht="12.75" customHeight="1" x14ac:dyDescent="0.25">
      <c r="A21" s="230"/>
      <c r="B21" s="177"/>
      <c r="C21" s="239"/>
      <c r="D21" s="233"/>
      <c r="E21" s="233">
        <f t="shared" si="0"/>
        <v>29267.48</v>
      </c>
      <c r="F21" s="234"/>
      <c r="G21" s="234">
        <f t="shared" si="1"/>
        <v>29204.080000000002</v>
      </c>
      <c r="H21" s="234">
        <f t="shared" si="2"/>
        <v>63.399999999999181</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29267.48</v>
      </c>
      <c r="E23" s="245"/>
      <c r="F23" s="245">
        <f>SUM(F9:F22)</f>
        <v>29204.080000000002</v>
      </c>
      <c r="G23" s="245"/>
      <c r="H23" s="245">
        <f>D23-F23</f>
        <v>63.399999999997817</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29141.48</v>
      </c>
      <c r="E26" s="254"/>
      <c r="F26" s="254">
        <f>6545.86+15091.31+5689.01+1072.16+718.74</f>
        <v>29117.08</v>
      </c>
      <c r="G26" s="254"/>
      <c r="H26" s="254">
        <f>D26-F26</f>
        <v>24.399999999997817</v>
      </c>
      <c r="I26" s="235"/>
    </row>
    <row r="27" spans="1:9" s="223" customFormat="1" ht="12.75" customHeight="1" x14ac:dyDescent="0.25">
      <c r="A27" s="230"/>
      <c r="B27" s="231"/>
      <c r="C27" s="253" t="s">
        <v>111</v>
      </c>
      <c r="D27" s="254">
        <v>126</v>
      </c>
      <c r="E27" s="254"/>
      <c r="F27" s="254">
        <f>12+54+21</f>
        <v>87</v>
      </c>
      <c r="G27" s="254"/>
      <c r="H27" s="254">
        <f>D27-F27</f>
        <v>39</v>
      </c>
      <c r="I27" s="235"/>
    </row>
    <row r="28" spans="1:9" s="223" customFormat="1" ht="12.75" customHeight="1" thickBot="1" x14ac:dyDescent="0.3">
      <c r="A28" s="230"/>
      <c r="B28" s="231"/>
      <c r="C28" s="255" t="s">
        <v>67</v>
      </c>
      <c r="D28" s="256">
        <f>SUM(D26:D27)</f>
        <v>29267.48</v>
      </c>
      <c r="E28" s="257"/>
      <c r="F28" s="256">
        <f>SUM(F26:F27)</f>
        <v>29204.080000000002</v>
      </c>
      <c r="G28" s="257"/>
      <c r="H28" s="256">
        <f>SUM(H26:H27)</f>
        <v>63.399999999997817</v>
      </c>
      <c r="I28" s="235"/>
    </row>
    <row r="29" spans="1:9" s="223" customFormat="1" ht="12.75" customHeight="1" thickTop="1" x14ac:dyDescent="0.25">
      <c r="A29" s="230"/>
      <c r="B29" s="231"/>
      <c r="C29" s="255"/>
      <c r="D29" s="271"/>
      <c r="E29" s="257"/>
      <c r="F29" s="271"/>
      <c r="G29" s="257"/>
      <c r="H29" s="271"/>
      <c r="I29" s="235"/>
    </row>
    <row r="30" spans="1:9" s="223" customFormat="1" ht="12.75" customHeight="1" x14ac:dyDescent="0.25"/>
    <row r="31" spans="1:9" ht="15" customHeight="1" x14ac:dyDescent="0.25">
      <c r="A31" t="s">
        <v>853</v>
      </c>
    </row>
  </sheetData>
  <conditionalFormatting sqref="I8:I11 I13:I23">
    <cfRule type="cellIs" dxfId="41"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03845-6430-4637-BFC9-29F6AEB50AC6}">
  <sheetPr>
    <pageSetUpPr fitToPage="1"/>
  </sheetPr>
  <dimension ref="A1:J29"/>
  <sheetViews>
    <sheetView zoomScaleNormal="100" workbookViewId="0">
      <selection activeCell="F15" sqref="F1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 customWidth="1"/>
    <col min="9" max="9" width="12.28515625" bestFit="1"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#9499.00'!B1</f>
        <v>IPBS 6535 Corporate Drive Parking Lot Replacement</v>
      </c>
      <c r="B1" s="3"/>
      <c r="C1" s="4"/>
      <c r="D1" s="4"/>
      <c r="E1" s="4"/>
      <c r="F1" s="28"/>
      <c r="G1" s="28"/>
      <c r="H1" s="29"/>
      <c r="I1" s="29"/>
    </row>
    <row r="2" spans="1:10" ht="15.75" x14ac:dyDescent="0.25">
      <c r="A2" s="6" t="str">
        <f>'RECAP #9499.00'!B2</f>
        <v>Project # 9499.00</v>
      </c>
      <c r="B2" s="5"/>
      <c r="C2" s="4"/>
      <c r="D2" s="4"/>
      <c r="E2" s="4"/>
      <c r="F2" s="28"/>
      <c r="G2" s="28"/>
      <c r="H2" s="29"/>
      <c r="I2" s="29"/>
    </row>
    <row r="3" spans="1:10" ht="15.75" x14ac:dyDescent="0.25">
      <c r="A3" s="7" t="str">
        <f>'RECAP #9499.00'!B3</f>
        <v>Program code 949900</v>
      </c>
      <c r="B3" s="5"/>
      <c r="C3" s="4"/>
      <c r="D3" s="8" t="str">
        <f>'RECAP #9499.00'!E3</f>
        <v>Major Program 4E19</v>
      </c>
      <c r="E3" s="4"/>
      <c r="F3" s="28"/>
      <c r="G3" s="28"/>
      <c r="H3" s="29"/>
      <c r="I3" s="29"/>
    </row>
    <row r="4" spans="1:10" ht="15.75" x14ac:dyDescent="0.25">
      <c r="A4" s="30" t="s">
        <v>748</v>
      </c>
      <c r="B4" s="31"/>
      <c r="C4" s="32"/>
      <c r="D4" s="33" t="s">
        <v>749</v>
      </c>
      <c r="E4" s="28"/>
      <c r="F4" s="28"/>
      <c r="G4" s="28"/>
      <c r="H4" s="29"/>
      <c r="I4" s="29"/>
    </row>
    <row r="5" spans="1:10" ht="15.75" x14ac:dyDescent="0.25">
      <c r="A5" s="34" t="s">
        <v>104</v>
      </c>
      <c r="B5" s="35"/>
      <c r="C5" s="36"/>
      <c r="D5" s="37" t="s">
        <v>422</v>
      </c>
      <c r="E5" s="38"/>
      <c r="F5" s="39"/>
      <c r="G5" s="39"/>
      <c r="H5" s="35"/>
      <c r="I5" s="29"/>
    </row>
    <row r="6" spans="1:10" ht="15.75" x14ac:dyDescent="0.25">
      <c r="A6" s="11" t="str">
        <f>'RECAP #9499.00'!B6</f>
        <v>Project Manager -  Brandon A.</v>
      </c>
      <c r="B6" s="11"/>
      <c r="C6" s="40"/>
      <c r="D6" s="41" t="s">
        <v>386</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89" t="s">
        <v>529</v>
      </c>
    </row>
    <row r="9" spans="1:10" s="223" customFormat="1" ht="12.75" customHeight="1" x14ac:dyDescent="0.25">
      <c r="A9" s="230" t="s">
        <v>750</v>
      </c>
      <c r="B9" s="177">
        <v>46120</v>
      </c>
      <c r="C9" s="231" t="s">
        <v>109</v>
      </c>
      <c r="D9" s="232">
        <v>310000</v>
      </c>
      <c r="E9" s="233">
        <f>D9</f>
        <v>310000</v>
      </c>
      <c r="F9" s="234"/>
      <c r="G9" s="234"/>
      <c r="H9" s="234">
        <f>E9</f>
        <v>310000</v>
      </c>
      <c r="I9" s="235"/>
    </row>
    <row r="10" spans="1:10" s="223" customFormat="1" ht="12.75" customHeight="1" x14ac:dyDescent="0.25">
      <c r="A10" s="230" t="s">
        <v>999</v>
      </c>
      <c r="B10" s="236">
        <v>46183</v>
      </c>
      <c r="C10" s="231" t="s">
        <v>887</v>
      </c>
      <c r="D10" s="233"/>
      <c r="E10" s="233">
        <f t="shared" ref="E10:E21" si="0">E9+D10</f>
        <v>310000</v>
      </c>
      <c r="F10" s="237">
        <v>30301.83</v>
      </c>
      <c r="G10" s="234">
        <f t="shared" ref="G10:G21" si="1">G9+F10</f>
        <v>30301.83</v>
      </c>
      <c r="H10" s="234">
        <f t="shared" ref="H10:H21" si="2">H9-F10+D10</f>
        <v>279698.17</v>
      </c>
      <c r="I10" s="297">
        <v>937.17</v>
      </c>
    </row>
    <row r="11" spans="1:10" s="223" customFormat="1" ht="12.75" customHeight="1" x14ac:dyDescent="0.25">
      <c r="A11" s="230" t="s">
        <v>1105</v>
      </c>
      <c r="B11" s="177">
        <v>46198</v>
      </c>
      <c r="C11" s="231" t="s">
        <v>1106</v>
      </c>
      <c r="D11" s="233"/>
      <c r="E11" s="233">
        <f t="shared" si="0"/>
        <v>310000</v>
      </c>
      <c r="F11" s="237">
        <v>248681.4</v>
      </c>
      <c r="G11" s="234">
        <f t="shared" si="1"/>
        <v>278983.23</v>
      </c>
      <c r="H11" s="234">
        <f t="shared" si="2"/>
        <v>31016.76999999999</v>
      </c>
      <c r="I11" s="297">
        <f>I10+7691.18</f>
        <v>8628.35</v>
      </c>
    </row>
    <row r="12" spans="1:10" s="223" customFormat="1" ht="12.75" customHeight="1" x14ac:dyDescent="0.25">
      <c r="A12" s="328" t="s">
        <v>1244</v>
      </c>
      <c r="B12" s="329">
        <v>46217</v>
      </c>
      <c r="C12" s="330" t="s">
        <v>1227</v>
      </c>
      <c r="D12" s="331"/>
      <c r="E12" s="331">
        <f t="shared" si="0"/>
        <v>310000</v>
      </c>
      <c r="F12" s="338">
        <v>9454.51</v>
      </c>
      <c r="G12" s="332">
        <f t="shared" si="1"/>
        <v>288437.74</v>
      </c>
      <c r="H12" s="332">
        <f t="shared" si="2"/>
        <v>21562.259999999987</v>
      </c>
      <c r="I12" s="336">
        <f>I11+292.41</f>
        <v>8920.76</v>
      </c>
      <c r="J12" s="333" t="s">
        <v>1285</v>
      </c>
    </row>
    <row r="13" spans="1:10" s="223" customFormat="1" ht="12.75" customHeight="1" x14ac:dyDescent="0.25">
      <c r="A13" s="230" t="s">
        <v>1376</v>
      </c>
      <c r="B13" s="177">
        <v>46231</v>
      </c>
      <c r="C13" s="231" t="s">
        <v>1286</v>
      </c>
      <c r="D13" s="232">
        <v>0</v>
      </c>
      <c r="E13" s="233">
        <f t="shared" si="0"/>
        <v>310000</v>
      </c>
      <c r="F13" s="238"/>
      <c r="G13" s="234">
        <f t="shared" si="1"/>
        <v>288437.74</v>
      </c>
      <c r="H13" s="234">
        <f t="shared" si="2"/>
        <v>21562.259999999987</v>
      </c>
      <c r="I13" s="297"/>
    </row>
    <row r="14" spans="1:10" s="223" customFormat="1" ht="12.75" customHeight="1" x14ac:dyDescent="0.25">
      <c r="A14" s="230" t="s">
        <v>1403</v>
      </c>
      <c r="B14" s="177">
        <v>46241</v>
      </c>
      <c r="C14" s="231" t="s">
        <v>805</v>
      </c>
      <c r="D14" s="233"/>
      <c r="E14" s="233">
        <f t="shared" si="0"/>
        <v>310000</v>
      </c>
      <c r="F14" s="237">
        <v>1746.99</v>
      </c>
      <c r="G14" s="234">
        <f t="shared" si="1"/>
        <v>290184.73</v>
      </c>
      <c r="H14" s="234">
        <f t="shared" si="2"/>
        <v>19815.269999999986</v>
      </c>
      <c r="I14" s="297">
        <f>I12+54.03</f>
        <v>8974.7900000000009</v>
      </c>
    </row>
    <row r="15" spans="1:10" s="223" customFormat="1" ht="12.75" customHeight="1" x14ac:dyDescent="0.25">
      <c r="A15" s="230" t="s">
        <v>1525</v>
      </c>
      <c r="B15" s="177">
        <v>46273</v>
      </c>
      <c r="C15" s="231" t="s">
        <v>1526</v>
      </c>
      <c r="D15" s="233"/>
      <c r="E15" s="233">
        <f t="shared" si="0"/>
        <v>310000</v>
      </c>
      <c r="F15" s="237">
        <v>1998.19</v>
      </c>
      <c r="G15" s="234">
        <f t="shared" si="1"/>
        <v>292182.92</v>
      </c>
      <c r="H15" s="234">
        <f t="shared" si="2"/>
        <v>17817.079999999987</v>
      </c>
      <c r="I15" s="297">
        <f>I14+61.81</f>
        <v>9036.6</v>
      </c>
    </row>
    <row r="16" spans="1:10" s="223" customFormat="1" ht="12.75" customHeight="1" x14ac:dyDescent="0.25">
      <c r="A16" s="230"/>
      <c r="B16" s="177"/>
      <c r="C16" s="231"/>
      <c r="D16" s="233"/>
      <c r="E16" s="233">
        <f t="shared" si="0"/>
        <v>310000</v>
      </c>
      <c r="F16" s="238"/>
      <c r="G16" s="234">
        <f t="shared" si="1"/>
        <v>292182.92</v>
      </c>
      <c r="H16" s="234">
        <f t="shared" si="2"/>
        <v>17817.079999999987</v>
      </c>
      <c r="I16" s="297"/>
    </row>
    <row r="17" spans="1:9" s="223" customFormat="1" ht="12.75" customHeight="1" x14ac:dyDescent="0.25">
      <c r="A17" s="230"/>
      <c r="B17" s="177"/>
      <c r="C17" s="231"/>
      <c r="D17" s="233"/>
      <c r="E17" s="233">
        <f t="shared" si="0"/>
        <v>310000</v>
      </c>
      <c r="F17" s="238"/>
      <c r="G17" s="234">
        <f t="shared" si="1"/>
        <v>292182.92</v>
      </c>
      <c r="H17" s="234">
        <f t="shared" si="2"/>
        <v>17817.079999999987</v>
      </c>
      <c r="I17" s="297"/>
    </row>
    <row r="18" spans="1:9" s="223" customFormat="1" ht="12.75" customHeight="1" x14ac:dyDescent="0.25">
      <c r="A18" s="230"/>
      <c r="B18" s="177"/>
      <c r="C18" s="231"/>
      <c r="D18" s="233"/>
      <c r="E18" s="233">
        <f t="shared" si="0"/>
        <v>310000</v>
      </c>
      <c r="F18" s="238"/>
      <c r="G18" s="234">
        <f t="shared" si="1"/>
        <v>292182.92</v>
      </c>
      <c r="H18" s="234">
        <f t="shared" si="2"/>
        <v>17817.079999999987</v>
      </c>
      <c r="I18" s="297"/>
    </row>
    <row r="19" spans="1:9" s="223" customFormat="1" ht="12.75" customHeight="1" x14ac:dyDescent="0.25">
      <c r="A19" s="230"/>
      <c r="B19" s="177"/>
      <c r="C19" s="231"/>
      <c r="D19" s="233"/>
      <c r="E19" s="233">
        <f t="shared" si="0"/>
        <v>310000</v>
      </c>
      <c r="F19" s="234"/>
      <c r="G19" s="234">
        <f t="shared" si="1"/>
        <v>292182.92</v>
      </c>
      <c r="H19" s="234">
        <f t="shared" si="2"/>
        <v>17817.079999999987</v>
      </c>
      <c r="I19" s="297"/>
    </row>
    <row r="20" spans="1:9" s="223" customFormat="1" ht="12.75" customHeight="1" x14ac:dyDescent="0.25">
      <c r="A20" s="230"/>
      <c r="B20" s="177"/>
      <c r="C20" s="231"/>
      <c r="D20" s="233"/>
      <c r="E20" s="233">
        <f t="shared" si="0"/>
        <v>310000</v>
      </c>
      <c r="F20" s="234"/>
      <c r="G20" s="234">
        <f t="shared" si="1"/>
        <v>292182.92</v>
      </c>
      <c r="H20" s="234">
        <f t="shared" si="2"/>
        <v>17817.079999999987</v>
      </c>
      <c r="I20" s="297"/>
    </row>
    <row r="21" spans="1:9" s="223" customFormat="1" ht="12.75" customHeight="1" x14ac:dyDescent="0.25">
      <c r="A21" s="230"/>
      <c r="B21" s="177"/>
      <c r="C21" s="239"/>
      <c r="D21" s="233"/>
      <c r="E21" s="233">
        <f t="shared" si="0"/>
        <v>310000</v>
      </c>
      <c r="F21" s="234"/>
      <c r="G21" s="234">
        <f t="shared" si="1"/>
        <v>292182.92</v>
      </c>
      <c r="H21" s="234">
        <f t="shared" si="2"/>
        <v>17817.079999999987</v>
      </c>
      <c r="I21" s="297"/>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310000</v>
      </c>
      <c r="E23" s="245"/>
      <c r="F23" s="245">
        <f>SUM(F9:F22)</f>
        <v>292182.92</v>
      </c>
      <c r="G23" s="245"/>
      <c r="H23" s="245">
        <f>D23-F23</f>
        <v>17817.080000000016</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c r="D26" s="270"/>
      <c r="E26" s="270"/>
      <c r="F26" s="270"/>
      <c r="G26" s="270"/>
      <c r="H26" s="270"/>
      <c r="I26" s="235"/>
    </row>
    <row r="27" spans="1:9" s="223" customFormat="1" ht="12.75" customHeight="1" x14ac:dyDescent="0.25">
      <c r="A27" s="230"/>
      <c r="B27" s="231"/>
      <c r="C27" s="253"/>
      <c r="D27" s="270"/>
      <c r="E27" s="270"/>
      <c r="F27" s="270"/>
      <c r="G27" s="270"/>
      <c r="H27" s="270"/>
      <c r="I27" s="235"/>
    </row>
    <row r="28" spans="1:9" s="223" customFormat="1" ht="12.75" customHeight="1" x14ac:dyDescent="0.25">
      <c r="A28" s="230"/>
      <c r="B28" s="231"/>
      <c r="C28" s="255"/>
      <c r="D28" s="271"/>
      <c r="E28" s="271"/>
      <c r="F28" s="271"/>
      <c r="G28" s="271"/>
      <c r="H28" s="271"/>
      <c r="I28" s="235"/>
    </row>
    <row r="29" spans="1:9" s="223" customFormat="1" ht="12.75" customHeight="1" x14ac:dyDescent="0.25"/>
  </sheetData>
  <conditionalFormatting sqref="I9:I23">
    <cfRule type="cellIs" dxfId="40" priority="1" operator="greaterThan">
      <formula>$H$23</formula>
    </cfRule>
  </conditionalFormatting>
  <pageMargins left="0.25" right="0.25" top="0.95" bottom="0.75" header="0.09" footer="0.3"/>
  <pageSetup scale="72"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B7CEB-03E9-45C6-881A-35228819A169}">
  <sheetPr>
    <pageSetUpPr fitToPage="1"/>
  </sheetPr>
  <dimension ref="A1:G19"/>
  <sheetViews>
    <sheetView zoomScaleNormal="100" workbookViewId="0">
      <selection activeCell="C22" sqref="C22"/>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154</v>
      </c>
      <c r="C1" s="3"/>
      <c r="D1" s="4"/>
      <c r="E1" s="4"/>
      <c r="F1" s="4"/>
      <c r="G1" s="4"/>
    </row>
    <row r="2" spans="1:7" ht="15.75" x14ac:dyDescent="0.25">
      <c r="A2" s="1"/>
      <c r="B2" s="6" t="s">
        <v>193</v>
      </c>
      <c r="C2" s="5"/>
      <c r="D2" s="4"/>
      <c r="E2" s="4"/>
      <c r="F2" s="4"/>
      <c r="G2" s="4"/>
    </row>
    <row r="3" spans="1:7" ht="15.75" x14ac:dyDescent="0.25">
      <c r="A3" s="1"/>
      <c r="B3" s="7" t="s">
        <v>194</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195</v>
      </c>
      <c r="C6" s="12"/>
      <c r="D6" s="13" t="s">
        <v>2</v>
      </c>
      <c r="E6" s="4"/>
      <c r="F6" s="4"/>
      <c r="G6" s="4"/>
    </row>
    <row r="7" spans="1:7" ht="36" customHeight="1" thickBot="1" x14ac:dyDescent="0.3">
      <c r="A7" s="1"/>
      <c r="B7" s="14" t="s">
        <v>2</v>
      </c>
      <c r="C7" s="15" t="s">
        <v>3</v>
      </c>
      <c r="D7" s="16" t="s">
        <v>4</v>
      </c>
      <c r="E7" s="17" t="s">
        <v>5</v>
      </c>
      <c r="F7" s="18" t="s">
        <v>6</v>
      </c>
      <c r="G7" s="18" t="s">
        <v>7</v>
      </c>
    </row>
    <row r="8" spans="1:7" ht="28.35" customHeight="1" x14ac:dyDescent="0.25">
      <c r="A8" s="1"/>
      <c r="B8" s="1" t="s">
        <v>8</v>
      </c>
      <c r="C8" s="19">
        <f>FINANCIAL!G23</f>
        <v>550000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73" t="s">
        <v>250</v>
      </c>
      <c r="B10" s="247" t="s">
        <v>253</v>
      </c>
      <c r="C10" s="248"/>
      <c r="D10" s="251">
        <f>'#9500.00 McGough Construction'!D23</f>
        <v>12611.759999999998</v>
      </c>
      <c r="E10" s="251">
        <f>'#9500.00 McGough Construction'!F23</f>
        <v>12611.759999999998</v>
      </c>
      <c r="F10" s="251">
        <f>'#9500.00 McGough Construction'!H23</f>
        <v>0</v>
      </c>
      <c r="G10" s="250"/>
    </row>
    <row r="11" spans="1:7" s="223" customFormat="1" ht="12.75" customHeight="1" x14ac:dyDescent="0.25">
      <c r="A11" s="246"/>
      <c r="B11" s="247" t="s">
        <v>10</v>
      </c>
      <c r="C11" s="248"/>
      <c r="D11" s="251">
        <f>'#9500.00 PM TIME'!E39</f>
        <v>15000</v>
      </c>
      <c r="E11" s="251">
        <f>'#9500.00 PM TIME'!G39</f>
        <v>13999.94</v>
      </c>
      <c r="F11" s="251">
        <f>'#9500.00 PM TIME'!I39</f>
        <v>1000.0599999999995</v>
      </c>
      <c r="G11" s="250"/>
    </row>
    <row r="12" spans="1:7" s="223" customFormat="1" ht="12.75" customHeight="1" x14ac:dyDescent="0.25">
      <c r="A12" s="246"/>
      <c r="B12" s="247" t="s">
        <v>11</v>
      </c>
      <c r="C12" s="249"/>
      <c r="D12" s="252">
        <f>'#9500.00 Misc'!G22</f>
        <v>2362.65</v>
      </c>
      <c r="E12" s="252">
        <f>'#9500.00 Misc'!G22</f>
        <v>2362.65</v>
      </c>
      <c r="F12" s="251">
        <f>D12-E12</f>
        <v>0</v>
      </c>
      <c r="G12" s="250"/>
    </row>
    <row r="13" spans="1:7" s="223" customFormat="1" ht="12.75" customHeight="1" x14ac:dyDescent="0.25">
      <c r="A13" s="246"/>
      <c r="B13" s="247" t="s">
        <v>295</v>
      </c>
      <c r="C13" s="249"/>
      <c r="D13" s="252">
        <f>'#9500.00 KCL Engineering'!D23</f>
        <v>36975</v>
      </c>
      <c r="E13" s="252">
        <f>'#9500.00 KCL Engineering'!F23</f>
        <v>32442</v>
      </c>
      <c r="F13" s="251">
        <f>'#9500.00 KCL Engineering'!H23</f>
        <v>4533</v>
      </c>
      <c r="G13" s="250"/>
    </row>
    <row r="14" spans="1:7" s="223" customFormat="1" ht="12.75" customHeight="1" x14ac:dyDescent="0.25">
      <c r="A14" s="273" t="s">
        <v>250</v>
      </c>
      <c r="B14" s="247" t="s">
        <v>567</v>
      </c>
      <c r="C14" s="249"/>
      <c r="D14" s="252">
        <f>'#9500.00 Terracon Consultants'!D23</f>
        <v>5968</v>
      </c>
      <c r="E14" s="252">
        <f>'#9500.00 Terracon Consultants'!F23</f>
        <v>5968</v>
      </c>
      <c r="F14" s="251">
        <f>'#9500.00 Terracon Consultants'!H23</f>
        <v>0</v>
      </c>
      <c r="G14" s="250"/>
    </row>
    <row r="15" spans="1:7" s="223" customFormat="1" ht="12.75" customHeight="1" x14ac:dyDescent="0.25">
      <c r="A15" s="273"/>
      <c r="B15" s="247" t="s">
        <v>1118</v>
      </c>
      <c r="C15" s="249"/>
      <c r="D15" s="252">
        <f>'#9500.00 McGough Constructi (2)'!D23</f>
        <v>64134.14</v>
      </c>
      <c r="E15" s="252">
        <f>'#9500.00 McGough Constructi (2)'!F23</f>
        <v>6211.92</v>
      </c>
      <c r="F15" s="251">
        <f>'#9500.00 McGough Constructi (2)'!H23</f>
        <v>57922.22</v>
      </c>
      <c r="G15" s="250"/>
    </row>
    <row r="16" spans="1:7" s="223" customFormat="1" ht="12.75" customHeight="1" x14ac:dyDescent="0.25">
      <c r="A16" s="273"/>
      <c r="B16" s="247" t="s">
        <v>1342</v>
      </c>
      <c r="C16" s="249"/>
      <c r="D16" s="252">
        <f>'#9500.00 Acterra Group'!D23</f>
        <v>368885</v>
      </c>
      <c r="E16" s="252">
        <f>'#9500.00 Acterra Group'!F23</f>
        <v>10185</v>
      </c>
      <c r="F16" s="251">
        <f>'#9500.00 Acterra Group'!H23</f>
        <v>358700</v>
      </c>
      <c r="G16" s="250"/>
    </row>
    <row r="17" spans="1:7" s="223" customFormat="1" ht="12.75" customHeight="1" x14ac:dyDescent="0.25">
      <c r="A17" s="246"/>
      <c r="B17" s="247"/>
      <c r="C17" s="249"/>
      <c r="D17" s="252"/>
      <c r="E17" s="252"/>
      <c r="F17" s="251"/>
      <c r="G17" s="250"/>
    </row>
    <row r="18" spans="1:7" ht="24" customHeight="1" thickBot="1" x14ac:dyDescent="0.3">
      <c r="A18" s="25"/>
      <c r="B18" s="26" t="s">
        <v>12</v>
      </c>
      <c r="C18" s="27">
        <f>SUM(C8:C17)</f>
        <v>550000</v>
      </c>
      <c r="D18" s="27">
        <f>SUM(D8:D17)</f>
        <v>505936.55</v>
      </c>
      <c r="E18" s="27">
        <f>SUM(E8:E17)</f>
        <v>83781.27</v>
      </c>
      <c r="F18" s="27">
        <f>SUM(D18-E18)</f>
        <v>422155.27999999997</v>
      </c>
      <c r="G18" s="27">
        <f>C8-D18</f>
        <v>44063.450000000012</v>
      </c>
    </row>
    <row r="19"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E943E-C3A1-45B8-9FBD-5C034A01F76F}">
  <sheetPr>
    <tabColor rgb="FF0070C0"/>
    <pageSetUpPr fitToPage="1"/>
  </sheetPr>
  <dimension ref="A1:I29"/>
  <sheetViews>
    <sheetView zoomScaleNormal="100" workbookViewId="0">
      <selection activeCell="A26" sqref="A26"/>
    </sheetView>
  </sheetViews>
  <sheetFormatPr defaultColWidth="11.42578125" defaultRowHeight="15" customHeight="1" x14ac:dyDescent="0.25"/>
  <cols>
    <col min="1" max="1" width="24.5703125" style="274" customWidth="1"/>
    <col min="2" max="2" width="9.42578125" style="274" customWidth="1"/>
    <col min="3" max="3" width="24.42578125" style="274" customWidth="1"/>
    <col min="4" max="4" width="14.42578125" style="274" customWidth="1"/>
    <col min="5" max="5" width="13.5703125" style="274" customWidth="1"/>
    <col min="6" max="6" width="12.42578125" style="274" customWidth="1"/>
    <col min="7" max="7" width="10.5703125" style="274" customWidth="1"/>
    <col min="8" max="8" width="11.42578125" style="274"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#9500.00'!B1</f>
        <v>DOC MPCF Spill Containment for Diesel Tank</v>
      </c>
      <c r="B1" s="30"/>
      <c r="C1" s="153"/>
      <c r="D1" s="153"/>
      <c r="E1" s="153"/>
      <c r="F1" s="156"/>
      <c r="G1" s="156"/>
      <c r="H1" s="179"/>
      <c r="I1" s="179"/>
    </row>
    <row r="2" spans="1:9" ht="15.75" x14ac:dyDescent="0.25">
      <c r="A2" s="31" t="str">
        <f>'RECAP #9500.00'!B2</f>
        <v>Project # 9500.00</v>
      </c>
      <c r="B2" s="150"/>
      <c r="C2" s="153"/>
      <c r="D2" s="153"/>
      <c r="E2" s="153"/>
      <c r="F2" s="156"/>
      <c r="G2" s="156"/>
      <c r="H2" s="179"/>
      <c r="I2" s="179"/>
    </row>
    <row r="3" spans="1:9" ht="15.75" x14ac:dyDescent="0.25">
      <c r="A3" s="154" t="str">
        <f>'RECAP #9500.00'!B3</f>
        <v>Program code 950000</v>
      </c>
      <c r="B3" s="150"/>
      <c r="C3" s="153"/>
      <c r="D3" s="155" t="str">
        <f>'RECAP #9500.00'!E3</f>
        <v>Major Program 4E01</v>
      </c>
      <c r="E3" s="153"/>
      <c r="F3" s="156"/>
      <c r="G3" s="156"/>
      <c r="H3" s="179"/>
      <c r="I3" s="179"/>
    </row>
    <row r="4" spans="1:9" ht="15.75" x14ac:dyDescent="0.25">
      <c r="A4" s="30" t="s">
        <v>253</v>
      </c>
      <c r="B4" s="31"/>
      <c r="C4" s="179"/>
      <c r="D4" s="180" t="s">
        <v>254</v>
      </c>
      <c r="E4" s="156"/>
      <c r="F4" s="156"/>
      <c r="G4" s="156"/>
      <c r="H4" s="179"/>
      <c r="I4" s="179"/>
    </row>
    <row r="5" spans="1:9" ht="15.75" x14ac:dyDescent="0.25">
      <c r="A5" s="181" t="s">
        <v>104</v>
      </c>
      <c r="B5" s="179"/>
      <c r="C5" s="182"/>
      <c r="D5" s="37" t="s">
        <v>255</v>
      </c>
      <c r="E5" s="42"/>
      <c r="F5" s="156"/>
      <c r="G5" s="156"/>
      <c r="H5" s="179"/>
      <c r="I5" s="179"/>
    </row>
    <row r="6" spans="1:9" ht="15.75" x14ac:dyDescent="0.25">
      <c r="A6" s="31" t="str">
        <f>'RECAP #9500.00'!B6</f>
        <v>Project Manager - Brandon A.</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335</v>
      </c>
      <c r="B9" s="276">
        <v>45986</v>
      </c>
      <c r="C9" s="277" t="s">
        <v>109</v>
      </c>
      <c r="D9" s="278">
        <v>15864.97</v>
      </c>
      <c r="E9" s="279">
        <f>D9</f>
        <v>15864.97</v>
      </c>
      <c r="F9" s="284"/>
      <c r="G9" s="280"/>
      <c r="H9" s="280">
        <f>E9</f>
        <v>15864.97</v>
      </c>
      <c r="I9" s="281"/>
    </row>
    <row r="10" spans="1:9" s="282" customFormat="1" ht="12.75" customHeight="1" x14ac:dyDescent="0.25">
      <c r="A10" s="275" t="s">
        <v>577</v>
      </c>
      <c r="B10" s="283">
        <v>46072</v>
      </c>
      <c r="C10" s="277" t="s">
        <v>578</v>
      </c>
      <c r="D10" s="279"/>
      <c r="E10" s="279">
        <f t="shared" ref="E10:E21" si="0">E9+D10</f>
        <v>15864.97</v>
      </c>
      <c r="F10" s="284">
        <v>3389.6</v>
      </c>
      <c r="G10" s="280">
        <f t="shared" ref="G10:G21" si="1">G9+F10</f>
        <v>3389.6</v>
      </c>
      <c r="H10" s="280">
        <f t="shared" ref="H10:H21" si="2">H9-F10+D10</f>
        <v>12475.369999999999</v>
      </c>
      <c r="I10" s="281"/>
    </row>
    <row r="11" spans="1:9" s="282" customFormat="1" ht="12.75" customHeight="1" x14ac:dyDescent="0.25">
      <c r="A11" s="275" t="s">
        <v>683</v>
      </c>
      <c r="B11" s="276">
        <v>46104</v>
      </c>
      <c r="C11" s="277" t="s">
        <v>684</v>
      </c>
      <c r="D11" s="279"/>
      <c r="E11" s="279">
        <f t="shared" si="0"/>
        <v>15864.97</v>
      </c>
      <c r="F11" s="284">
        <v>1648.24</v>
      </c>
      <c r="G11" s="280">
        <f t="shared" si="1"/>
        <v>5037.84</v>
      </c>
      <c r="H11" s="280">
        <f t="shared" si="2"/>
        <v>10827.13</v>
      </c>
      <c r="I11" s="281"/>
    </row>
    <row r="12" spans="1:9" s="282" customFormat="1" ht="12.75" customHeight="1" x14ac:dyDescent="0.25">
      <c r="A12" s="275" t="s">
        <v>819</v>
      </c>
      <c r="B12" s="276">
        <v>46136</v>
      </c>
      <c r="C12" s="277" t="s">
        <v>820</v>
      </c>
      <c r="D12" s="279"/>
      <c r="E12" s="279">
        <f t="shared" si="0"/>
        <v>15864.97</v>
      </c>
      <c r="F12" s="284">
        <v>2182.6999999999998</v>
      </c>
      <c r="G12" s="280">
        <f t="shared" si="1"/>
        <v>7220.54</v>
      </c>
      <c r="H12" s="280">
        <f t="shared" si="2"/>
        <v>8644.43</v>
      </c>
      <c r="I12" s="281"/>
    </row>
    <row r="13" spans="1:9" s="282" customFormat="1" ht="12.75" customHeight="1" x14ac:dyDescent="0.25">
      <c r="A13" s="275" t="s">
        <v>876</v>
      </c>
      <c r="B13" s="276">
        <v>46161</v>
      </c>
      <c r="C13" s="277" t="s">
        <v>877</v>
      </c>
      <c r="D13" s="279"/>
      <c r="E13" s="279">
        <f t="shared" si="0"/>
        <v>15864.97</v>
      </c>
      <c r="F13" s="284">
        <v>1132.44</v>
      </c>
      <c r="G13" s="280">
        <f t="shared" si="1"/>
        <v>8352.98</v>
      </c>
      <c r="H13" s="280">
        <f t="shared" si="2"/>
        <v>7511.99</v>
      </c>
      <c r="I13" s="281"/>
    </row>
    <row r="14" spans="1:9" s="282" customFormat="1" ht="12.75" customHeight="1" x14ac:dyDescent="0.25">
      <c r="A14" s="275" t="s">
        <v>990</v>
      </c>
      <c r="B14" s="276">
        <v>46182</v>
      </c>
      <c r="C14" s="277" t="s">
        <v>991</v>
      </c>
      <c r="D14" s="279"/>
      <c r="E14" s="279">
        <f t="shared" si="0"/>
        <v>15864.97</v>
      </c>
      <c r="F14" s="284">
        <v>3245.06</v>
      </c>
      <c r="G14" s="280">
        <f t="shared" si="1"/>
        <v>11598.039999999999</v>
      </c>
      <c r="H14" s="280">
        <f t="shared" si="2"/>
        <v>4266.93</v>
      </c>
      <c r="I14" s="281"/>
    </row>
    <row r="15" spans="1:9" s="282" customFormat="1" ht="12.75" customHeight="1" x14ac:dyDescent="0.25">
      <c r="A15" s="275" t="s">
        <v>1205</v>
      </c>
      <c r="B15" s="276">
        <v>46216</v>
      </c>
      <c r="C15" s="277" t="s">
        <v>1206</v>
      </c>
      <c r="D15" s="285">
        <v>-3253.21</v>
      </c>
      <c r="E15" s="279">
        <f t="shared" si="0"/>
        <v>12611.759999999998</v>
      </c>
      <c r="F15" s="284">
        <v>1013.72</v>
      </c>
      <c r="G15" s="280">
        <f t="shared" si="1"/>
        <v>12611.759999999998</v>
      </c>
      <c r="H15" s="280">
        <f t="shared" si="2"/>
        <v>0</v>
      </c>
      <c r="I15" s="281"/>
    </row>
    <row r="16" spans="1:9" s="282" customFormat="1" ht="12.75" customHeight="1" x14ac:dyDescent="0.25">
      <c r="A16" s="275"/>
      <c r="B16" s="276"/>
      <c r="C16" s="277"/>
      <c r="D16" s="279"/>
      <c r="E16" s="279">
        <f t="shared" si="0"/>
        <v>12611.759999999998</v>
      </c>
      <c r="F16" s="284"/>
      <c r="G16" s="280">
        <f t="shared" si="1"/>
        <v>12611.759999999998</v>
      </c>
      <c r="H16" s="280">
        <f t="shared" si="2"/>
        <v>0</v>
      </c>
      <c r="I16" s="281"/>
    </row>
    <row r="17" spans="1:9" s="282" customFormat="1" ht="12.75" customHeight="1" x14ac:dyDescent="0.25">
      <c r="A17" s="275"/>
      <c r="B17" s="276"/>
      <c r="C17" s="277"/>
      <c r="D17" s="279"/>
      <c r="E17" s="279">
        <f t="shared" si="0"/>
        <v>12611.759999999998</v>
      </c>
      <c r="F17" s="284"/>
      <c r="G17" s="280">
        <f t="shared" si="1"/>
        <v>12611.759999999998</v>
      </c>
      <c r="H17" s="280">
        <f t="shared" si="2"/>
        <v>0</v>
      </c>
      <c r="I17" s="281"/>
    </row>
    <row r="18" spans="1:9" s="282" customFormat="1" ht="12.75" customHeight="1" x14ac:dyDescent="0.25">
      <c r="A18" s="275"/>
      <c r="B18" s="276"/>
      <c r="C18" s="277"/>
      <c r="D18" s="279"/>
      <c r="E18" s="279">
        <f t="shared" si="0"/>
        <v>12611.759999999998</v>
      </c>
      <c r="F18" s="284"/>
      <c r="G18" s="280">
        <f t="shared" si="1"/>
        <v>12611.759999999998</v>
      </c>
      <c r="H18" s="280">
        <f t="shared" si="2"/>
        <v>0</v>
      </c>
      <c r="I18" s="281"/>
    </row>
    <row r="19" spans="1:9" s="282" customFormat="1" ht="12.75" customHeight="1" x14ac:dyDescent="0.25">
      <c r="A19" s="275"/>
      <c r="B19" s="276"/>
      <c r="C19" s="277"/>
      <c r="D19" s="279"/>
      <c r="E19" s="279">
        <f t="shared" si="0"/>
        <v>12611.759999999998</v>
      </c>
      <c r="F19" s="280"/>
      <c r="G19" s="280">
        <f t="shared" si="1"/>
        <v>12611.759999999998</v>
      </c>
      <c r="H19" s="280">
        <f t="shared" si="2"/>
        <v>0</v>
      </c>
      <c r="I19" s="281"/>
    </row>
    <row r="20" spans="1:9" s="282" customFormat="1" ht="12.75" customHeight="1" x14ac:dyDescent="0.25">
      <c r="A20" s="275"/>
      <c r="B20" s="276"/>
      <c r="C20" s="277"/>
      <c r="D20" s="279"/>
      <c r="E20" s="279">
        <f t="shared" si="0"/>
        <v>12611.759999999998</v>
      </c>
      <c r="F20" s="280"/>
      <c r="G20" s="280">
        <f t="shared" si="1"/>
        <v>12611.759999999998</v>
      </c>
      <c r="H20" s="280">
        <f t="shared" si="2"/>
        <v>0</v>
      </c>
      <c r="I20" s="281"/>
    </row>
    <row r="21" spans="1:9" s="282" customFormat="1" ht="12.75" customHeight="1" x14ac:dyDescent="0.25">
      <c r="A21" s="275"/>
      <c r="B21" s="276"/>
      <c r="C21" s="286"/>
      <c r="D21" s="279"/>
      <c r="E21" s="279">
        <f t="shared" si="0"/>
        <v>12611.759999999998</v>
      </c>
      <c r="F21" s="280"/>
      <c r="G21" s="280">
        <f t="shared" si="1"/>
        <v>12611.759999999998</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12611.759999999998</v>
      </c>
      <c r="E23" s="290"/>
      <c r="F23" s="290">
        <f>SUM(F9:F22)</f>
        <v>12611.759999999998</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f>15444.97-3033.21</f>
        <v>12411.759999999998</v>
      </c>
      <c r="E26" s="292"/>
      <c r="F26" s="292">
        <f>3343.1+1634.74+2182.7+1132.44+3105.06+1013.72</f>
        <v>12411.759999999998</v>
      </c>
      <c r="G26" s="292"/>
      <c r="H26" s="292">
        <f>D26-F26</f>
        <v>0</v>
      </c>
      <c r="I26" s="281"/>
    </row>
    <row r="27" spans="1:9" s="282" customFormat="1" ht="12.75" customHeight="1" x14ac:dyDescent="0.25">
      <c r="A27" s="275"/>
      <c r="B27" s="277"/>
      <c r="C27" s="287" t="s">
        <v>111</v>
      </c>
      <c r="D27" s="292">
        <f>420-220</f>
        <v>200</v>
      </c>
      <c r="E27" s="292"/>
      <c r="F27" s="292">
        <f>46.5+13.5+140</f>
        <v>200</v>
      </c>
      <c r="G27" s="292"/>
      <c r="H27" s="292">
        <f>D27-F27</f>
        <v>0</v>
      </c>
      <c r="I27" s="281"/>
    </row>
    <row r="28" spans="1:9" s="282" customFormat="1" ht="12.75" customHeight="1" thickBot="1" x14ac:dyDescent="0.3">
      <c r="A28" s="275"/>
      <c r="B28" s="277"/>
      <c r="C28" s="293" t="s">
        <v>67</v>
      </c>
      <c r="D28" s="290">
        <f>SUM(D26:D27)</f>
        <v>12611.759999999998</v>
      </c>
      <c r="E28" s="294"/>
      <c r="F28" s="290">
        <f>SUM(F26:F27)</f>
        <v>12611.759999999998</v>
      </c>
      <c r="G28" s="294"/>
      <c r="H28" s="290">
        <f>SUM(H26:H27)</f>
        <v>0</v>
      </c>
      <c r="I28" s="281"/>
    </row>
    <row r="29" spans="1:9" s="282" customFormat="1" ht="12.75" customHeight="1" thickTop="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0E41F-18E1-4878-B911-B858BF73811E}">
  <sheetPr>
    <pageSetUpPr fitToPage="1"/>
  </sheetPr>
  <dimension ref="A1:J41"/>
  <sheetViews>
    <sheetView topLeftCell="A13" zoomScaleNormal="100" workbookViewId="0">
      <selection activeCell="G45" sqref="G45"/>
    </sheetView>
  </sheetViews>
  <sheetFormatPr defaultColWidth="11.42578125" defaultRowHeight="15" customHeight="1" x14ac:dyDescent="0.25"/>
  <cols>
    <col min="1" max="1" width="24.5703125" customWidth="1"/>
    <col min="2" max="3" width="9.42578125" customWidth="1"/>
    <col min="4" max="4" width="42.140625" customWidth="1"/>
    <col min="5" max="5" width="12.5703125" customWidth="1"/>
    <col min="6" max="6" width="13.5703125" customWidth="1"/>
    <col min="7" max="7" width="12.42578125" customWidth="1"/>
    <col min="8" max="8" width="10.5703125" customWidth="1"/>
    <col min="9" max="9" width="14.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#9500.00'!B1</f>
        <v>DOC MPCF Spill Containment for Diesel Tank</v>
      </c>
      <c r="B1" s="3"/>
      <c r="C1" s="3"/>
      <c r="D1" s="4"/>
      <c r="E1" s="4"/>
      <c r="F1" s="4"/>
      <c r="G1" s="28"/>
      <c r="H1" s="28"/>
      <c r="I1" s="29"/>
      <c r="J1" s="29"/>
    </row>
    <row r="2" spans="1:10" ht="15.75" x14ac:dyDescent="0.25">
      <c r="A2" s="6" t="str">
        <f>'RECAP #9500.00'!B2</f>
        <v>Project # 9500.00</v>
      </c>
      <c r="B2" s="5"/>
      <c r="C2" s="5"/>
      <c r="D2" s="4"/>
      <c r="E2" s="4"/>
      <c r="F2" s="4"/>
      <c r="G2" s="28"/>
      <c r="H2" s="28"/>
      <c r="I2" s="29"/>
      <c r="J2" s="29"/>
    </row>
    <row r="3" spans="1:10" ht="15.75" x14ac:dyDescent="0.25">
      <c r="A3" s="7" t="str">
        <f>'RECAP #9500.00'!B3</f>
        <v>Program code 950000</v>
      </c>
      <c r="B3" s="5"/>
      <c r="C3" s="5"/>
      <c r="D3" s="4"/>
      <c r="E3" s="8" t="str">
        <f>'RECAP #9500.00'!E3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236</v>
      </c>
      <c r="F6" s="42"/>
      <c r="G6" s="43"/>
      <c r="H6" s="39"/>
      <c r="I6" s="35"/>
      <c r="J6" s="29"/>
    </row>
    <row r="7" spans="1:10" ht="15.75" x14ac:dyDescent="0.25">
      <c r="A7" s="11" t="str">
        <f>'RECAP #9500.00'!B6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f>10000+5000</f>
        <v>15000</v>
      </c>
      <c r="F9" s="233">
        <f>E9</f>
        <v>15000</v>
      </c>
      <c r="G9" s="234"/>
      <c r="H9" s="234"/>
      <c r="I9" s="234">
        <f>F9</f>
        <v>15000</v>
      </c>
      <c r="J9" s="235"/>
    </row>
    <row r="10" spans="1:10" s="223" customFormat="1" ht="12.75" customHeight="1" x14ac:dyDescent="0.25">
      <c r="A10" s="176" t="s">
        <v>260</v>
      </c>
      <c r="B10" s="177">
        <v>45937</v>
      </c>
      <c r="C10" s="241" t="s">
        <v>261</v>
      </c>
      <c r="D10" s="148" t="s">
        <v>262</v>
      </c>
      <c r="E10" s="233"/>
      <c r="F10" s="233">
        <f t="shared" ref="F10:F37" si="0">F9+E10</f>
        <v>15000</v>
      </c>
      <c r="G10" s="237">
        <v>44.41</v>
      </c>
      <c r="H10" s="234">
        <f t="shared" ref="H10:H37" si="1">H9+G10</f>
        <v>44.41</v>
      </c>
      <c r="I10" s="234">
        <f t="shared" ref="I10:I37" si="2">I9-G10+E10</f>
        <v>14955.59</v>
      </c>
      <c r="J10" s="235"/>
    </row>
    <row r="11" spans="1:10" s="223" customFormat="1" ht="12.75" customHeight="1" x14ac:dyDescent="0.25">
      <c r="A11" s="176" t="s">
        <v>260</v>
      </c>
      <c r="B11" s="177">
        <v>45937</v>
      </c>
      <c r="C11" s="241">
        <v>9500</v>
      </c>
      <c r="D11" s="149" t="s">
        <v>263</v>
      </c>
      <c r="E11" s="233"/>
      <c r="F11" s="233">
        <f t="shared" si="0"/>
        <v>15000</v>
      </c>
      <c r="G11" s="237">
        <v>229.2</v>
      </c>
      <c r="H11" s="234">
        <f t="shared" si="1"/>
        <v>273.61</v>
      </c>
      <c r="I11" s="234">
        <f t="shared" si="2"/>
        <v>14726.39</v>
      </c>
      <c r="J11" s="235"/>
    </row>
    <row r="12" spans="1:10" s="223" customFormat="1" ht="12.75" customHeight="1" x14ac:dyDescent="0.25">
      <c r="A12" s="176" t="s">
        <v>314</v>
      </c>
      <c r="B12" s="177">
        <v>45968</v>
      </c>
      <c r="C12" s="241" t="s">
        <v>261</v>
      </c>
      <c r="D12" s="148" t="s">
        <v>315</v>
      </c>
      <c r="E12" s="233"/>
      <c r="F12" s="233">
        <f t="shared" si="0"/>
        <v>15000</v>
      </c>
      <c r="G12" s="237">
        <v>228.95</v>
      </c>
      <c r="H12" s="234">
        <f t="shared" si="1"/>
        <v>502.56</v>
      </c>
      <c r="I12" s="234">
        <f t="shared" si="2"/>
        <v>14497.439999999999</v>
      </c>
      <c r="J12" s="235"/>
    </row>
    <row r="13" spans="1:10" s="223" customFormat="1" ht="12.75" customHeight="1" x14ac:dyDescent="0.25">
      <c r="A13" s="176" t="s">
        <v>314</v>
      </c>
      <c r="B13" s="177">
        <v>45968</v>
      </c>
      <c r="C13" s="241">
        <v>9500</v>
      </c>
      <c r="D13" s="149" t="s">
        <v>316</v>
      </c>
      <c r="E13" s="233"/>
      <c r="F13" s="233">
        <f t="shared" si="0"/>
        <v>15000</v>
      </c>
      <c r="G13" s="237">
        <v>829.8</v>
      </c>
      <c r="H13" s="234">
        <f t="shared" si="1"/>
        <v>1332.36</v>
      </c>
      <c r="I13" s="234">
        <f t="shared" si="2"/>
        <v>13667.64</v>
      </c>
      <c r="J13" s="235"/>
    </row>
    <row r="14" spans="1:10" s="223" customFormat="1" ht="12.75" customHeight="1" x14ac:dyDescent="0.2">
      <c r="A14" s="70" t="s">
        <v>364</v>
      </c>
      <c r="B14" s="50">
        <v>45996</v>
      </c>
      <c r="C14" s="53" t="s">
        <v>261</v>
      </c>
      <c r="D14" s="144" t="s">
        <v>365</v>
      </c>
      <c r="E14" s="233"/>
      <c r="F14" s="233">
        <f t="shared" si="0"/>
        <v>15000</v>
      </c>
      <c r="G14" s="242">
        <v>-113.17</v>
      </c>
      <c r="H14" s="234">
        <f t="shared" si="1"/>
        <v>1219.1899999999998</v>
      </c>
      <c r="I14" s="234">
        <f t="shared" si="2"/>
        <v>13780.81</v>
      </c>
      <c r="J14" s="235"/>
    </row>
    <row r="15" spans="1:10" s="223" customFormat="1" ht="12.75" customHeight="1" x14ac:dyDescent="0.2">
      <c r="A15" s="70" t="s">
        <v>364</v>
      </c>
      <c r="B15" s="50">
        <v>45996</v>
      </c>
      <c r="C15" s="268">
        <v>9500</v>
      </c>
      <c r="D15" s="66" t="s">
        <v>366</v>
      </c>
      <c r="E15" s="233"/>
      <c r="F15" s="233">
        <f t="shared" si="0"/>
        <v>15000</v>
      </c>
      <c r="G15" s="237">
        <v>81.3</v>
      </c>
      <c r="H15" s="234">
        <f t="shared" si="1"/>
        <v>1300.4899999999998</v>
      </c>
      <c r="I15" s="234">
        <f t="shared" si="2"/>
        <v>13699.51</v>
      </c>
      <c r="J15" s="235"/>
    </row>
    <row r="16" spans="1:10" s="223" customFormat="1" ht="12.75" customHeight="1" x14ac:dyDescent="0.2">
      <c r="A16" s="70" t="s">
        <v>423</v>
      </c>
      <c r="B16" s="50">
        <v>46030</v>
      </c>
      <c r="C16" s="53" t="s">
        <v>261</v>
      </c>
      <c r="D16" s="144" t="s">
        <v>424</v>
      </c>
      <c r="E16" s="233"/>
      <c r="F16" s="233">
        <f t="shared" si="0"/>
        <v>15000</v>
      </c>
      <c r="G16" s="237">
        <v>142.26</v>
      </c>
      <c r="H16" s="234">
        <f t="shared" si="1"/>
        <v>1442.7499999999998</v>
      </c>
      <c r="I16" s="234">
        <f t="shared" si="2"/>
        <v>13557.25</v>
      </c>
      <c r="J16" s="235"/>
    </row>
    <row r="17" spans="1:10" s="223" customFormat="1" ht="12.75" customHeight="1" x14ac:dyDescent="0.2">
      <c r="A17" s="70" t="s">
        <v>423</v>
      </c>
      <c r="B17" s="50">
        <v>46030</v>
      </c>
      <c r="C17" s="268">
        <v>9500</v>
      </c>
      <c r="D17" s="66" t="s">
        <v>425</v>
      </c>
      <c r="E17" s="233"/>
      <c r="F17" s="233">
        <f t="shared" si="0"/>
        <v>15000</v>
      </c>
      <c r="G17" s="237">
        <v>1617.8</v>
      </c>
      <c r="H17" s="234">
        <f t="shared" si="1"/>
        <v>3060.5499999999997</v>
      </c>
      <c r="I17" s="234">
        <f t="shared" si="2"/>
        <v>11939.45</v>
      </c>
      <c r="J17" s="235"/>
    </row>
    <row r="18" spans="1:10" s="223" customFormat="1" ht="12.75" customHeight="1" x14ac:dyDescent="0.2">
      <c r="A18" s="70" t="s">
        <v>548</v>
      </c>
      <c r="B18" s="50">
        <v>46062</v>
      </c>
      <c r="C18" s="53" t="s">
        <v>261</v>
      </c>
      <c r="D18" s="144" t="s">
        <v>549</v>
      </c>
      <c r="E18" s="233"/>
      <c r="F18" s="233">
        <f t="shared" si="0"/>
        <v>15000</v>
      </c>
      <c r="G18" s="237">
        <v>120.86</v>
      </c>
      <c r="H18" s="234">
        <f t="shared" si="1"/>
        <v>3181.41</v>
      </c>
      <c r="I18" s="234">
        <f t="shared" si="2"/>
        <v>11818.59</v>
      </c>
      <c r="J18" s="235"/>
    </row>
    <row r="19" spans="1:10" s="223" customFormat="1" ht="12.75" customHeight="1" x14ac:dyDescent="0.2">
      <c r="A19" s="70" t="s">
        <v>548</v>
      </c>
      <c r="B19" s="50">
        <v>46062</v>
      </c>
      <c r="C19" s="268">
        <v>9500</v>
      </c>
      <c r="D19" s="66" t="s">
        <v>550</v>
      </c>
      <c r="E19" s="233"/>
      <c r="F19" s="233">
        <f t="shared" si="0"/>
        <v>15000</v>
      </c>
      <c r="G19" s="237">
        <v>1504.7</v>
      </c>
      <c r="H19" s="234">
        <f t="shared" si="1"/>
        <v>4686.1099999999997</v>
      </c>
      <c r="I19" s="234">
        <f t="shared" si="2"/>
        <v>10313.89</v>
      </c>
      <c r="J19" s="235"/>
    </row>
    <row r="20" spans="1:10" s="223" customFormat="1" ht="12.75" customHeight="1" x14ac:dyDescent="0.2">
      <c r="A20" s="70" t="s">
        <v>644</v>
      </c>
      <c r="B20" s="50">
        <v>46090</v>
      </c>
      <c r="C20" s="53" t="s">
        <v>261</v>
      </c>
      <c r="D20" s="144" t="s">
        <v>645</v>
      </c>
      <c r="E20" s="233"/>
      <c r="F20" s="233">
        <f t="shared" si="0"/>
        <v>15000</v>
      </c>
      <c r="G20" s="237">
        <v>162.54</v>
      </c>
      <c r="H20" s="234">
        <f t="shared" si="1"/>
        <v>4848.6499999999996</v>
      </c>
      <c r="I20" s="234">
        <f t="shared" si="2"/>
        <v>10151.349999999999</v>
      </c>
      <c r="J20" s="235"/>
    </row>
    <row r="21" spans="1:10" s="223" customFormat="1" ht="12.75" customHeight="1" x14ac:dyDescent="0.2">
      <c r="A21" s="70" t="s">
        <v>644</v>
      </c>
      <c r="B21" s="50">
        <v>46090</v>
      </c>
      <c r="C21" s="268">
        <v>9500</v>
      </c>
      <c r="D21" s="66" t="s">
        <v>646</v>
      </c>
      <c r="E21" s="233"/>
      <c r="F21" s="233">
        <f t="shared" si="0"/>
        <v>15000</v>
      </c>
      <c r="G21" s="237">
        <v>1873.7</v>
      </c>
      <c r="H21" s="234">
        <f t="shared" si="1"/>
        <v>6722.3499999999995</v>
      </c>
      <c r="I21" s="234">
        <f t="shared" si="2"/>
        <v>8277.6499999999978</v>
      </c>
      <c r="J21" s="235"/>
    </row>
    <row r="22" spans="1:10" s="223" customFormat="1" ht="12.75" customHeight="1" x14ac:dyDescent="0.2">
      <c r="A22" s="70" t="s">
        <v>744</v>
      </c>
      <c r="B22" s="50">
        <v>46118</v>
      </c>
      <c r="C22" s="53" t="s">
        <v>261</v>
      </c>
      <c r="D22" s="144" t="s">
        <v>745</v>
      </c>
      <c r="E22" s="233"/>
      <c r="F22" s="233">
        <f t="shared" si="0"/>
        <v>15000</v>
      </c>
      <c r="G22" s="237">
        <v>168.54</v>
      </c>
      <c r="H22" s="234">
        <f t="shared" si="1"/>
        <v>6890.8899999999994</v>
      </c>
      <c r="I22" s="234">
        <f t="shared" si="2"/>
        <v>8109.1099999999979</v>
      </c>
      <c r="J22" s="235"/>
    </row>
    <row r="23" spans="1:10" s="223" customFormat="1" ht="12.75" customHeight="1" x14ac:dyDescent="0.2">
      <c r="A23" s="70" t="s">
        <v>744</v>
      </c>
      <c r="B23" s="50">
        <v>46118</v>
      </c>
      <c r="C23" s="268">
        <v>9500</v>
      </c>
      <c r="D23" s="66" t="s">
        <v>746</v>
      </c>
      <c r="E23" s="233"/>
      <c r="F23" s="233">
        <f t="shared" si="0"/>
        <v>15000</v>
      </c>
      <c r="G23" s="237">
        <v>1380.4</v>
      </c>
      <c r="H23" s="234">
        <f t="shared" si="1"/>
        <v>8271.2899999999991</v>
      </c>
      <c r="I23" s="234">
        <f t="shared" si="2"/>
        <v>6728.7099999999973</v>
      </c>
      <c r="J23" s="235"/>
    </row>
    <row r="24" spans="1:10" s="223" customFormat="1" ht="12.75" customHeight="1" x14ac:dyDescent="0.2">
      <c r="A24" s="70" t="s">
        <v>869</v>
      </c>
      <c r="B24" s="50">
        <v>46149</v>
      </c>
      <c r="C24" s="53" t="s">
        <v>261</v>
      </c>
      <c r="D24" s="144" t="s">
        <v>870</v>
      </c>
      <c r="E24" s="233"/>
      <c r="F24" s="233">
        <f t="shared" si="0"/>
        <v>15000</v>
      </c>
      <c r="G24" s="237">
        <v>166.51</v>
      </c>
      <c r="H24" s="234">
        <f t="shared" si="1"/>
        <v>8437.7999999999993</v>
      </c>
      <c r="I24" s="234">
        <f t="shared" si="2"/>
        <v>6562.1999999999971</v>
      </c>
      <c r="J24" s="235"/>
    </row>
    <row r="25" spans="1:10" s="223" customFormat="1" ht="12.75" customHeight="1" x14ac:dyDescent="0.2">
      <c r="A25" s="70" t="s">
        <v>869</v>
      </c>
      <c r="B25" s="50">
        <v>46149</v>
      </c>
      <c r="C25" s="268">
        <v>9500</v>
      </c>
      <c r="D25" s="66" t="s">
        <v>871</v>
      </c>
      <c r="E25" s="233"/>
      <c r="F25" s="233">
        <f t="shared" si="0"/>
        <v>15000</v>
      </c>
      <c r="G25" s="237">
        <v>1732.9</v>
      </c>
      <c r="H25" s="234">
        <f t="shared" si="1"/>
        <v>10170.699999999999</v>
      </c>
      <c r="I25" s="234">
        <f t="shared" si="2"/>
        <v>4829.2999999999975</v>
      </c>
      <c r="J25" s="235"/>
    </row>
    <row r="26" spans="1:10" s="223" customFormat="1" ht="12.75" customHeight="1" x14ac:dyDescent="0.25">
      <c r="A26" s="70" t="s">
        <v>984</v>
      </c>
      <c r="B26" s="50">
        <v>46181</v>
      </c>
      <c r="C26" s="53" t="s">
        <v>261</v>
      </c>
      <c r="D26" s="144" t="s">
        <v>985</v>
      </c>
      <c r="E26"/>
      <c r="F26" s="233">
        <f t="shared" si="0"/>
        <v>15000</v>
      </c>
      <c r="G26" s="237">
        <v>101.68</v>
      </c>
      <c r="H26" s="234">
        <f t="shared" si="1"/>
        <v>10272.379999999999</v>
      </c>
      <c r="I26" s="234">
        <f t="shared" si="2"/>
        <v>4727.6199999999972</v>
      </c>
      <c r="J26" s="235"/>
    </row>
    <row r="27" spans="1:10" s="223" customFormat="1" ht="12.75" customHeight="1" x14ac:dyDescent="0.25">
      <c r="A27" s="70" t="s">
        <v>984</v>
      </c>
      <c r="B27" s="50">
        <v>46181</v>
      </c>
      <c r="C27" s="268">
        <v>9500</v>
      </c>
      <c r="D27" s="66" t="s">
        <v>986</v>
      </c>
      <c r="E27"/>
      <c r="F27" s="233">
        <f t="shared" si="0"/>
        <v>15000</v>
      </c>
      <c r="G27" s="237">
        <v>1246.3</v>
      </c>
      <c r="H27" s="234">
        <f t="shared" si="1"/>
        <v>11518.679999999998</v>
      </c>
      <c r="I27" s="234">
        <f t="shared" si="2"/>
        <v>3481.319999999997</v>
      </c>
      <c r="J27" s="235"/>
    </row>
    <row r="28" spans="1:10" s="223" customFormat="1" ht="12.75" customHeight="1" x14ac:dyDescent="0.25">
      <c r="A28" s="70" t="s">
        <v>1186</v>
      </c>
      <c r="B28" s="50">
        <v>46211</v>
      </c>
      <c r="C28" s="53" t="s">
        <v>261</v>
      </c>
      <c r="D28" s="144" t="s">
        <v>1187</v>
      </c>
      <c r="E28"/>
      <c r="F28" s="233">
        <f t="shared" si="0"/>
        <v>15000</v>
      </c>
      <c r="G28" s="237">
        <v>70.680000000000007</v>
      </c>
      <c r="H28" s="234">
        <f t="shared" si="1"/>
        <v>11589.359999999999</v>
      </c>
      <c r="I28" s="234">
        <f t="shared" si="2"/>
        <v>3410.6399999999971</v>
      </c>
      <c r="J28" s="235"/>
    </row>
    <row r="29" spans="1:10" s="223" customFormat="1" ht="12.75" customHeight="1" x14ac:dyDescent="0.25">
      <c r="A29" s="70" t="s">
        <v>1186</v>
      </c>
      <c r="B29" s="50">
        <v>46211</v>
      </c>
      <c r="C29" s="268">
        <v>9500</v>
      </c>
      <c r="D29" s="66" t="s">
        <v>1188</v>
      </c>
      <c r="E29"/>
      <c r="F29" s="233">
        <f t="shared" si="0"/>
        <v>15000</v>
      </c>
      <c r="G29" s="237">
        <v>811.2</v>
      </c>
      <c r="H29" s="234">
        <f t="shared" si="1"/>
        <v>12400.56</v>
      </c>
      <c r="I29" s="234">
        <f t="shared" si="2"/>
        <v>2599.4399999999969</v>
      </c>
      <c r="J29" s="235"/>
    </row>
    <row r="30" spans="1:10" s="223" customFormat="1" ht="12.75" customHeight="1" x14ac:dyDescent="0.2">
      <c r="A30" s="70" t="s">
        <v>1265</v>
      </c>
      <c r="B30" s="50">
        <v>46218</v>
      </c>
      <c r="C30" s="53" t="s">
        <v>261</v>
      </c>
      <c r="D30" s="144" t="s">
        <v>1266</v>
      </c>
      <c r="E30" s="233"/>
      <c r="F30" s="233">
        <f t="shared" si="0"/>
        <v>15000</v>
      </c>
      <c r="G30" s="237">
        <v>28.39</v>
      </c>
      <c r="H30" s="234">
        <f t="shared" si="1"/>
        <v>12428.949999999999</v>
      </c>
      <c r="I30" s="234">
        <f t="shared" si="2"/>
        <v>2571.049999999997</v>
      </c>
      <c r="J30" s="235"/>
    </row>
    <row r="31" spans="1:10" s="223" customFormat="1" ht="12.75" customHeight="1" x14ac:dyDescent="0.2">
      <c r="A31" s="70" t="s">
        <v>1436</v>
      </c>
      <c r="B31" s="365">
        <v>46241</v>
      </c>
      <c r="C31" s="53" t="s">
        <v>261</v>
      </c>
      <c r="D31" s="144" t="s">
        <v>1437</v>
      </c>
      <c r="E31" s="233"/>
      <c r="F31" s="233">
        <f t="shared" si="0"/>
        <v>15000</v>
      </c>
      <c r="G31" s="237">
        <v>62.95</v>
      </c>
      <c r="H31" s="234">
        <f t="shared" si="1"/>
        <v>12491.9</v>
      </c>
      <c r="I31" s="234">
        <f t="shared" si="2"/>
        <v>2508.0999999999972</v>
      </c>
      <c r="J31" s="235"/>
    </row>
    <row r="32" spans="1:10" s="223" customFormat="1" ht="14.25" customHeight="1" x14ac:dyDescent="0.2">
      <c r="A32" s="70" t="s">
        <v>1436</v>
      </c>
      <c r="B32" s="365">
        <v>46241</v>
      </c>
      <c r="C32" s="268">
        <v>9500</v>
      </c>
      <c r="D32" s="66" t="s">
        <v>1438</v>
      </c>
      <c r="E32" s="233"/>
      <c r="F32" s="233">
        <f t="shared" si="0"/>
        <v>15000</v>
      </c>
      <c r="G32" s="237">
        <v>671.6</v>
      </c>
      <c r="H32" s="234">
        <f t="shared" si="1"/>
        <v>13163.5</v>
      </c>
      <c r="I32" s="234">
        <f t="shared" si="2"/>
        <v>1836.4999999999973</v>
      </c>
      <c r="J32" s="235"/>
    </row>
    <row r="33" spans="1:10" s="223" customFormat="1" ht="14.25" customHeight="1" x14ac:dyDescent="0.2">
      <c r="A33" s="70" t="s">
        <v>1531</v>
      </c>
      <c r="B33" s="365">
        <v>46272</v>
      </c>
      <c r="C33" s="53" t="s">
        <v>261</v>
      </c>
      <c r="D33" s="144" t="s">
        <v>1532</v>
      </c>
      <c r="E33" s="233"/>
      <c r="F33" s="233">
        <f t="shared" si="0"/>
        <v>15000</v>
      </c>
      <c r="G33" s="238">
        <v>78.040000000000006</v>
      </c>
      <c r="H33" s="234">
        <f t="shared" si="1"/>
        <v>13241.54</v>
      </c>
      <c r="I33" s="234">
        <f t="shared" si="2"/>
        <v>1758.4599999999973</v>
      </c>
      <c r="J33" s="235"/>
    </row>
    <row r="34" spans="1:10" s="223" customFormat="1" ht="14.25" customHeight="1" x14ac:dyDescent="0.2">
      <c r="A34" s="70" t="s">
        <v>1531</v>
      </c>
      <c r="B34" s="365">
        <v>46272</v>
      </c>
      <c r="C34" s="268">
        <v>9500</v>
      </c>
      <c r="D34" s="66" t="s">
        <v>1533</v>
      </c>
      <c r="E34" s="233"/>
      <c r="F34" s="233">
        <f t="shared" si="0"/>
        <v>15000</v>
      </c>
      <c r="G34" s="238">
        <v>758.4</v>
      </c>
      <c r="H34" s="234">
        <f t="shared" si="1"/>
        <v>13999.94</v>
      </c>
      <c r="I34" s="234">
        <f t="shared" si="2"/>
        <v>1000.0599999999973</v>
      </c>
      <c r="J34" s="235"/>
    </row>
    <row r="35" spans="1:10" s="223" customFormat="1" ht="14.25" customHeight="1" x14ac:dyDescent="0.2">
      <c r="A35" s="70"/>
      <c r="B35" s="365"/>
      <c r="C35" s="268"/>
      <c r="D35" s="66"/>
      <c r="E35" s="233"/>
      <c r="F35" s="233">
        <f t="shared" si="0"/>
        <v>15000</v>
      </c>
      <c r="G35" s="237"/>
      <c r="H35" s="234">
        <f t="shared" si="1"/>
        <v>13999.94</v>
      </c>
      <c r="I35" s="234">
        <f t="shared" si="2"/>
        <v>1000.0599999999973</v>
      </c>
      <c r="J35" s="235"/>
    </row>
    <row r="36" spans="1:10" s="223" customFormat="1" ht="14.25" customHeight="1" x14ac:dyDescent="0.2">
      <c r="A36" s="70"/>
      <c r="B36" s="365"/>
      <c r="C36" s="268"/>
      <c r="D36" s="66"/>
      <c r="E36" s="233"/>
      <c r="F36" s="233">
        <f t="shared" si="0"/>
        <v>15000</v>
      </c>
      <c r="G36" s="237"/>
      <c r="H36" s="234">
        <f t="shared" si="1"/>
        <v>13999.94</v>
      </c>
      <c r="I36" s="234">
        <f t="shared" si="2"/>
        <v>1000.0599999999973</v>
      </c>
      <c r="J36" s="235"/>
    </row>
    <row r="37" spans="1:10" s="223" customFormat="1" ht="12.75" customHeight="1" x14ac:dyDescent="0.2">
      <c r="A37" s="70"/>
      <c r="B37" s="50"/>
      <c r="C37" s="53"/>
      <c r="D37" s="144"/>
      <c r="E37" s="233"/>
      <c r="F37" s="233">
        <f t="shared" si="0"/>
        <v>15000</v>
      </c>
      <c r="G37" s="237"/>
      <c r="H37" s="234">
        <f t="shared" si="1"/>
        <v>13999.94</v>
      </c>
      <c r="I37" s="234">
        <f t="shared" si="2"/>
        <v>1000.0599999999973</v>
      </c>
      <c r="J37" s="235"/>
    </row>
    <row r="38" spans="1:10" s="223" customFormat="1" ht="12.75" customHeight="1" x14ac:dyDescent="0.25">
      <c r="A38" s="230"/>
      <c r="B38" s="231"/>
      <c r="C38" s="241"/>
      <c r="D38" s="240"/>
      <c r="E38" s="234"/>
      <c r="F38" s="234"/>
      <c r="G38" s="234"/>
      <c r="H38" s="234"/>
      <c r="I38" s="234"/>
      <c r="J38" s="235"/>
    </row>
    <row r="39" spans="1:10" s="223" customFormat="1" ht="12.75" customHeight="1" thickBot="1" x14ac:dyDescent="0.3">
      <c r="A39" s="230"/>
      <c r="B39" s="243"/>
      <c r="C39" s="241"/>
      <c r="D39" s="244" t="s">
        <v>24</v>
      </c>
      <c r="E39" s="245">
        <f>SUM(E9:E38)</f>
        <v>15000</v>
      </c>
      <c r="F39" s="245"/>
      <c r="G39" s="245">
        <f>SUM(G9:G38)</f>
        <v>13999.94</v>
      </c>
      <c r="H39" s="245"/>
      <c r="I39" s="245">
        <f>E39-G39</f>
        <v>1000.0599999999995</v>
      </c>
      <c r="J39" s="235"/>
    </row>
    <row r="40" spans="1:10" s="223" customFormat="1" ht="12.75" customHeight="1" thickTop="1" x14ac:dyDescent="0.25"/>
    <row r="41" spans="1:10" s="223" customFormat="1" ht="12.75" customHeight="1" x14ac:dyDescent="0.25"/>
  </sheetData>
  <pageMargins left="0.25" right="0.25" top="0.95" bottom="0.75" header="0.09" footer="0.3"/>
  <pageSetup scale="63"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14110-F28F-40A5-8DE9-A297F646D56C}">
  <sheetPr>
    <pageSetUpPr fitToPage="1"/>
  </sheetPr>
  <dimension ref="A1:H84"/>
  <sheetViews>
    <sheetView zoomScaleNormal="100" workbookViewId="0">
      <selection activeCell="A20" sqref="A20"/>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5703125" customWidth="1"/>
    <col min="6" max="6" width="15.1406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#9500.00'!B1</f>
        <v>DOC MPCF Spill Containment for Diesel Tank</v>
      </c>
      <c r="B1" s="3"/>
      <c r="C1" s="3"/>
      <c r="D1" s="3"/>
      <c r="E1" s="4"/>
      <c r="F1" s="4"/>
      <c r="G1" s="4"/>
      <c r="H1" s="28"/>
    </row>
    <row r="2" spans="1:8" ht="15.75" x14ac:dyDescent="0.25">
      <c r="A2" s="6" t="str">
        <f>'RECAP #9500.00'!B2</f>
        <v>Project # 9500.00</v>
      </c>
      <c r="B2" s="5"/>
      <c r="C2" s="5"/>
      <c r="D2" s="5"/>
      <c r="E2" s="4"/>
      <c r="F2" s="4"/>
      <c r="G2" s="4"/>
      <c r="H2" s="28"/>
    </row>
    <row r="3" spans="1:8" ht="15.75" x14ac:dyDescent="0.25">
      <c r="A3" s="7" t="str">
        <f>'RECAP #9500.00'!B3</f>
        <v>Program code 950000</v>
      </c>
      <c r="B3" s="5"/>
      <c r="C3" s="5"/>
      <c r="D3" s="5"/>
      <c r="E3" s="8" t="str">
        <f>'RECAP #9500.00'!E3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336</v>
      </c>
      <c r="F6" s="35"/>
      <c r="G6" s="38"/>
      <c r="H6" s="39"/>
    </row>
    <row r="7" spans="1:8" ht="15.75" x14ac:dyDescent="0.25">
      <c r="A7" s="11" t="str">
        <f>'RECAP #9500.00'!B6</f>
        <v>Project Manager - Brandon A.</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1099</v>
      </c>
      <c r="B9" s="177">
        <v>46196</v>
      </c>
      <c r="C9" s="241" t="s">
        <v>361</v>
      </c>
      <c r="D9" s="241" t="s">
        <v>362</v>
      </c>
      <c r="E9" s="38" t="s">
        <v>368</v>
      </c>
      <c r="F9" s="259" t="s">
        <v>1098</v>
      </c>
      <c r="G9" s="237">
        <v>223.9</v>
      </c>
      <c r="H9" s="260">
        <f>G9</f>
        <v>223.9</v>
      </c>
    </row>
    <row r="10" spans="1:8" s="223" customFormat="1" ht="12.75" customHeight="1" x14ac:dyDescent="0.25">
      <c r="A10" s="176" t="s">
        <v>1233</v>
      </c>
      <c r="B10" s="177">
        <v>46216</v>
      </c>
      <c r="C10" s="241" t="s">
        <v>361</v>
      </c>
      <c r="D10" s="241" t="s">
        <v>362</v>
      </c>
      <c r="E10" s="258" t="s">
        <v>1091</v>
      </c>
      <c r="F10" s="272" t="s">
        <v>1232</v>
      </c>
      <c r="G10" s="237">
        <v>2138.75</v>
      </c>
      <c r="H10" s="260">
        <f>H9+G10</f>
        <v>2362.65</v>
      </c>
    </row>
    <row r="11" spans="1:8" s="223" customFormat="1" ht="12.75" customHeight="1" x14ac:dyDescent="0.25">
      <c r="A11" s="241"/>
      <c r="B11" s="177"/>
      <c r="C11" s="177"/>
      <c r="D11" s="177"/>
      <c r="E11" s="258"/>
      <c r="F11" s="252"/>
      <c r="G11" s="260"/>
      <c r="H11" s="260">
        <f t="shared" ref="H11:H20" si="0">H10+G11</f>
        <v>2362.65</v>
      </c>
    </row>
    <row r="12" spans="1:8" s="223" customFormat="1" ht="12.75" customHeight="1" x14ac:dyDescent="0.25">
      <c r="A12" s="241" t="s">
        <v>2</v>
      </c>
      <c r="B12" s="177" t="s">
        <v>2</v>
      </c>
      <c r="C12" s="177"/>
      <c r="D12" s="177"/>
      <c r="E12" s="258" t="s">
        <v>2</v>
      </c>
      <c r="F12" s="252"/>
      <c r="G12" s="260"/>
      <c r="H12" s="260">
        <f t="shared" si="0"/>
        <v>2362.65</v>
      </c>
    </row>
    <row r="13" spans="1:8" s="223" customFormat="1" ht="12.75" customHeight="1" x14ac:dyDescent="0.25">
      <c r="A13" s="241" t="s">
        <v>2</v>
      </c>
      <c r="B13" s="177" t="s">
        <v>2</v>
      </c>
      <c r="C13" s="177"/>
      <c r="D13" s="177"/>
      <c r="E13" s="258" t="s">
        <v>2</v>
      </c>
      <c r="F13" s="252"/>
      <c r="G13" s="260"/>
      <c r="H13" s="260">
        <f t="shared" si="0"/>
        <v>2362.65</v>
      </c>
    </row>
    <row r="14" spans="1:8" s="223" customFormat="1" ht="12.75" customHeight="1" x14ac:dyDescent="0.25">
      <c r="A14" s="241"/>
      <c r="B14" s="177"/>
      <c r="C14" s="177"/>
      <c r="D14" s="177"/>
      <c r="E14" s="258"/>
      <c r="F14" s="252"/>
      <c r="G14" s="260"/>
      <c r="H14" s="260">
        <f t="shared" si="0"/>
        <v>2362.65</v>
      </c>
    </row>
    <row r="15" spans="1:8" s="223" customFormat="1" ht="12.75" customHeight="1" x14ac:dyDescent="0.25">
      <c r="A15" s="241"/>
      <c r="B15" s="177"/>
      <c r="C15" s="177"/>
      <c r="D15" s="177"/>
      <c r="E15" s="261"/>
      <c r="F15" s="252"/>
      <c r="G15" s="260"/>
      <c r="H15" s="260">
        <f t="shared" si="0"/>
        <v>2362.65</v>
      </c>
    </row>
    <row r="16" spans="1:8" s="223" customFormat="1" ht="12.75" customHeight="1" x14ac:dyDescent="0.25">
      <c r="A16" s="241"/>
      <c r="B16" s="177"/>
      <c r="C16" s="177"/>
      <c r="D16" s="177"/>
      <c r="E16" s="258"/>
      <c r="F16" s="252"/>
      <c r="G16" s="260"/>
      <c r="H16" s="260">
        <f t="shared" si="0"/>
        <v>2362.65</v>
      </c>
    </row>
    <row r="17" spans="1:8" s="223" customFormat="1" ht="12.75" customHeight="1" x14ac:dyDescent="0.25">
      <c r="A17" s="230"/>
      <c r="B17" s="177"/>
      <c r="C17" s="177"/>
      <c r="D17" s="177"/>
      <c r="E17" s="258"/>
      <c r="F17" s="252"/>
      <c r="G17" s="260"/>
      <c r="H17" s="260">
        <f t="shared" si="0"/>
        <v>2362.65</v>
      </c>
    </row>
    <row r="18" spans="1:8" s="223" customFormat="1" ht="12.75" customHeight="1" x14ac:dyDescent="0.25">
      <c r="A18" s="230"/>
      <c r="B18" s="177"/>
      <c r="C18" s="177"/>
      <c r="D18" s="177"/>
      <c r="E18" s="258"/>
      <c r="F18" s="252"/>
      <c r="G18" s="260"/>
      <c r="H18" s="260">
        <f t="shared" si="0"/>
        <v>2362.65</v>
      </c>
    </row>
    <row r="19" spans="1:8" s="223" customFormat="1" ht="12.75" customHeight="1" x14ac:dyDescent="0.25">
      <c r="A19" s="230"/>
      <c r="B19" s="177"/>
      <c r="C19" s="177"/>
      <c r="D19" s="177"/>
      <c r="E19" s="258"/>
      <c r="F19" s="252"/>
      <c r="G19" s="260"/>
      <c r="H19" s="260">
        <f t="shared" si="0"/>
        <v>2362.65</v>
      </c>
    </row>
    <row r="20" spans="1:8" s="223" customFormat="1" ht="12.75" customHeight="1" x14ac:dyDescent="0.25">
      <c r="A20" s="230"/>
      <c r="B20" s="177"/>
      <c r="C20" s="177"/>
      <c r="D20" s="177"/>
      <c r="E20" s="258"/>
      <c r="F20" s="252"/>
      <c r="G20" s="260"/>
      <c r="H20" s="260">
        <f t="shared" si="0"/>
        <v>2362.65</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2362.65</v>
      </c>
      <c r="H22" s="265"/>
    </row>
    <row r="23" spans="1:8" s="223" customFormat="1" ht="12.75" customHeight="1" thickTop="1" x14ac:dyDescent="0.25"/>
    <row r="24" spans="1:8" s="223" customFormat="1" ht="12.75" customHeight="1" x14ac:dyDescent="0.25"/>
    <row r="25" spans="1:8" s="223" customFormat="1" ht="12.75" customHeight="1" x14ac:dyDescent="0.25"/>
    <row r="26" spans="1:8" s="223" customFormat="1" ht="12.75" customHeight="1" x14ac:dyDescent="0.25"/>
    <row r="27" spans="1:8" s="223" customFormat="1" ht="12.75" customHeight="1" x14ac:dyDescent="0.25"/>
    <row r="28" spans="1:8" s="223" customFormat="1" ht="12.75" customHeight="1" x14ac:dyDescent="0.25"/>
    <row r="29" spans="1:8" s="223" customFormat="1" ht="12.75" customHeight="1" x14ac:dyDescent="0.25"/>
    <row r="30" spans="1:8" s="223" customFormat="1" ht="12.75" customHeight="1" x14ac:dyDescent="0.25"/>
    <row r="31" spans="1:8" s="223" customFormat="1" ht="12.75" customHeight="1" x14ac:dyDescent="0.25"/>
    <row r="32" spans="1:8" s="223" customFormat="1" ht="12.75" customHeight="1" x14ac:dyDescent="0.25"/>
    <row r="33" s="223" customFormat="1" ht="12.75" customHeight="1" x14ac:dyDescent="0.25"/>
    <row r="34" s="223" customFormat="1" ht="12.75" customHeight="1" x14ac:dyDescent="0.25"/>
    <row r="35" s="223" customFormat="1" ht="12.75" customHeight="1" x14ac:dyDescent="0.25"/>
    <row r="36" s="223" customFormat="1" ht="12.75" customHeight="1" x14ac:dyDescent="0.25"/>
    <row r="37" s="223" customFormat="1" ht="12.75" customHeight="1" x14ac:dyDescent="0.25"/>
    <row r="38" s="223" customFormat="1" ht="12.75" customHeight="1" x14ac:dyDescent="0.25"/>
    <row r="39" s="223" customFormat="1" ht="12.75" customHeight="1" x14ac:dyDescent="0.25"/>
    <row r="40" s="223" customFormat="1" ht="12.75" customHeight="1" x14ac:dyDescent="0.25"/>
    <row r="41" s="223" customFormat="1" ht="12.75" customHeight="1" x14ac:dyDescent="0.25"/>
    <row r="42" s="223" customFormat="1" ht="12.75" customHeight="1" x14ac:dyDescent="0.25"/>
    <row r="43" s="223" customFormat="1" ht="12.75" customHeight="1" x14ac:dyDescent="0.25"/>
    <row r="44" s="223" customFormat="1" ht="12.75" customHeight="1" x14ac:dyDescent="0.25"/>
    <row r="45" s="223" customFormat="1" ht="12.75" customHeight="1" x14ac:dyDescent="0.25"/>
    <row r="46" s="223" customFormat="1" ht="12.75" customHeight="1" x14ac:dyDescent="0.25"/>
    <row r="47" s="223" customFormat="1" ht="12.75" customHeight="1" x14ac:dyDescent="0.25"/>
    <row r="48" s="223" customFormat="1" ht="12.75" customHeight="1" x14ac:dyDescent="0.25"/>
    <row r="49" s="223" customFormat="1" ht="12.75" customHeight="1" x14ac:dyDescent="0.25"/>
    <row r="50" s="223" customFormat="1" ht="12.75" customHeight="1" x14ac:dyDescent="0.25"/>
    <row r="51" s="223" customFormat="1" ht="12.75" customHeight="1" x14ac:dyDescent="0.25"/>
    <row r="52" s="223" customFormat="1" ht="12.75" customHeight="1" x14ac:dyDescent="0.25"/>
    <row r="53" s="223" customFormat="1" ht="12.75" customHeight="1" x14ac:dyDescent="0.25"/>
    <row r="54" s="223" customFormat="1" ht="12.75" customHeight="1" x14ac:dyDescent="0.25"/>
    <row r="55" s="223" customFormat="1" ht="12.75" customHeight="1" x14ac:dyDescent="0.25"/>
    <row r="56" s="223" customFormat="1" ht="12.75" customHeight="1" x14ac:dyDescent="0.25"/>
    <row r="57" s="223" customFormat="1" ht="12.75" customHeight="1" x14ac:dyDescent="0.25"/>
    <row r="58" s="223" customFormat="1" ht="12.75" customHeight="1" x14ac:dyDescent="0.25"/>
    <row r="59" s="223" customFormat="1" ht="12.75" customHeight="1" x14ac:dyDescent="0.25"/>
    <row r="60" s="223" customFormat="1" ht="12.75" customHeight="1" x14ac:dyDescent="0.25"/>
    <row r="61" s="223" customFormat="1" ht="12.75" customHeight="1" x14ac:dyDescent="0.25"/>
    <row r="62" s="223" customFormat="1" ht="12.75" customHeight="1" x14ac:dyDescent="0.25"/>
    <row r="63" s="223" customFormat="1" ht="12.75" customHeight="1" x14ac:dyDescent="0.25"/>
    <row r="64" s="223" customFormat="1" ht="12.75" customHeight="1" x14ac:dyDescent="0.25"/>
    <row r="65" s="223" customFormat="1" ht="12.75" customHeight="1" x14ac:dyDescent="0.25"/>
    <row r="66" s="223" customFormat="1" ht="12.75" customHeight="1" x14ac:dyDescent="0.25"/>
    <row r="67" s="223" customFormat="1" ht="12.75" customHeight="1" x14ac:dyDescent="0.25"/>
    <row r="68" s="223" customFormat="1" ht="12.75" customHeight="1" x14ac:dyDescent="0.25"/>
    <row r="69" s="223" customFormat="1" ht="12.75" customHeight="1" x14ac:dyDescent="0.25"/>
    <row r="70" s="223" customFormat="1" ht="12.75" customHeight="1" x14ac:dyDescent="0.25"/>
    <row r="71" s="223" customFormat="1" ht="12.75" customHeight="1" x14ac:dyDescent="0.25"/>
    <row r="72" s="223" customFormat="1" ht="12.75" customHeight="1" x14ac:dyDescent="0.25"/>
    <row r="73" s="223" customFormat="1" ht="12.75" customHeight="1" x14ac:dyDescent="0.25"/>
    <row r="74" s="223" customFormat="1" ht="12.75" customHeight="1" x14ac:dyDescent="0.25"/>
    <row r="75" s="223" customFormat="1" ht="12.75" customHeight="1" x14ac:dyDescent="0.25"/>
    <row r="76" s="223" customFormat="1" ht="12.75" customHeight="1" x14ac:dyDescent="0.25"/>
    <row r="77" s="223" customFormat="1" ht="12.75" customHeight="1" x14ac:dyDescent="0.25"/>
    <row r="78" s="223" customFormat="1" ht="12.75" customHeight="1" x14ac:dyDescent="0.25"/>
    <row r="79" s="223" customFormat="1" ht="12.75" customHeight="1" x14ac:dyDescent="0.25"/>
    <row r="80" s="223" customFormat="1" ht="12.75" customHeight="1" x14ac:dyDescent="0.25"/>
    <row r="81" s="223" customFormat="1" ht="12.75" customHeight="1" x14ac:dyDescent="0.25"/>
    <row r="82" s="223" customFormat="1" ht="12.75" customHeight="1" x14ac:dyDescent="0.25"/>
    <row r="83" s="223" customFormat="1" ht="12.75" customHeight="1" x14ac:dyDescent="0.25"/>
    <row r="84" s="223"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87902-F65F-426D-8F87-8845C98772CE}">
  <sheetPr>
    <pageSetUpPr fitToPage="1"/>
  </sheetPr>
  <dimension ref="A1:I32"/>
  <sheetViews>
    <sheetView zoomScaleNormal="100" workbookViewId="0">
      <selection activeCell="F15" sqref="F15"/>
    </sheetView>
  </sheetViews>
  <sheetFormatPr defaultColWidth="11.42578125" defaultRowHeight="15" customHeight="1" x14ac:dyDescent="0.25"/>
  <cols>
    <col min="1" max="1" width="24.5703125" customWidth="1"/>
    <col min="2" max="2" width="9.42578125" customWidth="1"/>
    <col min="3" max="3" width="23.140625" bestFit="1" customWidth="1"/>
    <col min="4" max="4" width="14.42578125" customWidth="1"/>
    <col min="5" max="5" width="13.5703125" customWidth="1"/>
    <col min="6" max="6" width="12.42578125" customWidth="1"/>
    <col min="7" max="7" width="10.5703125" customWidth="1"/>
    <col min="8" max="8" width="11.425781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#9500.00'!B1</f>
        <v>DOC MPCF Spill Containment for Diesel Tank</v>
      </c>
      <c r="B1" s="3"/>
      <c r="C1" s="4"/>
      <c r="D1" s="4"/>
      <c r="E1" s="4"/>
      <c r="F1" s="28"/>
      <c r="G1" s="28"/>
      <c r="H1" s="29"/>
      <c r="I1" s="29"/>
    </row>
    <row r="2" spans="1:9" ht="15.75" x14ac:dyDescent="0.25">
      <c r="A2" s="6" t="str">
        <f>'RECAP #9500.00'!B2</f>
        <v>Project # 9500.00</v>
      </c>
      <c r="B2" s="5"/>
      <c r="C2" s="4"/>
      <c r="D2" s="4"/>
      <c r="E2" s="4"/>
      <c r="F2" s="28"/>
      <c r="G2" s="28"/>
      <c r="H2" s="29"/>
      <c r="I2" s="29"/>
    </row>
    <row r="3" spans="1:9" ht="15.75" x14ac:dyDescent="0.25">
      <c r="A3" s="7" t="str">
        <f>'RECAP #9500.00'!B3</f>
        <v>Program code 950000</v>
      </c>
      <c r="B3" s="5"/>
      <c r="C3" s="4"/>
      <c r="D3" s="8" t="str">
        <f>'RECAP #9500.00'!E3</f>
        <v>Major Program 4E01</v>
      </c>
      <c r="E3" s="4"/>
      <c r="F3" s="28"/>
      <c r="G3" s="28"/>
      <c r="H3" s="29"/>
      <c r="I3" s="29"/>
    </row>
    <row r="4" spans="1:9" ht="15.75" x14ac:dyDescent="0.25">
      <c r="A4" s="30" t="s">
        <v>295</v>
      </c>
      <c r="B4" s="31"/>
      <c r="C4" s="32"/>
      <c r="D4" s="33" t="s">
        <v>296</v>
      </c>
      <c r="E4" s="28"/>
      <c r="F4" s="28"/>
      <c r="G4" s="28"/>
      <c r="H4" s="29"/>
      <c r="I4" s="29"/>
    </row>
    <row r="5" spans="1:9" ht="15.75" x14ac:dyDescent="0.25">
      <c r="A5" s="34" t="s">
        <v>541</v>
      </c>
      <c r="B5" s="35"/>
      <c r="C5" s="36"/>
      <c r="D5" s="37" t="s">
        <v>542</v>
      </c>
      <c r="E5" s="38"/>
      <c r="F5" s="39"/>
      <c r="G5" s="39"/>
      <c r="H5" s="35"/>
      <c r="I5" s="29"/>
    </row>
    <row r="6" spans="1:9" ht="15.75" x14ac:dyDescent="0.25">
      <c r="A6" s="11" t="str">
        <f>'RECAP #9500.00'!B6</f>
        <v>Project Manager - Brandon A.</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543</v>
      </c>
      <c r="B9" s="177">
        <v>46057</v>
      </c>
      <c r="C9" s="231" t="s">
        <v>109</v>
      </c>
      <c r="D9" s="232">
        <v>35000</v>
      </c>
      <c r="E9" s="233">
        <f>D9</f>
        <v>35000</v>
      </c>
      <c r="F9" s="234"/>
      <c r="G9" s="234"/>
      <c r="H9" s="234">
        <f>E9</f>
        <v>35000</v>
      </c>
      <c r="I9" s="235"/>
    </row>
    <row r="10" spans="1:9" s="223" customFormat="1" ht="12.75" customHeight="1" x14ac:dyDescent="0.25">
      <c r="A10" s="230" t="s">
        <v>685</v>
      </c>
      <c r="B10" s="236">
        <v>46104</v>
      </c>
      <c r="C10" s="231" t="s">
        <v>686</v>
      </c>
      <c r="D10" s="233"/>
      <c r="E10" s="233">
        <f t="shared" ref="E10:E21" si="0">E9+D10</f>
        <v>35000</v>
      </c>
      <c r="F10" s="237">
        <v>12674</v>
      </c>
      <c r="G10" s="234">
        <f t="shared" ref="G10:G21" si="1">G9+F10</f>
        <v>12674</v>
      </c>
      <c r="H10" s="234">
        <f t="shared" ref="H10:H21" si="2">H9-F10+D10</f>
        <v>22326</v>
      </c>
      <c r="I10" s="235"/>
    </row>
    <row r="11" spans="1:9" s="223" customFormat="1" ht="12.75" customHeight="1" x14ac:dyDescent="0.25">
      <c r="A11" s="230" t="s">
        <v>543</v>
      </c>
      <c r="B11" s="177">
        <v>46126</v>
      </c>
      <c r="C11" s="231" t="s">
        <v>468</v>
      </c>
      <c r="D11" s="232">
        <v>1975</v>
      </c>
      <c r="E11" s="233">
        <f t="shared" si="0"/>
        <v>36975</v>
      </c>
      <c r="F11" s="238"/>
      <c r="G11" s="234">
        <f t="shared" si="1"/>
        <v>12674</v>
      </c>
      <c r="H11" s="234">
        <f t="shared" si="2"/>
        <v>24301</v>
      </c>
      <c r="I11" s="235"/>
    </row>
    <row r="12" spans="1:9" s="223" customFormat="1" ht="12.75" customHeight="1" x14ac:dyDescent="0.25">
      <c r="A12" s="230" t="s">
        <v>941</v>
      </c>
      <c r="B12" s="177">
        <v>46168</v>
      </c>
      <c r="C12" s="231" t="s">
        <v>942</v>
      </c>
      <c r="D12" s="233"/>
      <c r="E12" s="233">
        <f t="shared" si="0"/>
        <v>36975</v>
      </c>
      <c r="F12" s="237">
        <v>14988</v>
      </c>
      <c r="G12" s="234">
        <f t="shared" si="1"/>
        <v>27662</v>
      </c>
      <c r="H12" s="234">
        <f t="shared" si="2"/>
        <v>9313</v>
      </c>
      <c r="I12" s="235"/>
    </row>
    <row r="13" spans="1:9" s="223" customFormat="1" ht="12.75" customHeight="1" x14ac:dyDescent="0.25">
      <c r="A13" s="328" t="s">
        <v>988</v>
      </c>
      <c r="B13" s="329">
        <v>46182</v>
      </c>
      <c r="C13" s="330" t="s">
        <v>989</v>
      </c>
      <c r="D13" s="331"/>
      <c r="E13" s="331">
        <f t="shared" si="0"/>
        <v>36975</v>
      </c>
      <c r="F13" s="338">
        <v>2280</v>
      </c>
      <c r="G13" s="332">
        <f t="shared" si="1"/>
        <v>29942</v>
      </c>
      <c r="H13" s="332">
        <f t="shared" si="2"/>
        <v>7033</v>
      </c>
      <c r="I13" s="333" t="s">
        <v>1285</v>
      </c>
    </row>
    <row r="14" spans="1:9" s="223" customFormat="1" ht="12.75" customHeight="1" x14ac:dyDescent="0.25">
      <c r="A14" s="230" t="s">
        <v>1308</v>
      </c>
      <c r="B14" s="177">
        <v>46225</v>
      </c>
      <c r="C14" s="231" t="s">
        <v>1286</v>
      </c>
      <c r="D14" s="232">
        <v>0</v>
      </c>
      <c r="E14" s="233">
        <f t="shared" si="0"/>
        <v>36975</v>
      </c>
      <c r="F14" s="234"/>
      <c r="G14" s="234">
        <f t="shared" si="1"/>
        <v>29942</v>
      </c>
      <c r="H14" s="234">
        <f t="shared" si="2"/>
        <v>7033</v>
      </c>
      <c r="I14" s="235"/>
    </row>
    <row r="15" spans="1:9" s="223" customFormat="1" ht="12.75" customHeight="1" x14ac:dyDescent="0.25">
      <c r="A15" s="230" t="s">
        <v>1574</v>
      </c>
      <c r="B15" s="177">
        <v>46282</v>
      </c>
      <c r="C15" s="231" t="s">
        <v>1575</v>
      </c>
      <c r="D15" s="233"/>
      <c r="E15" s="233">
        <f t="shared" si="0"/>
        <v>36975</v>
      </c>
      <c r="F15" s="237">
        <v>2500</v>
      </c>
      <c r="G15" s="234">
        <f t="shared" si="1"/>
        <v>32442</v>
      </c>
      <c r="H15" s="234">
        <f t="shared" si="2"/>
        <v>4533</v>
      </c>
      <c r="I15" s="235"/>
    </row>
    <row r="16" spans="1:9" s="223" customFormat="1" ht="12.75" customHeight="1" x14ac:dyDescent="0.25">
      <c r="A16" s="230"/>
      <c r="B16" s="177"/>
      <c r="C16" s="231"/>
      <c r="D16" s="233"/>
      <c r="E16" s="233">
        <f t="shared" si="0"/>
        <v>36975</v>
      </c>
      <c r="F16" s="238"/>
      <c r="G16" s="234">
        <f t="shared" si="1"/>
        <v>32442</v>
      </c>
      <c r="H16" s="234">
        <f t="shared" si="2"/>
        <v>4533</v>
      </c>
      <c r="I16" s="235"/>
    </row>
    <row r="17" spans="1:9" s="223" customFormat="1" ht="12.75" customHeight="1" x14ac:dyDescent="0.25">
      <c r="A17" s="230"/>
      <c r="B17" s="177"/>
      <c r="C17" s="231"/>
      <c r="D17" s="233"/>
      <c r="E17" s="233">
        <f t="shared" si="0"/>
        <v>36975</v>
      </c>
      <c r="F17" s="238"/>
      <c r="G17" s="234">
        <f t="shared" si="1"/>
        <v>32442</v>
      </c>
      <c r="H17" s="234">
        <f t="shared" si="2"/>
        <v>4533</v>
      </c>
      <c r="I17" s="235"/>
    </row>
    <row r="18" spans="1:9" s="223" customFormat="1" ht="12.75" customHeight="1" x14ac:dyDescent="0.25">
      <c r="A18" s="230"/>
      <c r="B18" s="177"/>
      <c r="C18" s="231"/>
      <c r="D18" s="233"/>
      <c r="E18" s="233">
        <f t="shared" si="0"/>
        <v>36975</v>
      </c>
      <c r="F18" s="238"/>
      <c r="G18" s="234">
        <f t="shared" si="1"/>
        <v>32442</v>
      </c>
      <c r="H18" s="234">
        <f t="shared" si="2"/>
        <v>4533</v>
      </c>
      <c r="I18" s="235"/>
    </row>
    <row r="19" spans="1:9" s="223" customFormat="1" ht="12.75" customHeight="1" x14ac:dyDescent="0.25">
      <c r="A19" s="230"/>
      <c r="B19" s="177"/>
      <c r="C19" s="231"/>
      <c r="D19" s="233"/>
      <c r="E19" s="233">
        <f t="shared" si="0"/>
        <v>36975</v>
      </c>
      <c r="F19" s="234"/>
      <c r="G19" s="234">
        <f t="shared" si="1"/>
        <v>32442</v>
      </c>
      <c r="H19" s="234">
        <f t="shared" si="2"/>
        <v>4533</v>
      </c>
      <c r="I19" s="235"/>
    </row>
    <row r="20" spans="1:9" s="223" customFormat="1" ht="12.75" customHeight="1" x14ac:dyDescent="0.25">
      <c r="A20" s="230"/>
      <c r="B20" s="177"/>
      <c r="C20" s="231"/>
      <c r="D20" s="233"/>
      <c r="E20" s="233">
        <f t="shared" si="0"/>
        <v>36975</v>
      </c>
      <c r="F20" s="234"/>
      <c r="G20" s="234">
        <f t="shared" si="1"/>
        <v>32442</v>
      </c>
      <c r="H20" s="234">
        <f t="shared" si="2"/>
        <v>4533</v>
      </c>
      <c r="I20" s="235"/>
    </row>
    <row r="21" spans="1:9" s="223" customFormat="1" ht="12.75" customHeight="1" x14ac:dyDescent="0.25">
      <c r="A21" s="230"/>
      <c r="B21" s="177"/>
      <c r="C21" s="239"/>
      <c r="D21" s="233"/>
      <c r="E21" s="233">
        <f t="shared" si="0"/>
        <v>36975</v>
      </c>
      <c r="F21" s="234"/>
      <c r="G21" s="234">
        <f t="shared" si="1"/>
        <v>32442</v>
      </c>
      <c r="H21" s="234">
        <f t="shared" si="2"/>
        <v>4533</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36975</v>
      </c>
      <c r="E23" s="245"/>
      <c r="F23" s="245">
        <f>SUM(F9:F22)</f>
        <v>32442</v>
      </c>
      <c r="G23" s="245"/>
      <c r="H23" s="245">
        <f>D23-F23</f>
        <v>4533</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t="s">
        <v>299</v>
      </c>
      <c r="D26" s="234">
        <v>12674</v>
      </c>
      <c r="E26" s="234"/>
      <c r="F26" s="234">
        <f>12674</f>
        <v>12674</v>
      </c>
      <c r="G26" s="234"/>
      <c r="H26" s="234">
        <f>D26-F26</f>
        <v>0</v>
      </c>
      <c r="I26" s="235"/>
    </row>
    <row r="27" spans="1:9" s="223" customFormat="1" ht="12.75" customHeight="1" x14ac:dyDescent="0.25">
      <c r="A27" s="230"/>
      <c r="B27" s="231"/>
      <c r="C27" s="240" t="s">
        <v>121</v>
      </c>
      <c r="D27" s="234">
        <v>13013</v>
      </c>
      <c r="E27" s="234"/>
      <c r="F27" s="234">
        <f>13013</f>
        <v>13013</v>
      </c>
      <c r="G27" s="234"/>
      <c r="H27" s="234">
        <f>D27-F27</f>
        <v>0</v>
      </c>
      <c r="I27" s="235"/>
    </row>
    <row r="28" spans="1:9" s="223" customFormat="1" ht="12.75" customHeight="1" x14ac:dyDescent="0.25">
      <c r="A28" s="230"/>
      <c r="B28" s="231"/>
      <c r="C28" s="253" t="s">
        <v>400</v>
      </c>
      <c r="D28" s="254">
        <v>2280</v>
      </c>
      <c r="E28" s="254"/>
      <c r="F28" s="254">
        <f>2280</f>
        <v>2280</v>
      </c>
      <c r="G28" s="254"/>
      <c r="H28" s="234">
        <f>D28-F28</f>
        <v>0</v>
      </c>
      <c r="I28" s="235"/>
    </row>
    <row r="29" spans="1:9" s="223" customFormat="1" ht="12.75" customHeight="1" x14ac:dyDescent="0.25">
      <c r="A29" s="230"/>
      <c r="B29" s="231"/>
      <c r="C29" s="253" t="s">
        <v>122</v>
      </c>
      <c r="D29" s="254">
        <v>7033</v>
      </c>
      <c r="E29" s="254"/>
      <c r="F29" s="254">
        <f>2500</f>
        <v>2500</v>
      </c>
      <c r="G29" s="254"/>
      <c r="H29" s="234">
        <f>D29-F29</f>
        <v>4533</v>
      </c>
      <c r="I29" s="235"/>
    </row>
    <row r="30" spans="1:9" s="223" customFormat="1" ht="12.75" customHeight="1" x14ac:dyDescent="0.25">
      <c r="A30" s="230"/>
      <c r="B30" s="231"/>
      <c r="C30" s="253" t="s">
        <v>468</v>
      </c>
      <c r="D30" s="254">
        <v>1975</v>
      </c>
      <c r="E30" s="254"/>
      <c r="F30" s="254">
        <f>1975</f>
        <v>1975</v>
      </c>
      <c r="G30" s="254"/>
      <c r="H30" s="234">
        <f>D30-F30</f>
        <v>0</v>
      </c>
      <c r="I30" s="235"/>
    </row>
    <row r="31" spans="1:9" s="223" customFormat="1" ht="12.75" customHeight="1" thickBot="1" x14ac:dyDescent="0.3">
      <c r="A31" s="230"/>
      <c r="B31" s="231"/>
      <c r="C31" s="255" t="s">
        <v>67</v>
      </c>
      <c r="D31" s="256">
        <f>SUM(D26:D30)</f>
        <v>36975</v>
      </c>
      <c r="E31" s="257"/>
      <c r="F31" s="256">
        <f>SUM(F26:F30)</f>
        <v>32442</v>
      </c>
      <c r="G31" s="257"/>
      <c r="H31" s="256">
        <f>SUM(H26:H30)</f>
        <v>4533</v>
      </c>
      <c r="I31" s="235"/>
    </row>
    <row r="32" spans="1:9" s="223" customFormat="1" ht="12.75" customHeight="1" thickTop="1" x14ac:dyDescent="0.25"/>
  </sheetData>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8E4D0-5A04-420A-BEDC-8D6FF46FE18F}">
  <sheetPr>
    <tabColor rgb="FF0070C0"/>
    <pageSetUpPr fitToPage="1"/>
  </sheetPr>
  <dimension ref="A1:I35"/>
  <sheetViews>
    <sheetView zoomScaleNormal="100" workbookViewId="0">
      <selection activeCell="K28" sqref="K28"/>
    </sheetView>
  </sheetViews>
  <sheetFormatPr defaultColWidth="11.42578125" defaultRowHeight="15" customHeight="1" x14ac:dyDescent="0.25"/>
  <cols>
    <col min="1" max="1" width="24.5703125" style="274" customWidth="1"/>
    <col min="2" max="2" width="9.42578125" style="274" customWidth="1"/>
    <col min="3" max="3" width="24.85546875" style="274" customWidth="1"/>
    <col min="4" max="4" width="14.42578125" style="274" customWidth="1"/>
    <col min="5" max="5" width="13.5703125" style="274" customWidth="1"/>
    <col min="6" max="6" width="12.42578125" style="274" customWidth="1"/>
    <col min="7" max="7" width="10.5703125" style="274" customWidth="1"/>
    <col min="8" max="8" width="11.42578125" style="274"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#9500.00'!B1</f>
        <v>DOC MPCF Spill Containment for Diesel Tank</v>
      </c>
      <c r="B1" s="30"/>
      <c r="C1" s="153"/>
      <c r="D1" s="153"/>
      <c r="E1" s="153"/>
      <c r="F1" s="156"/>
      <c r="G1" s="156"/>
      <c r="H1" s="179"/>
      <c r="I1" s="179"/>
    </row>
    <row r="2" spans="1:9" ht="15.75" x14ac:dyDescent="0.25">
      <c r="A2" s="31" t="str">
        <f>'RECAP #9500.00'!B2</f>
        <v>Project # 9500.00</v>
      </c>
      <c r="B2" s="150"/>
      <c r="C2" s="153"/>
      <c r="D2" s="153"/>
      <c r="E2" s="153"/>
      <c r="F2" s="156"/>
      <c r="G2" s="156"/>
      <c r="H2" s="179"/>
      <c r="I2" s="179"/>
    </row>
    <row r="3" spans="1:9" ht="15.75" x14ac:dyDescent="0.25">
      <c r="A3" s="154" t="str">
        <f>'RECAP #9500.00'!B3</f>
        <v>Program code 950000</v>
      </c>
      <c r="B3" s="150"/>
      <c r="C3" s="153"/>
      <c r="D3" s="155" t="str">
        <f>'RECAP #9500.00'!E3</f>
        <v>Major Program 4E01</v>
      </c>
      <c r="E3" s="153"/>
      <c r="F3" s="156"/>
      <c r="G3" s="156"/>
      <c r="H3" s="179"/>
      <c r="I3" s="179"/>
    </row>
    <row r="4" spans="1:9" ht="15.75" x14ac:dyDescent="0.25">
      <c r="A4" s="30" t="s">
        <v>567</v>
      </c>
      <c r="B4" s="31"/>
      <c r="C4" s="179"/>
      <c r="D4" s="180" t="s">
        <v>569</v>
      </c>
      <c r="E4" s="156"/>
      <c r="F4" s="156"/>
      <c r="G4" s="156"/>
      <c r="H4" s="179"/>
      <c r="I4" s="179"/>
    </row>
    <row r="5" spans="1:9" ht="15.75" x14ac:dyDescent="0.25">
      <c r="A5" s="181" t="s">
        <v>115</v>
      </c>
      <c r="B5" s="179"/>
      <c r="C5" s="182"/>
      <c r="D5" s="37" t="s">
        <v>568</v>
      </c>
      <c r="E5" s="42"/>
      <c r="F5" s="156"/>
      <c r="G5" s="156"/>
      <c r="H5" s="179"/>
      <c r="I5" s="179"/>
    </row>
    <row r="6" spans="1:9" ht="15.75" x14ac:dyDescent="0.25">
      <c r="A6" s="31" t="str">
        <f>'RECAP #9500.00'!B6</f>
        <v>Project Manager - Brandon A.</v>
      </c>
      <c r="B6" s="31"/>
      <c r="C6" s="183"/>
      <c r="D6" s="184" t="s">
        <v>118</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570</v>
      </c>
      <c r="B9" s="276">
        <v>46071</v>
      </c>
      <c r="C9" s="277" t="s">
        <v>109</v>
      </c>
      <c r="D9" s="278">
        <v>7210</v>
      </c>
      <c r="E9" s="279">
        <f>D9</f>
        <v>7210</v>
      </c>
      <c r="F9" s="280"/>
      <c r="G9" s="280"/>
      <c r="H9" s="280">
        <f>E9</f>
        <v>7210</v>
      </c>
      <c r="I9" s="281"/>
    </row>
    <row r="10" spans="1:9" s="282" customFormat="1" ht="12.75" customHeight="1" x14ac:dyDescent="0.25">
      <c r="A10" s="275" t="s">
        <v>570</v>
      </c>
      <c r="B10" s="283">
        <v>46162</v>
      </c>
      <c r="C10" s="277" t="s">
        <v>468</v>
      </c>
      <c r="D10" s="285">
        <v>-1242</v>
      </c>
      <c r="E10" s="279">
        <f t="shared" ref="E10:E21" si="0">E9+D10</f>
        <v>5968</v>
      </c>
      <c r="F10" s="284"/>
      <c r="G10" s="280">
        <f t="shared" ref="G10:G21" si="1">G9+F10</f>
        <v>0</v>
      </c>
      <c r="H10" s="280">
        <f t="shared" ref="H10:H21" si="2">H9-F10+D10</f>
        <v>5968</v>
      </c>
      <c r="I10" s="281"/>
    </row>
    <row r="11" spans="1:9" s="282" customFormat="1" ht="12.75" customHeight="1" x14ac:dyDescent="0.25">
      <c r="A11" s="275" t="s">
        <v>960</v>
      </c>
      <c r="B11" s="276">
        <v>46171</v>
      </c>
      <c r="C11" s="277" t="s">
        <v>961</v>
      </c>
      <c r="D11" s="279"/>
      <c r="E11" s="279">
        <f t="shared" si="0"/>
        <v>5968</v>
      </c>
      <c r="F11" s="284">
        <v>5968</v>
      </c>
      <c r="G11" s="280">
        <f t="shared" si="1"/>
        <v>5968</v>
      </c>
      <c r="H11" s="280">
        <f t="shared" si="2"/>
        <v>0</v>
      </c>
      <c r="I11" s="281"/>
    </row>
    <row r="12" spans="1:9" s="282" customFormat="1" ht="12.75" customHeight="1" x14ac:dyDescent="0.25">
      <c r="A12" s="275"/>
      <c r="B12" s="276"/>
      <c r="C12" s="277"/>
      <c r="D12" s="279"/>
      <c r="E12" s="279">
        <f t="shared" si="0"/>
        <v>5968</v>
      </c>
      <c r="F12" s="284"/>
      <c r="G12" s="280">
        <f t="shared" si="1"/>
        <v>5968</v>
      </c>
      <c r="H12" s="280">
        <f t="shared" si="2"/>
        <v>0</v>
      </c>
      <c r="I12" s="281"/>
    </row>
    <row r="13" spans="1:9" s="282" customFormat="1" ht="12.75" customHeight="1" x14ac:dyDescent="0.25">
      <c r="A13" s="275"/>
      <c r="B13" s="276"/>
      <c r="C13" s="277"/>
      <c r="D13" s="279"/>
      <c r="E13" s="279">
        <f t="shared" si="0"/>
        <v>5968</v>
      </c>
      <c r="F13" s="284"/>
      <c r="G13" s="280">
        <f t="shared" si="1"/>
        <v>5968</v>
      </c>
      <c r="H13" s="280">
        <f t="shared" si="2"/>
        <v>0</v>
      </c>
      <c r="I13" s="281"/>
    </row>
    <row r="14" spans="1:9" s="282" customFormat="1" ht="12.75" customHeight="1" x14ac:dyDescent="0.25">
      <c r="A14" s="275"/>
      <c r="B14" s="276"/>
      <c r="C14" s="277"/>
      <c r="D14" s="279"/>
      <c r="E14" s="279">
        <f t="shared" si="0"/>
        <v>5968</v>
      </c>
      <c r="F14" s="280"/>
      <c r="G14" s="280">
        <f t="shared" si="1"/>
        <v>5968</v>
      </c>
      <c r="H14" s="280">
        <f t="shared" si="2"/>
        <v>0</v>
      </c>
      <c r="I14" s="281"/>
    </row>
    <row r="15" spans="1:9" s="282" customFormat="1" ht="12.75" customHeight="1" x14ac:dyDescent="0.25">
      <c r="A15" s="275"/>
      <c r="B15" s="276"/>
      <c r="C15" s="277"/>
      <c r="D15" s="279"/>
      <c r="E15" s="279">
        <f t="shared" si="0"/>
        <v>5968</v>
      </c>
      <c r="F15" s="284"/>
      <c r="G15" s="280">
        <f t="shared" si="1"/>
        <v>5968</v>
      </c>
      <c r="H15" s="280">
        <f t="shared" si="2"/>
        <v>0</v>
      </c>
      <c r="I15" s="281"/>
    </row>
    <row r="16" spans="1:9" s="282" customFormat="1" ht="12.75" customHeight="1" x14ac:dyDescent="0.25">
      <c r="A16" s="275"/>
      <c r="B16" s="276"/>
      <c r="C16" s="277"/>
      <c r="D16" s="279"/>
      <c r="E16" s="279">
        <f t="shared" si="0"/>
        <v>5968</v>
      </c>
      <c r="F16" s="284"/>
      <c r="G16" s="280">
        <f t="shared" si="1"/>
        <v>5968</v>
      </c>
      <c r="H16" s="280">
        <f t="shared" si="2"/>
        <v>0</v>
      </c>
      <c r="I16" s="281"/>
    </row>
    <row r="17" spans="1:9" s="282" customFormat="1" ht="12.75" customHeight="1" x14ac:dyDescent="0.25">
      <c r="A17" s="275"/>
      <c r="B17" s="276"/>
      <c r="C17" s="277"/>
      <c r="D17" s="279"/>
      <c r="E17" s="279">
        <f t="shared" si="0"/>
        <v>5968</v>
      </c>
      <c r="F17" s="284"/>
      <c r="G17" s="280">
        <f t="shared" si="1"/>
        <v>5968</v>
      </c>
      <c r="H17" s="280">
        <f t="shared" si="2"/>
        <v>0</v>
      </c>
      <c r="I17" s="281"/>
    </row>
    <row r="18" spans="1:9" s="282" customFormat="1" ht="12.75" customHeight="1" x14ac:dyDescent="0.25">
      <c r="A18" s="275"/>
      <c r="B18" s="276"/>
      <c r="C18" s="277"/>
      <c r="D18" s="279"/>
      <c r="E18" s="279">
        <f t="shared" si="0"/>
        <v>5968</v>
      </c>
      <c r="F18" s="284"/>
      <c r="G18" s="280">
        <f t="shared" si="1"/>
        <v>5968</v>
      </c>
      <c r="H18" s="280">
        <f t="shared" si="2"/>
        <v>0</v>
      </c>
      <c r="I18" s="281"/>
    </row>
    <row r="19" spans="1:9" s="282" customFormat="1" ht="12.75" customHeight="1" x14ac:dyDescent="0.25">
      <c r="A19" s="275"/>
      <c r="B19" s="276"/>
      <c r="C19" s="277"/>
      <c r="D19" s="279"/>
      <c r="E19" s="279">
        <f t="shared" si="0"/>
        <v>5968</v>
      </c>
      <c r="F19" s="280"/>
      <c r="G19" s="280">
        <f t="shared" si="1"/>
        <v>5968</v>
      </c>
      <c r="H19" s="280">
        <f t="shared" si="2"/>
        <v>0</v>
      </c>
      <c r="I19" s="281"/>
    </row>
    <row r="20" spans="1:9" s="282" customFormat="1" ht="12.75" customHeight="1" x14ac:dyDescent="0.25">
      <c r="A20" s="275"/>
      <c r="B20" s="276"/>
      <c r="C20" s="277"/>
      <c r="D20" s="279"/>
      <c r="E20" s="279">
        <f t="shared" si="0"/>
        <v>5968</v>
      </c>
      <c r="F20" s="280"/>
      <c r="G20" s="280">
        <f t="shared" si="1"/>
        <v>5968</v>
      </c>
      <c r="H20" s="280">
        <f t="shared" si="2"/>
        <v>0</v>
      </c>
      <c r="I20" s="281"/>
    </row>
    <row r="21" spans="1:9" s="282" customFormat="1" ht="12.75" customHeight="1" x14ac:dyDescent="0.25">
      <c r="A21" s="275"/>
      <c r="B21" s="276"/>
      <c r="C21" s="286"/>
      <c r="D21" s="279"/>
      <c r="E21" s="279">
        <f t="shared" si="0"/>
        <v>5968</v>
      </c>
      <c r="F21" s="280"/>
      <c r="G21" s="280">
        <f t="shared" si="1"/>
        <v>5968</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5968</v>
      </c>
      <c r="E23" s="290"/>
      <c r="F23" s="290">
        <f>SUM(F9:F22)</f>
        <v>5968</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571</v>
      </c>
      <c r="D26" s="280">
        <v>420</v>
      </c>
      <c r="E26" s="280"/>
      <c r="F26" s="280">
        <f>420</f>
        <v>420</v>
      </c>
      <c r="G26" s="280"/>
      <c r="H26" s="280">
        <f>D26-F26</f>
        <v>0</v>
      </c>
      <c r="I26" s="281"/>
    </row>
    <row r="27" spans="1:9" s="282" customFormat="1" ht="12.75" customHeight="1" x14ac:dyDescent="0.25">
      <c r="A27" s="275"/>
      <c r="B27" s="277"/>
      <c r="C27" s="287" t="s">
        <v>572</v>
      </c>
      <c r="D27" s="280">
        <v>210</v>
      </c>
      <c r="E27" s="280"/>
      <c r="F27" s="280">
        <f>210</f>
        <v>210</v>
      </c>
      <c r="G27" s="280"/>
      <c r="H27" s="280">
        <f t="shared" ref="H27:H33" si="3">D27-F27</f>
        <v>0</v>
      </c>
      <c r="I27" s="281"/>
    </row>
    <row r="28" spans="1:9" s="282" customFormat="1" ht="12.75" customHeight="1" x14ac:dyDescent="0.25">
      <c r="A28" s="275"/>
      <c r="B28" s="277"/>
      <c r="C28" s="287" t="s">
        <v>838</v>
      </c>
      <c r="D28" s="280">
        <v>260</v>
      </c>
      <c r="E28" s="280"/>
      <c r="F28" s="280">
        <f>260</f>
        <v>260</v>
      </c>
      <c r="G28" s="280"/>
      <c r="H28" s="280">
        <f t="shared" si="3"/>
        <v>0</v>
      </c>
      <c r="I28" s="281"/>
    </row>
    <row r="29" spans="1:9" s="282" customFormat="1" ht="12.75" customHeight="1" x14ac:dyDescent="0.25">
      <c r="A29" s="275"/>
      <c r="B29" s="277"/>
      <c r="C29" s="287" t="s">
        <v>573</v>
      </c>
      <c r="D29" s="280">
        <v>3380</v>
      </c>
      <c r="E29" s="280"/>
      <c r="F29" s="280">
        <f>3380</f>
        <v>3380</v>
      </c>
      <c r="G29" s="280"/>
      <c r="H29" s="280">
        <f t="shared" si="3"/>
        <v>0</v>
      </c>
      <c r="I29" s="281"/>
    </row>
    <row r="30" spans="1:9" s="282" customFormat="1" ht="12.75" customHeight="1" x14ac:dyDescent="0.25">
      <c r="A30" s="275"/>
      <c r="B30" s="277"/>
      <c r="C30" s="287" t="s">
        <v>574</v>
      </c>
      <c r="D30" s="280">
        <v>1750</v>
      </c>
      <c r="E30" s="280"/>
      <c r="F30" s="280">
        <f>1750</f>
        <v>1750</v>
      </c>
      <c r="G30" s="280"/>
      <c r="H30" s="280">
        <f t="shared" si="3"/>
        <v>0</v>
      </c>
      <c r="I30" s="281"/>
    </row>
    <row r="31" spans="1:9" s="282" customFormat="1" ht="12.75" customHeight="1" x14ac:dyDescent="0.25">
      <c r="A31" s="275"/>
      <c r="B31" s="277"/>
      <c r="C31" s="287" t="s">
        <v>575</v>
      </c>
      <c r="D31" s="280">
        <v>150</v>
      </c>
      <c r="E31" s="292"/>
      <c r="F31" s="292">
        <f>150</f>
        <v>150</v>
      </c>
      <c r="G31" s="292"/>
      <c r="H31" s="280">
        <f t="shared" si="3"/>
        <v>0</v>
      </c>
      <c r="I31" s="281"/>
    </row>
    <row r="32" spans="1:9" s="282" customFormat="1" ht="12.75" customHeight="1" x14ac:dyDescent="0.25">
      <c r="A32" s="275"/>
      <c r="B32" s="277"/>
      <c r="C32" s="287" t="s">
        <v>576</v>
      </c>
      <c r="D32" s="280">
        <v>1040</v>
      </c>
      <c r="E32" s="292"/>
      <c r="F32" s="292">
        <f>1040</f>
        <v>1040</v>
      </c>
      <c r="G32" s="292"/>
      <c r="H32" s="280">
        <f t="shared" si="3"/>
        <v>0</v>
      </c>
      <c r="I32" s="281"/>
    </row>
    <row r="33" spans="1:9" s="282" customFormat="1" ht="12.75" customHeight="1" x14ac:dyDescent="0.25">
      <c r="A33" s="275"/>
      <c r="B33" s="277"/>
      <c r="C33" s="287" t="s">
        <v>468</v>
      </c>
      <c r="D33" s="301">
        <f>-1242</f>
        <v>-1242</v>
      </c>
      <c r="E33" s="292"/>
      <c r="F33" s="301">
        <f>-1242</f>
        <v>-1242</v>
      </c>
      <c r="G33" s="292"/>
      <c r="H33" s="301">
        <f t="shared" si="3"/>
        <v>0</v>
      </c>
      <c r="I33" s="281"/>
    </row>
    <row r="34" spans="1:9" s="282" customFormat="1" ht="12.75" customHeight="1" thickBot="1" x14ac:dyDescent="0.3">
      <c r="A34" s="275"/>
      <c r="B34" s="277"/>
      <c r="C34" s="293" t="s">
        <v>67</v>
      </c>
      <c r="D34" s="290">
        <f>SUM(D26:D33)</f>
        <v>5968</v>
      </c>
      <c r="E34" s="294"/>
      <c r="F34" s="290">
        <f>SUM(F26:F33)</f>
        <v>5968</v>
      </c>
      <c r="G34" s="294"/>
      <c r="H34" s="290">
        <f>SUM(H26:H33)</f>
        <v>0</v>
      </c>
      <c r="I34" s="281"/>
    </row>
    <row r="35" spans="1:9" s="282" customFormat="1" ht="12.75" customHeight="1" thickTop="1" x14ac:dyDescent="0.25"/>
  </sheetData>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C922E-71A6-4322-8D07-BF24E5428A5A}">
  <sheetPr>
    <pageSetUpPr fitToPage="1"/>
  </sheetPr>
  <dimension ref="A1:I29"/>
  <sheetViews>
    <sheetView zoomScaleNormal="100" workbookViewId="0">
      <selection activeCell="F13" sqref="F13"/>
    </sheetView>
  </sheetViews>
  <sheetFormatPr defaultColWidth="11.42578125" defaultRowHeight="15" customHeight="1" x14ac:dyDescent="0.25"/>
  <cols>
    <col min="1" max="1" width="24.5703125" customWidth="1"/>
    <col min="2" max="2" width="9.42578125" customWidth="1"/>
    <col min="3" max="3" width="19.42578125" customWidth="1"/>
    <col min="4" max="4" width="14.42578125" customWidth="1"/>
    <col min="5" max="5" width="13.5703125" customWidth="1"/>
    <col min="6" max="6" width="12.42578125" customWidth="1"/>
    <col min="7" max="7" width="10.5703125" customWidth="1"/>
    <col min="8" max="8" width="11.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#9500.00'!B1</f>
        <v>DOC MPCF Spill Containment for Diesel Tank</v>
      </c>
      <c r="B1" s="3"/>
      <c r="C1" s="4"/>
      <c r="D1" s="4"/>
      <c r="E1" s="4"/>
      <c r="F1" s="28"/>
      <c r="G1" s="28"/>
      <c r="H1" s="29"/>
      <c r="I1" s="29"/>
    </row>
    <row r="2" spans="1:9" ht="15.75" x14ac:dyDescent="0.25">
      <c r="A2" s="6" t="str">
        <f>'RECAP #9500.00'!B2</f>
        <v>Project # 9500.00</v>
      </c>
      <c r="B2" s="5"/>
      <c r="C2" s="4"/>
      <c r="D2" s="4"/>
      <c r="E2" s="4"/>
      <c r="F2" s="28"/>
      <c r="G2" s="28"/>
      <c r="H2" s="29"/>
      <c r="I2" s="29"/>
    </row>
    <row r="3" spans="1:9" ht="15.75" x14ac:dyDescent="0.25">
      <c r="A3" s="7" t="str">
        <f>'RECAP #9500.00'!B3</f>
        <v>Program code 950000</v>
      </c>
      <c r="B3" s="5"/>
      <c r="C3" s="4"/>
      <c r="D3" s="8" t="str">
        <f>'RECAP #9500.00'!E3</f>
        <v>Major Program 4E01</v>
      </c>
      <c r="E3" s="4"/>
      <c r="F3" s="28"/>
      <c r="G3" s="28"/>
      <c r="H3" s="29"/>
      <c r="I3" s="29"/>
    </row>
    <row r="4" spans="1:9" ht="15.75" x14ac:dyDescent="0.25">
      <c r="A4" s="30" t="s">
        <v>1118</v>
      </c>
      <c r="B4" s="31"/>
      <c r="C4" s="32"/>
      <c r="D4" s="33" t="s">
        <v>254</v>
      </c>
      <c r="E4" s="28"/>
      <c r="F4" s="28"/>
      <c r="G4" s="28"/>
      <c r="H4" s="29"/>
      <c r="I4" s="29"/>
    </row>
    <row r="5" spans="1:9" ht="15.75" x14ac:dyDescent="0.25">
      <c r="A5" s="34" t="s">
        <v>321</v>
      </c>
      <c r="B5" s="35"/>
      <c r="C5" s="36"/>
      <c r="D5" s="37" t="s">
        <v>255</v>
      </c>
      <c r="E5" s="38"/>
      <c r="F5" s="39"/>
      <c r="G5" s="39"/>
      <c r="H5" s="35"/>
      <c r="I5" s="29"/>
    </row>
    <row r="6" spans="1:9" ht="15.75" x14ac:dyDescent="0.25">
      <c r="A6" s="11" t="str">
        <f>'RECAP #9500.00'!B6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1121</v>
      </c>
      <c r="B9" s="177">
        <v>46199</v>
      </c>
      <c r="C9" s="231" t="s">
        <v>109</v>
      </c>
      <c r="D9" s="232">
        <v>64134.14</v>
      </c>
      <c r="E9" s="233">
        <f>D9</f>
        <v>64134.14</v>
      </c>
      <c r="F9" s="237"/>
      <c r="G9" s="234"/>
      <c r="H9" s="234">
        <f>E9</f>
        <v>64134.14</v>
      </c>
      <c r="I9" s="235"/>
    </row>
    <row r="10" spans="1:9" s="223" customFormat="1" ht="12.75" customHeight="1" x14ac:dyDescent="0.25">
      <c r="A10" s="328" t="s">
        <v>1258</v>
      </c>
      <c r="B10" s="335">
        <v>46218</v>
      </c>
      <c r="C10" s="330" t="s">
        <v>1259</v>
      </c>
      <c r="D10" s="331"/>
      <c r="E10" s="331">
        <f t="shared" ref="E10:E21" si="0">E9+D10</f>
        <v>64134.14</v>
      </c>
      <c r="F10" s="338">
        <v>1556.15</v>
      </c>
      <c r="G10" s="332">
        <f t="shared" ref="G10:G21" si="1">G9+F10</f>
        <v>1556.15</v>
      </c>
      <c r="H10" s="332">
        <f t="shared" ref="H10:H21" si="2">H9-F10+D10</f>
        <v>62577.99</v>
      </c>
      <c r="I10" s="333" t="s">
        <v>1285</v>
      </c>
    </row>
    <row r="11" spans="1:9" s="223" customFormat="1" ht="12.75" customHeight="1" x14ac:dyDescent="0.25">
      <c r="A11" s="230" t="s">
        <v>1309</v>
      </c>
      <c r="B11" s="177">
        <v>46225</v>
      </c>
      <c r="C11" s="231" t="s">
        <v>1286</v>
      </c>
      <c r="D11" s="232">
        <v>0</v>
      </c>
      <c r="E11" s="233">
        <f t="shared" si="0"/>
        <v>64134.14</v>
      </c>
      <c r="F11" s="237"/>
      <c r="G11" s="234">
        <f t="shared" si="1"/>
        <v>1556.15</v>
      </c>
      <c r="H11" s="234">
        <f t="shared" si="2"/>
        <v>62577.99</v>
      </c>
      <c r="I11" s="235"/>
    </row>
    <row r="12" spans="1:9" s="223" customFormat="1" ht="12.75" customHeight="1" x14ac:dyDescent="0.25">
      <c r="A12" s="230" t="s">
        <v>1476</v>
      </c>
      <c r="B12" s="177">
        <v>46255</v>
      </c>
      <c r="C12" s="231" t="s">
        <v>1477</v>
      </c>
      <c r="D12" s="233"/>
      <c r="E12" s="233">
        <f t="shared" si="0"/>
        <v>64134.14</v>
      </c>
      <c r="F12" s="237">
        <v>2357.4299999999998</v>
      </c>
      <c r="G12" s="234">
        <f t="shared" si="1"/>
        <v>3913.58</v>
      </c>
      <c r="H12" s="234">
        <f t="shared" si="2"/>
        <v>60220.56</v>
      </c>
      <c r="I12" s="235"/>
    </row>
    <row r="13" spans="1:9" s="223" customFormat="1" ht="12.75" customHeight="1" x14ac:dyDescent="0.25">
      <c r="A13" s="230" t="s">
        <v>1564</v>
      </c>
      <c r="B13" s="177">
        <v>46281</v>
      </c>
      <c r="C13" s="231" t="s">
        <v>1565</v>
      </c>
      <c r="D13" s="233"/>
      <c r="E13" s="233">
        <f t="shared" si="0"/>
        <v>64134.14</v>
      </c>
      <c r="F13" s="237">
        <v>2298.34</v>
      </c>
      <c r="G13" s="234">
        <f t="shared" si="1"/>
        <v>6211.92</v>
      </c>
      <c r="H13" s="234">
        <f t="shared" si="2"/>
        <v>57922.22</v>
      </c>
      <c r="I13" s="235"/>
    </row>
    <row r="14" spans="1:9" s="223" customFormat="1" ht="12.75" customHeight="1" x14ac:dyDescent="0.25">
      <c r="A14" s="230"/>
      <c r="B14" s="177"/>
      <c r="C14" s="231"/>
      <c r="D14" s="233"/>
      <c r="E14" s="233">
        <f t="shared" si="0"/>
        <v>64134.14</v>
      </c>
      <c r="F14" s="302"/>
      <c r="G14" s="234">
        <f t="shared" si="1"/>
        <v>6211.92</v>
      </c>
      <c r="H14" s="234">
        <f t="shared" si="2"/>
        <v>57922.22</v>
      </c>
      <c r="I14" s="235"/>
    </row>
    <row r="15" spans="1:9" s="223" customFormat="1" ht="12.75" customHeight="1" x14ac:dyDescent="0.25">
      <c r="A15" s="230"/>
      <c r="B15" s="177"/>
      <c r="C15" s="231"/>
      <c r="D15" s="233"/>
      <c r="E15" s="233">
        <f t="shared" si="0"/>
        <v>64134.14</v>
      </c>
      <c r="F15" s="238"/>
      <c r="G15" s="234">
        <f t="shared" si="1"/>
        <v>6211.92</v>
      </c>
      <c r="H15" s="234">
        <f t="shared" si="2"/>
        <v>57922.22</v>
      </c>
      <c r="I15" s="235"/>
    </row>
    <row r="16" spans="1:9" s="223" customFormat="1" ht="12.75" customHeight="1" x14ac:dyDescent="0.25">
      <c r="A16" s="230"/>
      <c r="B16" s="177"/>
      <c r="C16" s="231"/>
      <c r="D16" s="233"/>
      <c r="E16" s="233">
        <f t="shared" si="0"/>
        <v>64134.14</v>
      </c>
      <c r="F16" s="238"/>
      <c r="G16" s="234">
        <f t="shared" si="1"/>
        <v>6211.92</v>
      </c>
      <c r="H16" s="234">
        <f t="shared" si="2"/>
        <v>57922.22</v>
      </c>
      <c r="I16" s="235"/>
    </row>
    <row r="17" spans="1:9" s="223" customFormat="1" ht="12.75" customHeight="1" x14ac:dyDescent="0.25">
      <c r="A17" s="230"/>
      <c r="B17" s="177"/>
      <c r="C17" s="231"/>
      <c r="D17" s="233"/>
      <c r="E17" s="233">
        <f t="shared" si="0"/>
        <v>64134.14</v>
      </c>
      <c r="F17" s="238"/>
      <c r="G17" s="234">
        <f t="shared" si="1"/>
        <v>6211.92</v>
      </c>
      <c r="H17" s="234">
        <f t="shared" si="2"/>
        <v>57922.22</v>
      </c>
      <c r="I17" s="235"/>
    </row>
    <row r="18" spans="1:9" s="223" customFormat="1" ht="12.75" customHeight="1" x14ac:dyDescent="0.25">
      <c r="A18" s="230"/>
      <c r="B18" s="177"/>
      <c r="C18" s="231"/>
      <c r="D18" s="233"/>
      <c r="E18" s="233">
        <f t="shared" si="0"/>
        <v>64134.14</v>
      </c>
      <c r="F18" s="238"/>
      <c r="G18" s="234">
        <f t="shared" si="1"/>
        <v>6211.92</v>
      </c>
      <c r="H18" s="234">
        <f t="shared" si="2"/>
        <v>57922.22</v>
      </c>
      <c r="I18" s="235"/>
    </row>
    <row r="19" spans="1:9" s="223" customFormat="1" ht="12.75" customHeight="1" x14ac:dyDescent="0.25">
      <c r="A19" s="230"/>
      <c r="B19" s="177"/>
      <c r="C19" s="231"/>
      <c r="D19" s="233"/>
      <c r="E19" s="233">
        <f t="shared" si="0"/>
        <v>64134.14</v>
      </c>
      <c r="F19" s="234"/>
      <c r="G19" s="234">
        <f t="shared" si="1"/>
        <v>6211.92</v>
      </c>
      <c r="H19" s="234">
        <f t="shared" si="2"/>
        <v>57922.22</v>
      </c>
      <c r="I19" s="235"/>
    </row>
    <row r="20" spans="1:9" s="223" customFormat="1" ht="12.75" customHeight="1" x14ac:dyDescent="0.25">
      <c r="A20" s="230"/>
      <c r="B20" s="177"/>
      <c r="C20" s="231"/>
      <c r="D20" s="233"/>
      <c r="E20" s="233">
        <f t="shared" si="0"/>
        <v>64134.14</v>
      </c>
      <c r="F20" s="234"/>
      <c r="G20" s="234">
        <f t="shared" si="1"/>
        <v>6211.92</v>
      </c>
      <c r="H20" s="234">
        <f t="shared" si="2"/>
        <v>57922.22</v>
      </c>
      <c r="I20" s="235"/>
    </row>
    <row r="21" spans="1:9" s="223" customFormat="1" ht="12.75" customHeight="1" x14ac:dyDescent="0.25">
      <c r="A21" s="230"/>
      <c r="B21" s="177"/>
      <c r="C21" s="239"/>
      <c r="D21" s="233"/>
      <c r="E21" s="233">
        <f t="shared" si="0"/>
        <v>64134.14</v>
      </c>
      <c r="F21" s="234"/>
      <c r="G21" s="234">
        <f t="shared" si="1"/>
        <v>6211.92</v>
      </c>
      <c r="H21" s="234">
        <f t="shared" si="2"/>
        <v>57922.22</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64134.14</v>
      </c>
      <c r="E23" s="245"/>
      <c r="F23" s="245">
        <f>SUM(F9:F22)</f>
        <v>6211.92</v>
      </c>
      <c r="G23" s="245"/>
      <c r="H23" s="245">
        <f>D23-F23</f>
        <v>57922.22</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61194.14</v>
      </c>
      <c r="E26" s="254"/>
      <c r="F26" s="254">
        <f>1416.15+2357.43+2298.34</f>
        <v>6071.92</v>
      </c>
      <c r="G26" s="254"/>
      <c r="H26" s="254">
        <f>D26-F26</f>
        <v>55122.22</v>
      </c>
      <c r="I26" s="235"/>
    </row>
    <row r="27" spans="1:9" s="223" customFormat="1" ht="12.75" customHeight="1" x14ac:dyDescent="0.25">
      <c r="A27" s="230"/>
      <c r="B27" s="231"/>
      <c r="C27" s="253" t="s">
        <v>111</v>
      </c>
      <c r="D27" s="254">
        <v>2940</v>
      </c>
      <c r="E27" s="254"/>
      <c r="F27" s="254">
        <f>140</f>
        <v>140</v>
      </c>
      <c r="G27" s="254"/>
      <c r="H27" s="254">
        <f>D27-F27</f>
        <v>2800</v>
      </c>
      <c r="I27" s="235"/>
    </row>
    <row r="28" spans="1:9" s="223" customFormat="1" ht="12.75" customHeight="1" thickBot="1" x14ac:dyDescent="0.3">
      <c r="A28" s="230"/>
      <c r="B28" s="231"/>
      <c r="C28" s="255" t="s">
        <v>67</v>
      </c>
      <c r="D28" s="256">
        <f>SUM(D26:D27)</f>
        <v>64134.14</v>
      </c>
      <c r="E28" s="257"/>
      <c r="F28" s="256">
        <f>SUM(F26:F27)</f>
        <v>6211.92</v>
      </c>
      <c r="G28" s="257"/>
      <c r="H28" s="256">
        <f>SUM(H26:H27)</f>
        <v>57922.22</v>
      </c>
      <c r="I28" s="235"/>
    </row>
    <row r="29" spans="1:9" s="223" customFormat="1" ht="12.75" customHeight="1" thickTop="1" x14ac:dyDescent="0.25"/>
  </sheetData>
  <conditionalFormatting sqref="I8:I9 I11:I23">
    <cfRule type="cellIs" dxfId="39" priority="1" operator="greaterThan">
      <formula>$H$23</formula>
    </cfRule>
  </conditionalFormatting>
  <pageMargins left="0.25" right="0.25" top="0.95" bottom="0.75" header="0.09" footer="0.3"/>
  <pageSetup scale="8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CE5A8-503B-4EA7-96C6-71A81746E01D}">
  <sheetPr>
    <pageSetUpPr fitToPage="1"/>
  </sheetPr>
  <dimension ref="A1:I25"/>
  <sheetViews>
    <sheetView zoomScaleNormal="100" workbookViewId="0">
      <selection activeCell="F10" sqref="F10"/>
    </sheetView>
  </sheetViews>
  <sheetFormatPr defaultColWidth="11.42578125" defaultRowHeight="15" customHeight="1" x14ac:dyDescent="0.25"/>
  <cols>
    <col min="1" max="1" width="24.5703125" customWidth="1"/>
    <col min="2" max="2" width="9.42578125" customWidth="1"/>
    <col min="3" max="3" width="19.42578125" customWidth="1"/>
    <col min="4" max="4" width="14.42578125" customWidth="1"/>
    <col min="5" max="5" width="13.5703125" customWidth="1"/>
    <col min="6" max="6" width="12.42578125" customWidth="1"/>
    <col min="7" max="7" width="10.5703125" customWidth="1"/>
    <col min="8" max="8" width="13.85546875" customWidth="1"/>
    <col min="9" max="9" width="12.710937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#9500.00'!B1</f>
        <v>DOC MPCF Spill Containment for Diesel Tank</v>
      </c>
      <c r="B1" s="3"/>
      <c r="C1" s="4"/>
      <c r="D1" s="4"/>
      <c r="E1" s="4"/>
      <c r="F1" s="28"/>
      <c r="G1" s="28"/>
      <c r="H1" s="29"/>
      <c r="I1" s="29"/>
    </row>
    <row r="2" spans="1:9" ht="15.75" x14ac:dyDescent="0.25">
      <c r="A2" s="6" t="str">
        <f>'RECAP #9500.00'!B2</f>
        <v>Project # 9500.00</v>
      </c>
      <c r="B2" s="5"/>
      <c r="C2" s="4"/>
      <c r="D2" s="4"/>
      <c r="E2" s="4"/>
      <c r="F2" s="28"/>
      <c r="G2" s="28"/>
      <c r="H2" s="29"/>
      <c r="I2" s="29"/>
    </row>
    <row r="3" spans="1:9" ht="15.75" x14ac:dyDescent="0.25">
      <c r="A3" s="7" t="str">
        <f>'RECAP #9500.00'!B3</f>
        <v>Program code 950000</v>
      </c>
      <c r="B3" s="5"/>
      <c r="C3" s="4"/>
      <c r="D3" s="8" t="str">
        <f>'RECAP #9500.00'!E3</f>
        <v>Major Program 4E01</v>
      </c>
      <c r="E3" s="4"/>
      <c r="F3" s="28"/>
      <c r="G3" s="28"/>
      <c r="H3" s="29"/>
      <c r="I3" s="29"/>
    </row>
    <row r="4" spans="1:9" ht="15.75" x14ac:dyDescent="0.25">
      <c r="A4" s="30" t="s">
        <v>1342</v>
      </c>
      <c r="B4" s="31"/>
      <c r="C4" s="32"/>
      <c r="D4" s="33" t="s">
        <v>1345</v>
      </c>
      <c r="E4" s="28"/>
      <c r="F4" s="28"/>
      <c r="G4" s="28"/>
      <c r="H4" s="29"/>
      <c r="I4" s="29"/>
    </row>
    <row r="5" spans="1:9" ht="15.75" x14ac:dyDescent="0.25">
      <c r="A5" s="34" t="s">
        <v>321</v>
      </c>
      <c r="B5" s="35"/>
      <c r="C5" s="36"/>
      <c r="D5" s="37" t="s">
        <v>1343</v>
      </c>
      <c r="E5" s="38"/>
      <c r="F5" s="39"/>
      <c r="G5" s="39"/>
      <c r="H5" s="35"/>
      <c r="I5" s="29"/>
    </row>
    <row r="6" spans="1:9" ht="15.75" x14ac:dyDescent="0.25">
      <c r="A6" s="11" t="str">
        <f>'RECAP #9500.00'!B6</f>
        <v>Project Manager - Brandon A.</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189" t="s">
        <v>529</v>
      </c>
    </row>
    <row r="9" spans="1:9" s="223" customFormat="1" ht="12.75" customHeight="1" x14ac:dyDescent="0.25">
      <c r="A9" s="230" t="s">
        <v>1344</v>
      </c>
      <c r="B9" s="177">
        <v>46226</v>
      </c>
      <c r="C9" s="231" t="s">
        <v>109</v>
      </c>
      <c r="D9" s="232">
        <v>368885</v>
      </c>
      <c r="E9" s="233">
        <f>D9</f>
        <v>368885</v>
      </c>
      <c r="F9" s="237"/>
      <c r="G9" s="234"/>
      <c r="H9" s="234">
        <f>E9</f>
        <v>368885</v>
      </c>
      <c r="I9" s="235"/>
    </row>
    <row r="10" spans="1:9" s="223" customFormat="1" ht="12.75" customHeight="1" x14ac:dyDescent="0.25">
      <c r="A10" s="230" t="s">
        <v>1584</v>
      </c>
      <c r="B10" s="236" t="s">
        <v>1585</v>
      </c>
      <c r="C10" s="231" t="s">
        <v>1586</v>
      </c>
      <c r="D10" s="233"/>
      <c r="E10" s="233">
        <f t="shared" ref="E10:E21" si="0">E9+D10</f>
        <v>368885</v>
      </c>
      <c r="F10" s="237">
        <v>10185</v>
      </c>
      <c r="G10" s="234">
        <f t="shared" ref="G10:G21" si="1">G9+F10</f>
        <v>10185</v>
      </c>
      <c r="H10" s="234">
        <f t="shared" ref="H10:H21" si="2">H9-F10+D10</f>
        <v>358700</v>
      </c>
      <c r="I10" s="297">
        <f>315</f>
        <v>315</v>
      </c>
    </row>
    <row r="11" spans="1:9" s="223" customFormat="1" ht="12.75" customHeight="1" x14ac:dyDescent="0.25">
      <c r="A11" s="230"/>
      <c r="B11" s="177"/>
      <c r="C11" s="231"/>
      <c r="D11" s="232"/>
      <c r="E11" s="233">
        <f t="shared" si="0"/>
        <v>368885</v>
      </c>
      <c r="F11" s="237"/>
      <c r="G11" s="234">
        <f t="shared" si="1"/>
        <v>10185</v>
      </c>
      <c r="H11" s="234">
        <f t="shared" si="2"/>
        <v>358700</v>
      </c>
      <c r="I11" s="297"/>
    </row>
    <row r="12" spans="1:9" s="223" customFormat="1" ht="12.75" customHeight="1" x14ac:dyDescent="0.25">
      <c r="A12" s="230"/>
      <c r="B12" s="177"/>
      <c r="C12" s="231"/>
      <c r="D12" s="233"/>
      <c r="E12" s="233">
        <f t="shared" si="0"/>
        <v>368885</v>
      </c>
      <c r="F12" s="237"/>
      <c r="G12" s="234">
        <f t="shared" si="1"/>
        <v>10185</v>
      </c>
      <c r="H12" s="234">
        <f t="shared" si="2"/>
        <v>358700</v>
      </c>
      <c r="I12" s="297"/>
    </row>
    <row r="13" spans="1:9" s="223" customFormat="1" ht="12.75" customHeight="1" x14ac:dyDescent="0.25">
      <c r="A13" s="230"/>
      <c r="B13" s="177"/>
      <c r="C13" s="231"/>
      <c r="D13" s="233"/>
      <c r="E13" s="233">
        <f t="shared" si="0"/>
        <v>368885</v>
      </c>
      <c r="F13" s="237"/>
      <c r="G13" s="234">
        <f t="shared" si="1"/>
        <v>10185</v>
      </c>
      <c r="H13" s="234">
        <f t="shared" si="2"/>
        <v>358700</v>
      </c>
      <c r="I13" s="297"/>
    </row>
    <row r="14" spans="1:9" s="223" customFormat="1" ht="12.75" customHeight="1" x14ac:dyDescent="0.25">
      <c r="A14" s="230"/>
      <c r="B14" s="177"/>
      <c r="C14" s="231"/>
      <c r="D14" s="233"/>
      <c r="E14" s="233">
        <f t="shared" si="0"/>
        <v>368885</v>
      </c>
      <c r="F14" s="302"/>
      <c r="G14" s="234">
        <f t="shared" si="1"/>
        <v>10185</v>
      </c>
      <c r="H14" s="234">
        <f t="shared" si="2"/>
        <v>358700</v>
      </c>
      <c r="I14" s="297"/>
    </row>
    <row r="15" spans="1:9" s="223" customFormat="1" ht="12.75" customHeight="1" x14ac:dyDescent="0.25">
      <c r="A15" s="230"/>
      <c r="B15" s="177"/>
      <c r="C15" s="231"/>
      <c r="D15" s="233"/>
      <c r="E15" s="233">
        <f t="shared" si="0"/>
        <v>368885</v>
      </c>
      <c r="F15" s="238"/>
      <c r="G15" s="234">
        <f t="shared" si="1"/>
        <v>10185</v>
      </c>
      <c r="H15" s="234">
        <f t="shared" si="2"/>
        <v>358700</v>
      </c>
      <c r="I15" s="297"/>
    </row>
    <row r="16" spans="1:9" s="223" customFormat="1" ht="12.75" customHeight="1" x14ac:dyDescent="0.25">
      <c r="A16" s="230"/>
      <c r="B16" s="177"/>
      <c r="C16" s="231"/>
      <c r="D16" s="233"/>
      <c r="E16" s="233">
        <f t="shared" si="0"/>
        <v>368885</v>
      </c>
      <c r="F16" s="238"/>
      <c r="G16" s="234">
        <f t="shared" si="1"/>
        <v>10185</v>
      </c>
      <c r="H16" s="234">
        <f t="shared" si="2"/>
        <v>358700</v>
      </c>
      <c r="I16" s="297"/>
    </row>
    <row r="17" spans="1:9" s="223" customFormat="1" ht="12.75" customHeight="1" x14ac:dyDescent="0.25">
      <c r="A17" s="230"/>
      <c r="B17" s="177"/>
      <c r="C17" s="231"/>
      <c r="D17" s="233"/>
      <c r="E17" s="233">
        <f t="shared" si="0"/>
        <v>368885</v>
      </c>
      <c r="F17" s="238"/>
      <c r="G17" s="234">
        <f t="shared" si="1"/>
        <v>10185</v>
      </c>
      <c r="H17" s="234">
        <f t="shared" si="2"/>
        <v>358700</v>
      </c>
      <c r="I17" s="297"/>
    </row>
    <row r="18" spans="1:9" s="223" customFormat="1" ht="12.75" customHeight="1" x14ac:dyDescent="0.25">
      <c r="A18" s="230"/>
      <c r="B18" s="177"/>
      <c r="C18" s="231"/>
      <c r="D18" s="233"/>
      <c r="E18" s="233">
        <f t="shared" si="0"/>
        <v>368885</v>
      </c>
      <c r="F18" s="238"/>
      <c r="G18" s="234">
        <f t="shared" si="1"/>
        <v>10185</v>
      </c>
      <c r="H18" s="234">
        <f t="shared" si="2"/>
        <v>358700</v>
      </c>
      <c r="I18" s="297"/>
    </row>
    <row r="19" spans="1:9" s="223" customFormat="1" ht="12.75" customHeight="1" x14ac:dyDescent="0.25">
      <c r="A19" s="230"/>
      <c r="B19" s="177"/>
      <c r="C19" s="231"/>
      <c r="D19" s="233"/>
      <c r="E19" s="233">
        <f t="shared" si="0"/>
        <v>368885</v>
      </c>
      <c r="F19" s="234"/>
      <c r="G19" s="234">
        <f t="shared" si="1"/>
        <v>10185</v>
      </c>
      <c r="H19" s="234">
        <f t="shared" si="2"/>
        <v>358700</v>
      </c>
      <c r="I19" s="297"/>
    </row>
    <row r="20" spans="1:9" s="223" customFormat="1" ht="12.75" customHeight="1" x14ac:dyDescent="0.25">
      <c r="A20" s="230"/>
      <c r="B20" s="177"/>
      <c r="C20" s="231"/>
      <c r="D20" s="233"/>
      <c r="E20" s="233">
        <f t="shared" si="0"/>
        <v>368885</v>
      </c>
      <c r="F20" s="234"/>
      <c r="G20" s="234">
        <f t="shared" si="1"/>
        <v>10185</v>
      </c>
      <c r="H20" s="234">
        <f t="shared" si="2"/>
        <v>358700</v>
      </c>
      <c r="I20" s="297"/>
    </row>
    <row r="21" spans="1:9" s="223" customFormat="1" ht="12.75" customHeight="1" x14ac:dyDescent="0.25">
      <c r="A21" s="230"/>
      <c r="B21" s="177"/>
      <c r="C21" s="239"/>
      <c r="D21" s="233"/>
      <c r="E21" s="233">
        <f t="shared" si="0"/>
        <v>368885</v>
      </c>
      <c r="F21" s="234"/>
      <c r="G21" s="234">
        <f t="shared" si="1"/>
        <v>10185</v>
      </c>
      <c r="H21" s="234">
        <f t="shared" si="2"/>
        <v>358700</v>
      </c>
      <c r="I21" s="297"/>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368885</v>
      </c>
      <c r="E23" s="245"/>
      <c r="F23" s="245">
        <f>SUM(F9:F22)</f>
        <v>10185</v>
      </c>
      <c r="G23" s="245"/>
      <c r="H23" s="245">
        <f>D23-F23</f>
        <v>358700</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sheetData>
  <conditionalFormatting sqref="I9 I22:I23">
    <cfRule type="cellIs" dxfId="38" priority="1" operator="greaterThan">
      <formula>$H$23</formula>
    </cfRule>
  </conditionalFormatting>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D26BA-6FBF-4CD4-AE56-E80DEA20B3F0}">
  <sheetPr>
    <pageSetUpPr fitToPage="1"/>
  </sheetPr>
  <dimension ref="A1:G18"/>
  <sheetViews>
    <sheetView topLeftCell="A3" zoomScaleNormal="100" workbookViewId="0">
      <selection activeCell="B22" sqref="B22"/>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460</v>
      </c>
      <c r="C1" s="3"/>
      <c r="D1" s="4"/>
      <c r="E1" s="4"/>
      <c r="F1" s="4"/>
      <c r="G1" s="4"/>
    </row>
    <row r="2" spans="1:7" ht="15.75" x14ac:dyDescent="0.25">
      <c r="A2" s="1"/>
      <c r="B2" s="6" t="s">
        <v>196</v>
      </c>
      <c r="C2" s="5"/>
      <c r="D2" s="4"/>
      <c r="E2" s="4"/>
      <c r="F2" s="4"/>
      <c r="G2" s="4"/>
    </row>
    <row r="3" spans="1:7" ht="15.75" x14ac:dyDescent="0.25">
      <c r="A3" s="1"/>
      <c r="B3" s="7" t="s">
        <v>198</v>
      </c>
      <c r="C3" s="5"/>
      <c r="D3" s="4"/>
      <c r="E3" s="8" t="s">
        <v>197</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175</v>
      </c>
      <c r="C6" s="12"/>
      <c r="D6" s="13" t="s">
        <v>2</v>
      </c>
      <c r="E6" s="4"/>
      <c r="F6" s="4"/>
      <c r="G6" s="4"/>
    </row>
    <row r="7" spans="1:7" ht="33.75" customHeight="1" thickBot="1" x14ac:dyDescent="0.3">
      <c r="A7" s="1"/>
      <c r="B7" s="14" t="s">
        <v>2</v>
      </c>
      <c r="C7" s="15" t="s">
        <v>3</v>
      </c>
      <c r="D7" s="16" t="s">
        <v>4</v>
      </c>
      <c r="E7" s="17" t="s">
        <v>5</v>
      </c>
      <c r="F7" s="18" t="s">
        <v>6</v>
      </c>
      <c r="G7" s="18" t="s">
        <v>7</v>
      </c>
    </row>
    <row r="8" spans="1:7" ht="28.35" customHeight="1" x14ac:dyDescent="0.25">
      <c r="A8" s="1"/>
      <c r="B8" s="1" t="s">
        <v>8</v>
      </c>
      <c r="C8" s="19">
        <f>FINANCIAL!G24</f>
        <v>275000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73" t="s">
        <v>250</v>
      </c>
      <c r="B10" s="247" t="s">
        <v>253</v>
      </c>
      <c r="C10" s="248"/>
      <c r="D10" s="251">
        <f>'#9501.00 McGough Construction'!D23</f>
        <v>14579.650000000001</v>
      </c>
      <c r="E10" s="251">
        <f>'#9501.00 McGough Construction'!F23</f>
        <v>14579.65</v>
      </c>
      <c r="F10" s="251">
        <f>'#9501.00 McGough Construction'!H23</f>
        <v>0</v>
      </c>
      <c r="G10" s="250"/>
    </row>
    <row r="11" spans="1:7" s="223" customFormat="1" ht="12.75" customHeight="1" x14ac:dyDescent="0.25">
      <c r="A11" s="246"/>
      <c r="B11" s="247" t="s">
        <v>10</v>
      </c>
      <c r="C11" s="248"/>
      <c r="D11" s="251">
        <f>'#9501.00 PM TIME'!E35</f>
        <v>10000</v>
      </c>
      <c r="E11" s="251">
        <f>'#9501.00 PM TIME'!G35</f>
        <v>6946.62</v>
      </c>
      <c r="F11" s="251">
        <f>'#9501.00 PM TIME'!I35</f>
        <v>3053.38</v>
      </c>
      <c r="G11" s="250"/>
    </row>
    <row r="12" spans="1:7" s="223" customFormat="1" ht="12.75" customHeight="1" x14ac:dyDescent="0.25">
      <c r="A12" s="246"/>
      <c r="B12" s="247" t="s">
        <v>11</v>
      </c>
      <c r="C12" s="249"/>
      <c r="D12" s="252">
        <f>'#9501.00 Misc'!G22</f>
        <v>1148.08</v>
      </c>
      <c r="E12" s="252">
        <f>'#9501.00 Misc'!G22</f>
        <v>1148.08</v>
      </c>
      <c r="F12" s="251">
        <f>D12-E12</f>
        <v>0</v>
      </c>
      <c r="G12" s="250"/>
    </row>
    <row r="13" spans="1:7" s="223" customFormat="1" ht="12.75" customHeight="1" x14ac:dyDescent="0.25">
      <c r="A13" s="246"/>
      <c r="B13" s="247" t="s">
        <v>678</v>
      </c>
      <c r="C13" s="249"/>
      <c r="D13" s="252">
        <f>'#9501.00 IMEG Corp'!D23</f>
        <v>34940</v>
      </c>
      <c r="E13" s="252">
        <f>'#9501.00 IMEG Corp'!F23</f>
        <v>22857.26</v>
      </c>
      <c r="F13" s="251">
        <f>'#9501.00 IMEG Corp'!H23</f>
        <v>12082.740000000002</v>
      </c>
      <c r="G13" s="250"/>
    </row>
    <row r="14" spans="1:7" s="223" customFormat="1" ht="12.75" customHeight="1" x14ac:dyDescent="0.25">
      <c r="A14" s="246"/>
      <c r="B14" s="247" t="s">
        <v>635</v>
      </c>
      <c r="C14" s="249"/>
      <c r="D14" s="252">
        <f>'#9501.00 McGough Constructi (2)'!D23</f>
        <v>33340.080000000002</v>
      </c>
      <c r="E14" s="252">
        <f>'#9501.00 McGough Constructi (2)'!F23</f>
        <v>7064.54</v>
      </c>
      <c r="F14" s="251">
        <f>'#9501.00 McGough Constructi (2)'!H23</f>
        <v>26275.54</v>
      </c>
      <c r="G14" s="250"/>
    </row>
    <row r="15" spans="1:7" s="223" customFormat="1" ht="12.75" customHeight="1" x14ac:dyDescent="0.25">
      <c r="A15" s="246"/>
      <c r="B15" s="247" t="s">
        <v>1134</v>
      </c>
      <c r="C15" s="249"/>
      <c r="D15" s="252">
        <f>'#9501.00 Winger Contracting'!D23</f>
        <v>137481</v>
      </c>
      <c r="E15" s="252">
        <f>'#9501.00 Winger Contracting'!F23</f>
        <v>0</v>
      </c>
      <c r="F15" s="251">
        <f>'#9501.00 Winger Contracting'!H23</f>
        <v>137481</v>
      </c>
      <c r="G15" s="250"/>
    </row>
    <row r="16" spans="1:7" s="223" customFormat="1" ht="12.75" customHeight="1" x14ac:dyDescent="0.25">
      <c r="A16" s="246"/>
      <c r="B16" s="247"/>
      <c r="C16" s="249"/>
      <c r="D16" s="252"/>
      <c r="E16" s="252"/>
      <c r="F16" s="251"/>
      <c r="G16" s="250"/>
    </row>
    <row r="17" spans="1:7" ht="24" customHeight="1" thickBot="1" x14ac:dyDescent="0.3">
      <c r="A17" s="25"/>
      <c r="B17" s="26" t="s">
        <v>12</v>
      </c>
      <c r="C17" s="27">
        <f>SUM(C8:C16)</f>
        <v>275000</v>
      </c>
      <c r="D17" s="27">
        <f>SUM(D8:D16)</f>
        <v>231488.81</v>
      </c>
      <c r="E17" s="27">
        <f>SUM(E8:E16)</f>
        <v>52596.15</v>
      </c>
      <c r="F17" s="27">
        <f>SUM(D17-E17)</f>
        <v>178892.66</v>
      </c>
      <c r="G17" s="27">
        <f>C8-D17</f>
        <v>43511.19</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7D09C-F972-40F7-B925-1E9CCA56BE1F}">
  <sheetPr>
    <tabColor rgb="FF0070C0"/>
    <pageSetUpPr fitToPage="1"/>
  </sheetPr>
  <dimension ref="A1:I29"/>
  <sheetViews>
    <sheetView topLeftCell="A6" zoomScaleNormal="100" workbookViewId="0">
      <selection activeCell="C35" sqref="C35"/>
    </sheetView>
  </sheetViews>
  <sheetFormatPr defaultColWidth="11.42578125" defaultRowHeight="15" customHeight="1" x14ac:dyDescent="0.25"/>
  <cols>
    <col min="1" max="1" width="24.5703125" style="274" customWidth="1"/>
    <col min="2" max="2" width="9.42578125" style="274" customWidth="1"/>
    <col min="3" max="3" width="25.5703125" style="274" customWidth="1"/>
    <col min="4" max="4" width="14.42578125" style="274" customWidth="1"/>
    <col min="5" max="5" width="13.5703125" style="274" customWidth="1"/>
    <col min="6" max="6" width="12.42578125" style="274" customWidth="1"/>
    <col min="7" max="7" width="10.5703125" style="274" customWidth="1"/>
    <col min="8" max="8" width="11.28515625" style="274" bestFit="1"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#9501.00'!B1</f>
        <v>DOC NCCF Air Handler Replacement and Condenser Coils Unit A and B</v>
      </c>
      <c r="B1" s="30"/>
      <c r="C1" s="153"/>
      <c r="D1" s="153"/>
      <c r="E1" s="153"/>
      <c r="F1" s="156"/>
      <c r="G1" s="156"/>
      <c r="H1" s="179"/>
      <c r="I1" s="179"/>
    </row>
    <row r="2" spans="1:9" ht="15.75" x14ac:dyDescent="0.25">
      <c r="A2" s="31" t="str">
        <f>'RECAP #9501.00'!B2</f>
        <v>Project # 9501.00</v>
      </c>
      <c r="B2" s="150"/>
      <c r="C2" s="153"/>
      <c r="D2" s="153"/>
      <c r="E2" s="153"/>
      <c r="F2" s="156"/>
      <c r="G2" s="156"/>
      <c r="H2" s="179"/>
      <c r="I2" s="179"/>
    </row>
    <row r="3" spans="1:9" ht="15.75" x14ac:dyDescent="0.25">
      <c r="A3" s="154" t="str">
        <f>'RECAP #9501.00'!B3</f>
        <v>Program code 950100</v>
      </c>
      <c r="B3" s="150"/>
      <c r="C3" s="153"/>
      <c r="D3" s="155" t="str">
        <f>'RECAP #9501.00'!E3</f>
        <v>Major Program 4F03</v>
      </c>
      <c r="E3" s="153"/>
      <c r="F3" s="156"/>
      <c r="G3" s="156"/>
      <c r="H3" s="179"/>
      <c r="I3" s="179"/>
    </row>
    <row r="4" spans="1:9" ht="15.75" x14ac:dyDescent="0.25">
      <c r="A4" s="30" t="s">
        <v>253</v>
      </c>
      <c r="B4" s="31"/>
      <c r="C4" s="179"/>
      <c r="D4" s="180" t="s">
        <v>254</v>
      </c>
      <c r="E4" s="156"/>
      <c r="F4" s="156"/>
      <c r="G4" s="156"/>
      <c r="H4" s="179"/>
      <c r="I4" s="179"/>
    </row>
    <row r="5" spans="1:9" ht="15.75" x14ac:dyDescent="0.25">
      <c r="A5" s="181" t="s">
        <v>104</v>
      </c>
      <c r="B5" s="179"/>
      <c r="C5" s="182"/>
      <c r="D5" s="37" t="s">
        <v>255</v>
      </c>
      <c r="E5" s="42"/>
      <c r="F5" s="156"/>
      <c r="G5" s="156"/>
      <c r="H5" s="179"/>
      <c r="I5" s="179"/>
    </row>
    <row r="6" spans="1:9" ht="15.75" x14ac:dyDescent="0.25">
      <c r="A6" s="31" t="str">
        <f>'RECAP #9501.00'!B6</f>
        <v>Project Manager - Jennie E.</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459</v>
      </c>
      <c r="B9" s="276">
        <v>46045</v>
      </c>
      <c r="C9" s="277" t="s">
        <v>109</v>
      </c>
      <c r="D9" s="278">
        <v>17978.830000000002</v>
      </c>
      <c r="E9" s="279">
        <f>D9</f>
        <v>17978.830000000002</v>
      </c>
      <c r="F9" s="280"/>
      <c r="G9" s="280"/>
      <c r="H9" s="280">
        <f>E9</f>
        <v>17978.830000000002</v>
      </c>
      <c r="I9" s="281"/>
    </row>
    <row r="10" spans="1:9" s="282" customFormat="1" ht="12.75" customHeight="1" x14ac:dyDescent="0.25">
      <c r="A10" s="275" t="s">
        <v>594</v>
      </c>
      <c r="B10" s="283">
        <v>46077</v>
      </c>
      <c r="C10" s="277" t="s">
        <v>595</v>
      </c>
      <c r="D10" s="279"/>
      <c r="E10" s="279">
        <f t="shared" ref="E10:E21" si="0">E9+D10</f>
        <v>17978.830000000002</v>
      </c>
      <c r="F10" s="284">
        <v>1050.8499999999999</v>
      </c>
      <c r="G10" s="280">
        <f t="shared" ref="G10:G21" si="1">G9+F10</f>
        <v>1050.8499999999999</v>
      </c>
      <c r="H10" s="280">
        <f t="shared" ref="H10:H21" si="2">H9-F10+D10</f>
        <v>16927.980000000003</v>
      </c>
      <c r="I10" s="281"/>
    </row>
    <row r="11" spans="1:9" s="282" customFormat="1" ht="12.75" customHeight="1" x14ac:dyDescent="0.25">
      <c r="A11" s="275" t="s">
        <v>638</v>
      </c>
      <c r="B11" s="276">
        <v>46091</v>
      </c>
      <c r="C11" s="277" t="s">
        <v>639</v>
      </c>
      <c r="D11" s="279"/>
      <c r="E11" s="279">
        <f t="shared" si="0"/>
        <v>17978.830000000002</v>
      </c>
      <c r="F11" s="284">
        <v>2475.96</v>
      </c>
      <c r="G11" s="280">
        <f t="shared" si="1"/>
        <v>3526.81</v>
      </c>
      <c r="H11" s="280">
        <f t="shared" si="2"/>
        <v>14452.020000000004</v>
      </c>
      <c r="I11" s="281"/>
    </row>
    <row r="12" spans="1:9" s="282" customFormat="1" ht="12.75" customHeight="1" x14ac:dyDescent="0.25">
      <c r="A12" s="275" t="s">
        <v>764</v>
      </c>
      <c r="B12" s="276">
        <v>46125</v>
      </c>
      <c r="C12" s="277" t="s">
        <v>765</v>
      </c>
      <c r="D12" s="279"/>
      <c r="E12" s="279">
        <f t="shared" si="0"/>
        <v>17978.830000000002</v>
      </c>
      <c r="F12" s="284">
        <v>2641.12</v>
      </c>
      <c r="G12" s="280">
        <f t="shared" si="1"/>
        <v>6167.93</v>
      </c>
      <c r="H12" s="280">
        <f t="shared" si="2"/>
        <v>11810.900000000005</v>
      </c>
      <c r="I12" s="281"/>
    </row>
    <row r="13" spans="1:9" s="282" customFormat="1" ht="12.75" customHeight="1" x14ac:dyDescent="0.25">
      <c r="A13" s="275" t="s">
        <v>917</v>
      </c>
      <c r="B13" s="276">
        <v>46163</v>
      </c>
      <c r="C13" s="277" t="s">
        <v>918</v>
      </c>
      <c r="D13" s="279"/>
      <c r="E13" s="279">
        <f t="shared" si="0"/>
        <v>17978.830000000002</v>
      </c>
      <c r="F13" s="284">
        <v>2978.43</v>
      </c>
      <c r="G13" s="280">
        <f t="shared" si="1"/>
        <v>9146.36</v>
      </c>
      <c r="H13" s="280">
        <f t="shared" si="2"/>
        <v>8832.4700000000048</v>
      </c>
      <c r="I13" s="281"/>
    </row>
    <row r="14" spans="1:9" s="282" customFormat="1" ht="12.75" customHeight="1" x14ac:dyDescent="0.25">
      <c r="A14" s="275" t="s">
        <v>1044</v>
      </c>
      <c r="B14" s="276">
        <v>46189</v>
      </c>
      <c r="C14" s="277" t="s">
        <v>1045</v>
      </c>
      <c r="D14" s="279"/>
      <c r="E14" s="279">
        <f t="shared" si="0"/>
        <v>17978.830000000002</v>
      </c>
      <c r="F14" s="284">
        <v>3061.89</v>
      </c>
      <c r="G14" s="280">
        <f t="shared" si="1"/>
        <v>12208.25</v>
      </c>
      <c r="H14" s="280">
        <f t="shared" si="2"/>
        <v>5770.5800000000054</v>
      </c>
      <c r="I14" s="281"/>
    </row>
    <row r="15" spans="1:9" s="282" customFormat="1" ht="12.75" customHeight="1" x14ac:dyDescent="0.25">
      <c r="A15" s="275" t="s">
        <v>1158</v>
      </c>
      <c r="B15" s="276">
        <v>46209</v>
      </c>
      <c r="C15" s="277" t="s">
        <v>1159</v>
      </c>
      <c r="D15" s="285">
        <v>-3399.18</v>
      </c>
      <c r="E15" s="279">
        <f t="shared" si="0"/>
        <v>14579.650000000001</v>
      </c>
      <c r="F15" s="284">
        <v>2371.4</v>
      </c>
      <c r="G15" s="280">
        <f t="shared" si="1"/>
        <v>14579.65</v>
      </c>
      <c r="H15" s="280">
        <f t="shared" si="2"/>
        <v>5.4569682106375694E-12</v>
      </c>
      <c r="I15" s="281"/>
    </row>
    <row r="16" spans="1:9" s="282" customFormat="1" ht="12.75" customHeight="1" x14ac:dyDescent="0.25">
      <c r="A16" s="275"/>
      <c r="B16" s="276"/>
      <c r="C16" s="277"/>
      <c r="D16" s="279"/>
      <c r="E16" s="279">
        <f t="shared" si="0"/>
        <v>14579.650000000001</v>
      </c>
      <c r="F16" s="284"/>
      <c r="G16" s="280">
        <f t="shared" si="1"/>
        <v>14579.65</v>
      </c>
      <c r="H16" s="280">
        <f t="shared" si="2"/>
        <v>5.4569682106375694E-12</v>
      </c>
      <c r="I16" s="281"/>
    </row>
    <row r="17" spans="1:9" s="282" customFormat="1" ht="12.75" customHeight="1" x14ac:dyDescent="0.25">
      <c r="A17" s="275"/>
      <c r="B17" s="276"/>
      <c r="C17" s="277"/>
      <c r="D17" s="279"/>
      <c r="E17" s="279">
        <f t="shared" si="0"/>
        <v>14579.650000000001</v>
      </c>
      <c r="F17" s="284"/>
      <c r="G17" s="280">
        <f t="shared" si="1"/>
        <v>14579.65</v>
      </c>
      <c r="H17" s="280">
        <f t="shared" si="2"/>
        <v>5.4569682106375694E-12</v>
      </c>
      <c r="I17" s="281"/>
    </row>
    <row r="18" spans="1:9" s="282" customFormat="1" ht="12.75" customHeight="1" x14ac:dyDescent="0.25">
      <c r="A18" s="275"/>
      <c r="B18" s="276"/>
      <c r="C18" s="277"/>
      <c r="D18" s="279"/>
      <c r="E18" s="279">
        <f t="shared" si="0"/>
        <v>14579.650000000001</v>
      </c>
      <c r="F18" s="284"/>
      <c r="G18" s="280">
        <f t="shared" si="1"/>
        <v>14579.65</v>
      </c>
      <c r="H18" s="280">
        <f t="shared" si="2"/>
        <v>5.4569682106375694E-12</v>
      </c>
      <c r="I18" s="281"/>
    </row>
    <row r="19" spans="1:9" s="282" customFormat="1" ht="12.75" customHeight="1" x14ac:dyDescent="0.25">
      <c r="A19" s="275"/>
      <c r="B19" s="276"/>
      <c r="C19" s="277"/>
      <c r="D19" s="279"/>
      <c r="E19" s="279">
        <f t="shared" si="0"/>
        <v>14579.650000000001</v>
      </c>
      <c r="F19" s="280"/>
      <c r="G19" s="280">
        <f t="shared" si="1"/>
        <v>14579.65</v>
      </c>
      <c r="H19" s="280">
        <f t="shared" si="2"/>
        <v>5.4569682106375694E-12</v>
      </c>
      <c r="I19" s="281"/>
    </row>
    <row r="20" spans="1:9" s="282" customFormat="1" ht="12.75" customHeight="1" x14ac:dyDescent="0.25">
      <c r="A20" s="275"/>
      <c r="B20" s="276"/>
      <c r="C20" s="277"/>
      <c r="D20" s="279"/>
      <c r="E20" s="279">
        <f t="shared" si="0"/>
        <v>14579.650000000001</v>
      </c>
      <c r="F20" s="280"/>
      <c r="G20" s="280">
        <f t="shared" si="1"/>
        <v>14579.65</v>
      </c>
      <c r="H20" s="280">
        <f t="shared" si="2"/>
        <v>5.4569682106375694E-12</v>
      </c>
      <c r="I20" s="281"/>
    </row>
    <row r="21" spans="1:9" s="282" customFormat="1" ht="12.75" customHeight="1" x14ac:dyDescent="0.25">
      <c r="A21" s="275"/>
      <c r="B21" s="276"/>
      <c r="C21" s="286"/>
      <c r="D21" s="279"/>
      <c r="E21" s="279">
        <f t="shared" si="0"/>
        <v>14579.650000000001</v>
      </c>
      <c r="F21" s="280"/>
      <c r="G21" s="280">
        <f t="shared" si="1"/>
        <v>14579.65</v>
      </c>
      <c r="H21" s="280">
        <f t="shared" si="2"/>
        <v>5.4569682106375694E-12</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14579.650000000001</v>
      </c>
      <c r="E23" s="290"/>
      <c r="F23" s="290">
        <f>SUM(F9:F22)</f>
        <v>14579.65</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f>17378.83-2978.68</f>
        <v>14400.150000000001</v>
      </c>
      <c r="E26" s="292"/>
      <c r="F26" s="292">
        <f>1050.85+2416.46+2641.12+2978.43+2941.89+2371.4</f>
        <v>14400.15</v>
      </c>
      <c r="G26" s="292"/>
      <c r="H26" s="292">
        <f>D26-F26</f>
        <v>0</v>
      </c>
      <c r="I26" s="281"/>
    </row>
    <row r="27" spans="1:9" s="282" customFormat="1" ht="12.75" customHeight="1" x14ac:dyDescent="0.25">
      <c r="A27" s="275"/>
      <c r="B27" s="277"/>
      <c r="C27" s="287" t="s">
        <v>111</v>
      </c>
      <c r="D27" s="292">
        <f>600-420.5</f>
        <v>179.5</v>
      </c>
      <c r="E27" s="292"/>
      <c r="F27" s="292">
        <f>59.5+120</f>
        <v>179.5</v>
      </c>
      <c r="G27" s="292"/>
      <c r="H27" s="292">
        <f>D27-F27</f>
        <v>0</v>
      </c>
      <c r="I27" s="281"/>
    </row>
    <row r="28" spans="1:9" s="282" customFormat="1" ht="12.75" customHeight="1" thickBot="1" x14ac:dyDescent="0.3">
      <c r="A28" s="275"/>
      <c r="B28" s="277"/>
      <c r="C28" s="293" t="s">
        <v>67</v>
      </c>
      <c r="D28" s="290">
        <f>SUM(D26:D27)</f>
        <v>14579.650000000001</v>
      </c>
      <c r="E28" s="294"/>
      <c r="F28" s="290">
        <f>SUM(F26:F27)</f>
        <v>14579.65</v>
      </c>
      <c r="G28" s="294"/>
      <c r="H28" s="290">
        <f>SUM(H26:H27)</f>
        <v>0</v>
      </c>
      <c r="I28" s="281"/>
    </row>
    <row r="29" spans="1:9" ht="15" customHeight="1" thickTop="1" x14ac:dyDescent="0.25"/>
  </sheetData>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EDBB-C987-4718-BBCC-66FC4D24195F}">
  <sheetPr>
    <pageSetUpPr fitToPage="1"/>
  </sheetPr>
  <dimension ref="A1:J40"/>
  <sheetViews>
    <sheetView topLeftCell="A6" zoomScaleNormal="100" workbookViewId="0">
      <selection activeCell="L30" sqref="L30"/>
    </sheetView>
  </sheetViews>
  <sheetFormatPr defaultColWidth="11.42578125" defaultRowHeight="15" customHeight="1" x14ac:dyDescent="0.25"/>
  <cols>
    <col min="1" max="1" width="24.5703125" customWidth="1"/>
    <col min="2" max="3" width="9.42578125" customWidth="1"/>
    <col min="4" max="4" width="42" customWidth="1"/>
    <col min="5" max="5" width="12.5703125" customWidth="1"/>
    <col min="6" max="6" width="13.5703125" customWidth="1"/>
    <col min="7" max="7" width="12.42578125" customWidth="1"/>
    <col min="8" max="8" width="10.5703125" customWidth="1"/>
    <col min="9" max="9" width="12"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#9501.00'!B1</f>
        <v>DOC NCCF Air Handler Replacement and Condenser Coils Unit A and B</v>
      </c>
      <c r="B1" s="3"/>
      <c r="C1" s="3"/>
      <c r="D1" s="4"/>
      <c r="E1" s="4"/>
      <c r="F1" s="4"/>
      <c r="G1" s="28"/>
      <c r="H1" s="28"/>
      <c r="I1" s="29"/>
      <c r="J1" s="29"/>
    </row>
    <row r="2" spans="1:10" ht="15.75" x14ac:dyDescent="0.25">
      <c r="A2" s="6" t="str">
        <f>'RECAP #9501.00'!B2</f>
        <v>Project # 9501.00</v>
      </c>
      <c r="B2" s="5"/>
      <c r="C2" s="5"/>
      <c r="D2" s="4"/>
      <c r="E2" s="4"/>
      <c r="F2" s="4"/>
      <c r="G2" s="28"/>
      <c r="H2" s="28"/>
      <c r="I2" s="29"/>
      <c r="J2" s="29"/>
    </row>
    <row r="3" spans="1:10" ht="15.75" x14ac:dyDescent="0.25">
      <c r="A3" s="7" t="str">
        <f>'RECAP #9501.00'!B3</f>
        <v>Program code 950100</v>
      </c>
      <c r="B3" s="5"/>
      <c r="C3" s="5"/>
      <c r="D3" s="4"/>
      <c r="E3" s="8" t="str">
        <f>'RECAP #9501.00'!E3</f>
        <v>Major Program 4F03</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237</v>
      </c>
      <c r="F6" s="42"/>
      <c r="G6" s="43"/>
      <c r="H6" s="39"/>
      <c r="I6" s="35"/>
      <c r="J6" s="29"/>
    </row>
    <row r="7" spans="1:10" ht="15.75" x14ac:dyDescent="0.25">
      <c r="A7" s="11" t="str">
        <f>'RECAP #9501.00'!B6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v>10000</v>
      </c>
      <c r="F9" s="233">
        <f>E9</f>
        <v>10000</v>
      </c>
      <c r="G9" s="234"/>
      <c r="H9" s="234"/>
      <c r="I9" s="234">
        <f>F9</f>
        <v>10000</v>
      </c>
      <c r="J9" s="235"/>
    </row>
    <row r="10" spans="1:10" s="223" customFormat="1" ht="12.75" customHeight="1" x14ac:dyDescent="0.25">
      <c r="A10" s="176" t="s">
        <v>314</v>
      </c>
      <c r="B10" s="177">
        <v>45968</v>
      </c>
      <c r="C10" s="241" t="s">
        <v>261</v>
      </c>
      <c r="D10" s="148" t="s">
        <v>315</v>
      </c>
      <c r="E10" s="233"/>
      <c r="F10" s="233">
        <f t="shared" ref="F10:F33" si="0">F9+E10</f>
        <v>10000</v>
      </c>
      <c r="G10" s="237">
        <v>44.07</v>
      </c>
      <c r="H10" s="234">
        <f t="shared" ref="H10:H33" si="1">H9+G10</f>
        <v>44.07</v>
      </c>
      <c r="I10" s="234">
        <f t="shared" ref="I10:I33" si="2">I9-G10+E10</f>
        <v>9955.93</v>
      </c>
      <c r="J10" s="235"/>
    </row>
    <row r="11" spans="1:10" s="223" customFormat="1" ht="12.75" customHeight="1" x14ac:dyDescent="0.25">
      <c r="A11" s="176" t="s">
        <v>314</v>
      </c>
      <c r="B11" s="177">
        <v>45968</v>
      </c>
      <c r="C11" s="241">
        <v>9500</v>
      </c>
      <c r="D11" s="149" t="s">
        <v>316</v>
      </c>
      <c r="E11" s="233"/>
      <c r="F11" s="233">
        <f t="shared" si="0"/>
        <v>10000</v>
      </c>
      <c r="G11" s="237">
        <v>438.1</v>
      </c>
      <c r="H11" s="234">
        <f t="shared" si="1"/>
        <v>482.17</v>
      </c>
      <c r="I11" s="234">
        <f t="shared" si="2"/>
        <v>9517.83</v>
      </c>
      <c r="J11" s="235"/>
    </row>
    <row r="12" spans="1:10" s="223" customFormat="1" ht="12.75" customHeight="1" x14ac:dyDescent="0.2">
      <c r="A12" s="70" t="s">
        <v>364</v>
      </c>
      <c r="B12" s="50">
        <v>45996</v>
      </c>
      <c r="C12" s="53" t="s">
        <v>261</v>
      </c>
      <c r="D12" s="144" t="s">
        <v>365</v>
      </c>
      <c r="E12" s="233"/>
      <c r="F12" s="233">
        <f t="shared" si="0"/>
        <v>10000</v>
      </c>
      <c r="G12" s="237">
        <v>6.95</v>
      </c>
      <c r="H12" s="234">
        <f t="shared" si="1"/>
        <v>489.12</v>
      </c>
      <c r="I12" s="234">
        <f t="shared" si="2"/>
        <v>9510.8799999999992</v>
      </c>
      <c r="J12" s="235"/>
    </row>
    <row r="13" spans="1:10" s="223" customFormat="1" ht="12.75" customHeight="1" x14ac:dyDescent="0.2">
      <c r="A13" s="70" t="s">
        <v>364</v>
      </c>
      <c r="B13" s="50">
        <v>45996</v>
      </c>
      <c r="C13" s="268">
        <v>9500</v>
      </c>
      <c r="D13" s="66" t="s">
        <v>366</v>
      </c>
      <c r="E13" s="233"/>
      <c r="F13" s="233">
        <f t="shared" si="0"/>
        <v>10000</v>
      </c>
      <c r="G13" s="237">
        <v>44.3</v>
      </c>
      <c r="H13" s="234">
        <f t="shared" si="1"/>
        <v>533.41999999999996</v>
      </c>
      <c r="I13" s="234">
        <f t="shared" si="2"/>
        <v>9466.58</v>
      </c>
      <c r="J13" s="235"/>
    </row>
    <row r="14" spans="1:10" s="223" customFormat="1" ht="12.75" customHeight="1" x14ac:dyDescent="0.2">
      <c r="A14" s="70" t="s">
        <v>548</v>
      </c>
      <c r="B14" s="50">
        <v>46062</v>
      </c>
      <c r="C14" s="53" t="s">
        <v>261</v>
      </c>
      <c r="D14" s="144" t="s">
        <v>549</v>
      </c>
      <c r="E14" s="233"/>
      <c r="F14" s="233">
        <f t="shared" si="0"/>
        <v>10000</v>
      </c>
      <c r="G14" s="237">
        <v>39.04</v>
      </c>
      <c r="H14" s="234">
        <f t="shared" si="1"/>
        <v>572.45999999999992</v>
      </c>
      <c r="I14" s="234">
        <f t="shared" si="2"/>
        <v>9427.5399999999991</v>
      </c>
      <c r="J14" s="235"/>
    </row>
    <row r="15" spans="1:10" s="223" customFormat="1" ht="12.75" customHeight="1" x14ac:dyDescent="0.2">
      <c r="A15" s="70" t="s">
        <v>548</v>
      </c>
      <c r="B15" s="50">
        <v>46062</v>
      </c>
      <c r="C15" s="268">
        <v>9500</v>
      </c>
      <c r="D15" s="66" t="s">
        <v>550</v>
      </c>
      <c r="E15" s="233"/>
      <c r="F15" s="233">
        <f t="shared" si="0"/>
        <v>10000</v>
      </c>
      <c r="G15" s="237">
        <v>481.7</v>
      </c>
      <c r="H15" s="234">
        <f t="shared" si="1"/>
        <v>1054.1599999999999</v>
      </c>
      <c r="I15" s="234">
        <f t="shared" si="2"/>
        <v>8945.8399999999983</v>
      </c>
      <c r="J15" s="235"/>
    </row>
    <row r="16" spans="1:10" s="223" customFormat="1" ht="12.75" customHeight="1" x14ac:dyDescent="0.2">
      <c r="A16" s="70" t="s">
        <v>644</v>
      </c>
      <c r="B16" s="50">
        <v>46090</v>
      </c>
      <c r="C16" s="53" t="s">
        <v>261</v>
      </c>
      <c r="D16" s="144" t="s">
        <v>645</v>
      </c>
      <c r="E16" s="233"/>
      <c r="F16" s="233">
        <f t="shared" si="0"/>
        <v>10000</v>
      </c>
      <c r="G16" s="237">
        <v>87.3</v>
      </c>
      <c r="H16" s="234">
        <f t="shared" si="1"/>
        <v>1141.4599999999998</v>
      </c>
      <c r="I16" s="234">
        <f t="shared" si="2"/>
        <v>8858.5399999999991</v>
      </c>
      <c r="J16" s="235"/>
    </row>
    <row r="17" spans="1:10" s="223" customFormat="1" ht="12.75" customHeight="1" x14ac:dyDescent="0.2">
      <c r="A17" s="70" t="s">
        <v>644</v>
      </c>
      <c r="B17" s="50">
        <v>46090</v>
      </c>
      <c r="C17" s="268">
        <v>9500</v>
      </c>
      <c r="D17" s="66" t="s">
        <v>646</v>
      </c>
      <c r="E17" s="233"/>
      <c r="F17" s="233">
        <f t="shared" si="0"/>
        <v>10000</v>
      </c>
      <c r="G17" s="237">
        <v>1008.2</v>
      </c>
      <c r="H17" s="234">
        <f t="shared" si="1"/>
        <v>2149.66</v>
      </c>
      <c r="I17" s="234">
        <f t="shared" si="2"/>
        <v>7850.3399999999992</v>
      </c>
      <c r="J17" s="235"/>
    </row>
    <row r="18" spans="1:10" s="223" customFormat="1" ht="12.75" customHeight="1" x14ac:dyDescent="0.2">
      <c r="A18" s="70" t="s">
        <v>744</v>
      </c>
      <c r="B18" s="50">
        <v>46118</v>
      </c>
      <c r="C18" s="53" t="s">
        <v>261</v>
      </c>
      <c r="D18" s="144" t="s">
        <v>745</v>
      </c>
      <c r="E18" s="233"/>
      <c r="F18" s="233">
        <f t="shared" si="0"/>
        <v>10000</v>
      </c>
      <c r="G18" s="237">
        <v>109.25</v>
      </c>
      <c r="H18" s="234">
        <f t="shared" si="1"/>
        <v>2258.91</v>
      </c>
      <c r="I18" s="234">
        <f t="shared" si="2"/>
        <v>7741.0899999999992</v>
      </c>
      <c r="J18" s="235"/>
    </row>
    <row r="19" spans="1:10" s="223" customFormat="1" ht="12.75" customHeight="1" x14ac:dyDescent="0.2">
      <c r="A19" s="70" t="s">
        <v>744</v>
      </c>
      <c r="B19" s="50">
        <v>46118</v>
      </c>
      <c r="C19" s="268">
        <v>9500</v>
      </c>
      <c r="D19" s="66" t="s">
        <v>746</v>
      </c>
      <c r="E19" s="233"/>
      <c r="F19" s="233">
        <f t="shared" si="0"/>
        <v>10000</v>
      </c>
      <c r="G19" s="237">
        <v>884.5</v>
      </c>
      <c r="H19" s="234">
        <f t="shared" si="1"/>
        <v>3143.41</v>
      </c>
      <c r="I19" s="234">
        <f t="shared" si="2"/>
        <v>6856.5899999999992</v>
      </c>
      <c r="J19" s="235"/>
    </row>
    <row r="20" spans="1:10" s="223" customFormat="1" ht="12.75" customHeight="1" x14ac:dyDescent="0.2">
      <c r="A20" s="70" t="s">
        <v>869</v>
      </c>
      <c r="B20" s="50">
        <v>46149</v>
      </c>
      <c r="C20" s="53" t="s">
        <v>261</v>
      </c>
      <c r="D20" s="144" t="s">
        <v>870</v>
      </c>
      <c r="E20" s="233"/>
      <c r="F20" s="233">
        <f t="shared" si="0"/>
        <v>10000</v>
      </c>
      <c r="G20" s="237">
        <v>29.23</v>
      </c>
      <c r="H20" s="234">
        <f t="shared" si="1"/>
        <v>3172.64</v>
      </c>
      <c r="I20" s="234">
        <f t="shared" si="2"/>
        <v>6827.36</v>
      </c>
      <c r="J20" s="235"/>
    </row>
    <row r="21" spans="1:10" s="223" customFormat="1" ht="12.75" customHeight="1" x14ac:dyDescent="0.2">
      <c r="A21" s="70" t="s">
        <v>869</v>
      </c>
      <c r="B21" s="50">
        <v>46149</v>
      </c>
      <c r="C21" s="268">
        <v>9500</v>
      </c>
      <c r="D21" s="66" t="s">
        <v>871</v>
      </c>
      <c r="E21" s="233"/>
      <c r="F21" s="233">
        <f t="shared" si="0"/>
        <v>10000</v>
      </c>
      <c r="G21" s="237">
        <v>306.39999999999998</v>
      </c>
      <c r="H21" s="234">
        <f t="shared" si="1"/>
        <v>3479.04</v>
      </c>
      <c r="I21" s="234">
        <f t="shared" si="2"/>
        <v>6520.96</v>
      </c>
      <c r="J21" s="235"/>
    </row>
    <row r="22" spans="1:10" s="223" customFormat="1" ht="12.75" customHeight="1" x14ac:dyDescent="0.25">
      <c r="A22" s="70" t="s">
        <v>984</v>
      </c>
      <c r="B22" s="50">
        <v>46181</v>
      </c>
      <c r="C22" s="53" t="s">
        <v>261</v>
      </c>
      <c r="D22" s="144" t="s">
        <v>985</v>
      </c>
      <c r="E22"/>
      <c r="F22" s="233">
        <f t="shared" si="0"/>
        <v>10000</v>
      </c>
      <c r="G22" s="237">
        <v>31.13</v>
      </c>
      <c r="H22" s="234">
        <f t="shared" si="1"/>
        <v>3510.17</v>
      </c>
      <c r="I22" s="234">
        <f t="shared" si="2"/>
        <v>6489.83</v>
      </c>
      <c r="J22" s="235"/>
    </row>
    <row r="23" spans="1:10" s="223" customFormat="1" ht="12.75" customHeight="1" x14ac:dyDescent="0.25">
      <c r="A23" s="70" t="s">
        <v>984</v>
      </c>
      <c r="B23" s="50">
        <v>46181</v>
      </c>
      <c r="C23" s="268">
        <v>9500</v>
      </c>
      <c r="D23" s="66" t="s">
        <v>986</v>
      </c>
      <c r="E23"/>
      <c r="F23" s="233">
        <f t="shared" si="0"/>
        <v>10000</v>
      </c>
      <c r="G23" s="237">
        <v>410.7</v>
      </c>
      <c r="H23" s="234">
        <f t="shared" si="1"/>
        <v>3920.87</v>
      </c>
      <c r="I23" s="234">
        <f t="shared" si="2"/>
        <v>6079.13</v>
      </c>
      <c r="J23" s="235"/>
    </row>
    <row r="24" spans="1:10" s="223" customFormat="1" ht="12.75" customHeight="1" x14ac:dyDescent="0.25">
      <c r="A24" s="70" t="s">
        <v>1186</v>
      </c>
      <c r="B24" s="50">
        <v>46211</v>
      </c>
      <c r="C24" s="53" t="s">
        <v>261</v>
      </c>
      <c r="D24" s="144" t="s">
        <v>1187</v>
      </c>
      <c r="E24"/>
      <c r="F24" s="233">
        <f t="shared" si="0"/>
        <v>10000</v>
      </c>
      <c r="G24" s="237">
        <v>70.23</v>
      </c>
      <c r="H24" s="234">
        <f t="shared" si="1"/>
        <v>3991.1</v>
      </c>
      <c r="I24" s="234">
        <f t="shared" si="2"/>
        <v>6008.9000000000005</v>
      </c>
      <c r="J24" s="235"/>
    </row>
    <row r="25" spans="1:10" s="223" customFormat="1" ht="12.75" customHeight="1" x14ac:dyDescent="0.25">
      <c r="A25" s="70" t="s">
        <v>1186</v>
      </c>
      <c r="B25" s="50">
        <v>46211</v>
      </c>
      <c r="C25" s="268">
        <v>9500</v>
      </c>
      <c r="D25" s="66" t="s">
        <v>1188</v>
      </c>
      <c r="E25"/>
      <c r="F25" s="233">
        <f t="shared" si="0"/>
        <v>10000</v>
      </c>
      <c r="G25" s="237">
        <v>892.1</v>
      </c>
      <c r="H25" s="234">
        <f t="shared" si="1"/>
        <v>4883.2</v>
      </c>
      <c r="I25" s="234">
        <f t="shared" si="2"/>
        <v>5116.8</v>
      </c>
      <c r="J25" s="235"/>
    </row>
    <row r="26" spans="1:10" s="223" customFormat="1" ht="12.75" customHeight="1" x14ac:dyDescent="0.25">
      <c r="A26" s="70" t="s">
        <v>1265</v>
      </c>
      <c r="B26" s="50">
        <v>46218</v>
      </c>
      <c r="C26" s="53" t="s">
        <v>261</v>
      </c>
      <c r="D26" s="144" t="s">
        <v>1266</v>
      </c>
      <c r="E26"/>
      <c r="F26" s="233">
        <f t="shared" si="0"/>
        <v>10000</v>
      </c>
      <c r="G26" s="237">
        <v>28.39</v>
      </c>
      <c r="H26" s="234">
        <f t="shared" si="1"/>
        <v>4911.59</v>
      </c>
      <c r="I26" s="234">
        <f t="shared" si="2"/>
        <v>5088.41</v>
      </c>
      <c r="J26" s="235"/>
    </row>
    <row r="27" spans="1:10" s="223" customFormat="1" ht="12.75" customHeight="1" x14ac:dyDescent="0.25">
      <c r="A27" s="70" t="s">
        <v>1436</v>
      </c>
      <c r="B27" s="365">
        <v>46241</v>
      </c>
      <c r="C27" s="53" t="s">
        <v>261</v>
      </c>
      <c r="D27" s="144" t="s">
        <v>1437</v>
      </c>
      <c r="E27"/>
      <c r="F27" s="233">
        <f t="shared" si="0"/>
        <v>10000</v>
      </c>
      <c r="G27" s="237">
        <v>119.1</v>
      </c>
      <c r="H27" s="234">
        <f t="shared" si="1"/>
        <v>5030.6900000000005</v>
      </c>
      <c r="I27" s="234">
        <f t="shared" si="2"/>
        <v>4969.3099999999995</v>
      </c>
      <c r="J27" s="235"/>
    </row>
    <row r="28" spans="1:10" s="223" customFormat="1" ht="12.75" customHeight="1" x14ac:dyDescent="0.25">
      <c r="A28" s="70" t="s">
        <v>1436</v>
      </c>
      <c r="B28" s="365">
        <v>46241</v>
      </c>
      <c r="C28" s="268">
        <v>9500</v>
      </c>
      <c r="D28" s="66" t="s">
        <v>1438</v>
      </c>
      <c r="E28"/>
      <c r="F28" s="233">
        <f t="shared" si="0"/>
        <v>10000</v>
      </c>
      <c r="G28" s="237">
        <v>1274.5</v>
      </c>
      <c r="H28" s="234">
        <f t="shared" si="1"/>
        <v>6305.1900000000005</v>
      </c>
      <c r="I28" s="234">
        <f t="shared" si="2"/>
        <v>3694.8099999999995</v>
      </c>
      <c r="J28" s="235"/>
    </row>
    <row r="29" spans="1:10" s="223" customFormat="1" ht="12.75" customHeight="1" x14ac:dyDescent="0.25">
      <c r="A29" s="70" t="s">
        <v>1531</v>
      </c>
      <c r="B29" s="365">
        <v>46272</v>
      </c>
      <c r="C29" s="53" t="s">
        <v>261</v>
      </c>
      <c r="D29" s="144" t="s">
        <v>1532</v>
      </c>
      <c r="E29"/>
      <c r="F29" s="233">
        <f t="shared" si="0"/>
        <v>10000</v>
      </c>
      <c r="G29" s="237">
        <v>60.03</v>
      </c>
      <c r="H29" s="234">
        <f t="shared" si="1"/>
        <v>6365.22</v>
      </c>
      <c r="I29" s="234">
        <f t="shared" si="2"/>
        <v>3634.7799999999993</v>
      </c>
      <c r="J29" s="235"/>
    </row>
    <row r="30" spans="1:10" s="223" customFormat="1" ht="12.75" customHeight="1" x14ac:dyDescent="0.25">
      <c r="A30" s="70" t="s">
        <v>1531</v>
      </c>
      <c r="B30" s="365">
        <v>46272</v>
      </c>
      <c r="C30" s="268">
        <v>9500</v>
      </c>
      <c r="D30" s="66" t="s">
        <v>1533</v>
      </c>
      <c r="E30"/>
      <c r="F30" s="233">
        <f t="shared" si="0"/>
        <v>10000</v>
      </c>
      <c r="G30" s="237">
        <v>581.4</v>
      </c>
      <c r="H30" s="234">
        <f t="shared" si="1"/>
        <v>6946.62</v>
      </c>
      <c r="I30" s="234">
        <f t="shared" si="2"/>
        <v>3053.3799999999992</v>
      </c>
      <c r="J30" s="235"/>
    </row>
    <row r="31" spans="1:10" s="223" customFormat="1" ht="12.75" customHeight="1" x14ac:dyDescent="0.25">
      <c r="A31" s="70"/>
      <c r="B31" s="365"/>
      <c r="C31" s="268"/>
      <c r="D31" s="66"/>
      <c r="E31"/>
      <c r="F31" s="233">
        <f t="shared" si="0"/>
        <v>10000</v>
      </c>
      <c r="G31" s="237"/>
      <c r="H31" s="234">
        <f t="shared" si="1"/>
        <v>6946.62</v>
      </c>
      <c r="I31" s="234">
        <f t="shared" si="2"/>
        <v>3053.3799999999992</v>
      </c>
      <c r="J31" s="235"/>
    </row>
    <row r="32" spans="1:10" s="223" customFormat="1" ht="12.75" customHeight="1" x14ac:dyDescent="0.25">
      <c r="A32" s="70"/>
      <c r="B32" s="365"/>
      <c r="C32" s="268"/>
      <c r="D32" s="66"/>
      <c r="E32"/>
      <c r="F32" s="233">
        <f t="shared" si="0"/>
        <v>10000</v>
      </c>
      <c r="G32" s="237"/>
      <c r="H32" s="234">
        <f t="shared" si="1"/>
        <v>6946.62</v>
      </c>
      <c r="I32" s="234">
        <f t="shared" si="2"/>
        <v>3053.3799999999992</v>
      </c>
      <c r="J32" s="235"/>
    </row>
    <row r="33" spans="1:10" s="223" customFormat="1" ht="12.75" customHeight="1" x14ac:dyDescent="0.25">
      <c r="A33" s="70"/>
      <c r="B33" s="50"/>
      <c r="C33" s="53"/>
      <c r="D33" s="144"/>
      <c r="E33"/>
      <c r="F33" s="233">
        <f t="shared" si="0"/>
        <v>10000</v>
      </c>
      <c r="G33" s="237"/>
      <c r="H33" s="234">
        <f t="shared" si="1"/>
        <v>6946.62</v>
      </c>
      <c r="I33" s="234">
        <f t="shared" si="2"/>
        <v>3053.3799999999992</v>
      </c>
      <c r="J33" s="235"/>
    </row>
    <row r="34" spans="1:10" s="223" customFormat="1" ht="12.75" customHeight="1" x14ac:dyDescent="0.25">
      <c r="A34" s="230"/>
      <c r="B34" s="231"/>
      <c r="C34" s="241"/>
      <c r="D34" s="240"/>
      <c r="E34" s="234"/>
      <c r="F34" s="234"/>
      <c r="G34" s="234"/>
      <c r="H34" s="234"/>
      <c r="I34" s="234"/>
      <c r="J34" s="235"/>
    </row>
    <row r="35" spans="1:10" s="223" customFormat="1" ht="12.75" customHeight="1" thickBot="1" x14ac:dyDescent="0.3">
      <c r="A35" s="230"/>
      <c r="B35" s="243"/>
      <c r="C35" s="241"/>
      <c r="D35" s="244" t="s">
        <v>24</v>
      </c>
      <c r="E35" s="245">
        <f>SUM(E9:E34)</f>
        <v>10000</v>
      </c>
      <c r="F35" s="245"/>
      <c r="G35" s="245">
        <f>SUM(G9:G34)</f>
        <v>6946.62</v>
      </c>
      <c r="H35" s="245"/>
      <c r="I35" s="245">
        <f>E35-G35</f>
        <v>3053.38</v>
      </c>
      <c r="J35" s="235"/>
    </row>
    <row r="36" spans="1:10" s="223" customFormat="1" ht="12.75" customHeight="1" thickTop="1" x14ac:dyDescent="0.25"/>
    <row r="37" spans="1:10" s="223" customFormat="1" ht="12.75" customHeight="1" x14ac:dyDescent="0.25"/>
    <row r="38" spans="1:10" s="223" customFormat="1" ht="12.75" customHeight="1" x14ac:dyDescent="0.25"/>
    <row r="39" spans="1:10" s="223" customFormat="1" ht="12.75" customHeight="1" x14ac:dyDescent="0.25"/>
    <row r="40" spans="1:10" s="223"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FDD4E-AFD5-4940-B7FA-5F85C439D850}">
  <sheetPr>
    <pageSetUpPr fitToPage="1"/>
  </sheetPr>
  <dimension ref="A1:H27"/>
  <sheetViews>
    <sheetView zoomScaleNormal="100" workbookViewId="0">
      <selection activeCell="A22" sqref="A22"/>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 customWidth="1"/>
    <col min="6" max="6" width="15.425781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#9501.00'!B1</f>
        <v>DOC NCCF Air Handler Replacement and Condenser Coils Unit A and B</v>
      </c>
      <c r="B1" s="3"/>
      <c r="C1" s="3"/>
      <c r="D1" s="3"/>
      <c r="E1" s="4"/>
      <c r="F1" s="4"/>
      <c r="G1" s="4"/>
      <c r="H1" s="28"/>
    </row>
    <row r="2" spans="1:8" ht="15.75" x14ac:dyDescent="0.25">
      <c r="A2" s="6" t="str">
        <f>'RECAP #9501.00'!B2</f>
        <v>Project # 9501.00</v>
      </c>
      <c r="B2" s="5"/>
      <c r="C2" s="5"/>
      <c r="D2" s="5"/>
      <c r="E2" s="4"/>
      <c r="F2" s="4"/>
      <c r="G2" s="4"/>
      <c r="H2" s="28"/>
    </row>
    <row r="3" spans="1:8" ht="15.75" x14ac:dyDescent="0.25">
      <c r="A3" s="7" t="str">
        <f>'RECAP #9501.00'!B3</f>
        <v>Program code 950100</v>
      </c>
      <c r="B3" s="5"/>
      <c r="C3" s="5"/>
      <c r="D3" s="5"/>
      <c r="E3" s="8" t="str">
        <f>'RECAP #9501.00'!E3</f>
        <v>Major Program 4F03</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461</v>
      </c>
      <c r="F6" s="35"/>
      <c r="G6" s="38"/>
      <c r="H6" s="39"/>
    </row>
    <row r="7" spans="1:8" ht="15.75" x14ac:dyDescent="0.25">
      <c r="A7" s="11" t="str">
        <f>'RECAP #9501.00'!B6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933</v>
      </c>
      <c r="B9" s="177">
        <v>46168</v>
      </c>
      <c r="C9" s="241" t="s">
        <v>361</v>
      </c>
      <c r="D9" s="241" t="s">
        <v>362</v>
      </c>
      <c r="E9" s="70" t="s">
        <v>652</v>
      </c>
      <c r="F9" s="259" t="s">
        <v>936</v>
      </c>
      <c r="G9" s="237">
        <v>903</v>
      </c>
      <c r="H9" s="260">
        <f>G9</f>
        <v>903</v>
      </c>
    </row>
    <row r="10" spans="1:8" s="223" customFormat="1" ht="12.75" customHeight="1" x14ac:dyDescent="0.2">
      <c r="A10" s="176" t="s">
        <v>1077</v>
      </c>
      <c r="B10" s="177">
        <v>46191</v>
      </c>
      <c r="C10" s="241" t="s">
        <v>361</v>
      </c>
      <c r="D10" s="241" t="s">
        <v>362</v>
      </c>
      <c r="E10" s="38" t="s">
        <v>368</v>
      </c>
      <c r="F10" s="259" t="s">
        <v>1076</v>
      </c>
      <c r="G10" s="237">
        <v>245.08</v>
      </c>
      <c r="H10" s="260">
        <f>H9+G10</f>
        <v>1148.08</v>
      </c>
    </row>
    <row r="11" spans="1:8" s="223" customFormat="1" ht="12.75" customHeight="1" x14ac:dyDescent="0.25">
      <c r="A11" s="241"/>
      <c r="B11" s="177"/>
      <c r="C11" s="177"/>
      <c r="D11" s="177"/>
      <c r="E11" s="258"/>
      <c r="F11" s="252"/>
      <c r="G11" s="260"/>
      <c r="H11" s="260">
        <f t="shared" ref="H11:H20" si="0">H10+G11</f>
        <v>1148.08</v>
      </c>
    </row>
    <row r="12" spans="1:8" s="223" customFormat="1" ht="12.75" customHeight="1" x14ac:dyDescent="0.25">
      <c r="A12" s="241" t="s">
        <v>2</v>
      </c>
      <c r="B12" s="177" t="s">
        <v>2</v>
      </c>
      <c r="C12" s="177"/>
      <c r="D12" s="177"/>
      <c r="E12" s="258" t="s">
        <v>2</v>
      </c>
      <c r="F12" s="252"/>
      <c r="G12" s="260"/>
      <c r="H12" s="260">
        <f t="shared" si="0"/>
        <v>1148.08</v>
      </c>
    </row>
    <row r="13" spans="1:8" s="223" customFormat="1" ht="12.75" customHeight="1" x14ac:dyDescent="0.25">
      <c r="A13" s="241" t="s">
        <v>2</v>
      </c>
      <c r="B13" s="177" t="s">
        <v>2</v>
      </c>
      <c r="C13" s="177"/>
      <c r="D13" s="177"/>
      <c r="E13" s="258" t="s">
        <v>2</v>
      </c>
      <c r="F13" s="252"/>
      <c r="G13" s="260"/>
      <c r="H13" s="260">
        <f t="shared" si="0"/>
        <v>1148.08</v>
      </c>
    </row>
    <row r="14" spans="1:8" s="223" customFormat="1" ht="12.75" customHeight="1" x14ac:dyDescent="0.25">
      <c r="A14" s="241"/>
      <c r="B14" s="177"/>
      <c r="C14" s="177"/>
      <c r="D14" s="177"/>
      <c r="E14" s="258"/>
      <c r="F14" s="252"/>
      <c r="G14" s="260"/>
      <c r="H14" s="260">
        <f t="shared" si="0"/>
        <v>1148.08</v>
      </c>
    </row>
    <row r="15" spans="1:8" s="223" customFormat="1" ht="12.75" customHeight="1" x14ac:dyDescent="0.25">
      <c r="A15" s="241"/>
      <c r="B15" s="177"/>
      <c r="C15" s="177"/>
      <c r="D15" s="177"/>
      <c r="E15" s="261"/>
      <c r="F15" s="252"/>
      <c r="G15" s="260"/>
      <c r="H15" s="260">
        <f t="shared" si="0"/>
        <v>1148.08</v>
      </c>
    </row>
    <row r="16" spans="1:8" s="223" customFormat="1" ht="12.75" customHeight="1" x14ac:dyDescent="0.25">
      <c r="A16" s="241"/>
      <c r="B16" s="177"/>
      <c r="C16" s="177"/>
      <c r="D16" s="177"/>
      <c r="E16" s="258"/>
      <c r="F16" s="252"/>
      <c r="G16" s="260"/>
      <c r="H16" s="260">
        <f t="shared" si="0"/>
        <v>1148.08</v>
      </c>
    </row>
    <row r="17" spans="1:8" s="223" customFormat="1" ht="12.75" customHeight="1" x14ac:dyDescent="0.25">
      <c r="A17" s="230"/>
      <c r="B17" s="177"/>
      <c r="C17" s="177"/>
      <c r="D17" s="177"/>
      <c r="E17" s="258"/>
      <c r="F17" s="252"/>
      <c r="G17" s="260"/>
      <c r="H17" s="260">
        <f t="shared" si="0"/>
        <v>1148.08</v>
      </c>
    </row>
    <row r="18" spans="1:8" s="223" customFormat="1" ht="12.75" customHeight="1" x14ac:dyDescent="0.25">
      <c r="A18" s="230"/>
      <c r="B18" s="177"/>
      <c r="C18" s="177"/>
      <c r="D18" s="177"/>
      <c r="E18" s="258"/>
      <c r="F18" s="252"/>
      <c r="G18" s="260"/>
      <c r="H18" s="260">
        <f t="shared" si="0"/>
        <v>1148.08</v>
      </c>
    </row>
    <row r="19" spans="1:8" s="223" customFormat="1" ht="12.75" customHeight="1" x14ac:dyDescent="0.25">
      <c r="A19" s="230"/>
      <c r="B19" s="177"/>
      <c r="C19" s="177"/>
      <c r="D19" s="177"/>
      <c r="E19" s="258"/>
      <c r="F19" s="252"/>
      <c r="G19" s="260"/>
      <c r="H19" s="260">
        <f t="shared" si="0"/>
        <v>1148.08</v>
      </c>
    </row>
    <row r="20" spans="1:8" s="223" customFormat="1" ht="12.75" customHeight="1" x14ac:dyDescent="0.25">
      <c r="A20" s="230"/>
      <c r="B20" s="177"/>
      <c r="C20" s="177"/>
      <c r="D20" s="177"/>
      <c r="E20" s="258"/>
      <c r="F20" s="252"/>
      <c r="G20" s="260"/>
      <c r="H20" s="260">
        <f t="shared" si="0"/>
        <v>1148.08</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1148.08</v>
      </c>
      <c r="H22" s="265"/>
    </row>
    <row r="23" spans="1:8" s="223" customFormat="1" ht="12.75" customHeight="1" thickTop="1" x14ac:dyDescent="0.25"/>
    <row r="24" spans="1:8" s="223" customFormat="1" ht="12.75" customHeight="1" x14ac:dyDescent="0.25"/>
    <row r="25" spans="1:8" s="223" customFormat="1" ht="12.75" customHeight="1" x14ac:dyDescent="0.25"/>
    <row r="26" spans="1:8" s="223" customFormat="1" ht="12.75" customHeight="1" x14ac:dyDescent="0.25"/>
    <row r="27" spans="1:8" s="223"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47AF2-90EC-4782-87B5-A28CD5AD77BA}">
  <sheetPr>
    <pageSetUpPr fitToPage="1"/>
  </sheetPr>
  <dimension ref="A1:I32"/>
  <sheetViews>
    <sheetView topLeftCell="A2" zoomScaleNormal="100" workbookViewId="0">
      <selection activeCell="A18" sqref="A18"/>
    </sheetView>
  </sheetViews>
  <sheetFormatPr defaultColWidth="11.42578125" defaultRowHeight="15" customHeight="1" x14ac:dyDescent="0.25"/>
  <cols>
    <col min="1" max="1" width="24.5703125" customWidth="1"/>
    <col min="2" max="2" width="9.42578125" customWidth="1"/>
    <col min="3" max="3" width="21.140625"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#9501.00'!B1</f>
        <v>DOC NCCF Air Handler Replacement and Condenser Coils Unit A and B</v>
      </c>
      <c r="B1" s="3"/>
      <c r="C1" s="4"/>
      <c r="D1" s="4"/>
      <c r="E1" s="4"/>
      <c r="F1" s="28"/>
      <c r="G1" s="28"/>
      <c r="H1" s="29"/>
      <c r="I1" s="29"/>
    </row>
    <row r="2" spans="1:9" ht="15.75" x14ac:dyDescent="0.25">
      <c r="A2" s="6" t="str">
        <f>'RECAP #9501.00'!B2</f>
        <v>Project # 9501.00</v>
      </c>
      <c r="B2" s="5"/>
      <c r="C2" s="4"/>
      <c r="D2" s="4"/>
      <c r="E2" s="4"/>
      <c r="F2" s="28"/>
      <c r="G2" s="28"/>
      <c r="H2" s="29"/>
      <c r="I2" s="29"/>
    </row>
    <row r="3" spans="1:9" ht="15.75" x14ac:dyDescent="0.25">
      <c r="A3" s="7" t="str">
        <f>'RECAP #9501.00'!B3</f>
        <v>Program code 950100</v>
      </c>
      <c r="B3" s="5"/>
      <c r="C3" s="4"/>
      <c r="D3" s="8" t="str">
        <f>'RECAP #9501.00'!E3</f>
        <v>Major Program 4F03</v>
      </c>
      <c r="E3" s="4"/>
      <c r="F3" s="28"/>
      <c r="G3" s="28"/>
      <c r="H3" s="29"/>
      <c r="I3" s="29"/>
    </row>
    <row r="4" spans="1:9" ht="15.75" x14ac:dyDescent="0.25">
      <c r="A4" s="30" t="s">
        <v>678</v>
      </c>
      <c r="B4" s="31"/>
      <c r="C4" s="32"/>
      <c r="D4" s="33" t="s">
        <v>679</v>
      </c>
      <c r="E4" s="28"/>
      <c r="F4" s="28"/>
      <c r="G4" s="28"/>
      <c r="H4" s="29"/>
      <c r="I4" s="29"/>
    </row>
    <row r="5" spans="1:9" ht="15.75" x14ac:dyDescent="0.25">
      <c r="A5" s="34" t="s">
        <v>115</v>
      </c>
      <c r="B5" s="35"/>
      <c r="C5" s="36"/>
      <c r="D5" s="37" t="s">
        <v>680</v>
      </c>
      <c r="E5" s="38"/>
      <c r="F5" s="39"/>
      <c r="G5" s="39"/>
      <c r="H5" s="35"/>
      <c r="I5" s="29"/>
    </row>
    <row r="6" spans="1:9" ht="15.75" x14ac:dyDescent="0.25">
      <c r="A6" s="11" t="str">
        <f>'RECAP #9501.00'!B6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681</v>
      </c>
      <c r="B9" s="177">
        <v>46104</v>
      </c>
      <c r="C9" s="231" t="s">
        <v>109</v>
      </c>
      <c r="D9" s="232">
        <v>34940</v>
      </c>
      <c r="E9" s="233">
        <f>D9</f>
        <v>34940</v>
      </c>
      <c r="F9" s="234"/>
      <c r="G9" s="234"/>
      <c r="H9" s="234">
        <f>E9</f>
        <v>34940</v>
      </c>
      <c r="I9" s="235"/>
    </row>
    <row r="10" spans="1:9" s="223" customFormat="1" ht="12.75" customHeight="1" x14ac:dyDescent="0.25">
      <c r="A10" s="328" t="s">
        <v>1366</v>
      </c>
      <c r="B10" s="335">
        <v>46230</v>
      </c>
      <c r="C10" s="330" t="s">
        <v>1367</v>
      </c>
      <c r="D10" s="331"/>
      <c r="E10" s="331">
        <f t="shared" ref="E10:E21" si="0">E9+D10</f>
        <v>34940</v>
      </c>
      <c r="F10" s="338">
        <v>22857.26</v>
      </c>
      <c r="G10" s="332">
        <f t="shared" ref="G10:G21" si="1">G9+F10</f>
        <v>22857.26</v>
      </c>
      <c r="H10" s="332">
        <f t="shared" ref="H10:H21" si="2">H9-F10+D10</f>
        <v>12082.740000000002</v>
      </c>
      <c r="I10" s="333" t="s">
        <v>1285</v>
      </c>
    </row>
    <row r="11" spans="1:9" s="223" customFormat="1" ht="12.75" customHeight="1" x14ac:dyDescent="0.25">
      <c r="A11" s="230" t="s">
        <v>1402</v>
      </c>
      <c r="B11" s="177">
        <v>46240</v>
      </c>
      <c r="C11" s="231" t="s">
        <v>1286</v>
      </c>
      <c r="D11" s="232">
        <v>0</v>
      </c>
      <c r="E11" s="233">
        <f t="shared" si="0"/>
        <v>34940</v>
      </c>
      <c r="F11" s="238"/>
      <c r="G11" s="234">
        <f t="shared" si="1"/>
        <v>22857.26</v>
      </c>
      <c r="H11" s="234">
        <f t="shared" si="2"/>
        <v>12082.740000000002</v>
      </c>
      <c r="I11" s="235"/>
    </row>
    <row r="12" spans="1:9" s="223" customFormat="1" ht="12.75" customHeight="1" x14ac:dyDescent="0.25">
      <c r="A12" s="230"/>
      <c r="B12" s="177"/>
      <c r="C12" s="231"/>
      <c r="D12" s="233"/>
      <c r="E12" s="233">
        <f t="shared" si="0"/>
        <v>34940</v>
      </c>
      <c r="F12" s="238"/>
      <c r="G12" s="234">
        <f t="shared" si="1"/>
        <v>22857.26</v>
      </c>
      <c r="H12" s="234">
        <f t="shared" si="2"/>
        <v>12082.740000000002</v>
      </c>
      <c r="I12" s="235"/>
    </row>
    <row r="13" spans="1:9" s="223" customFormat="1" ht="12.75" customHeight="1" x14ac:dyDescent="0.25">
      <c r="A13" s="230"/>
      <c r="B13" s="177"/>
      <c r="C13" s="231"/>
      <c r="D13" s="233"/>
      <c r="E13" s="233">
        <f t="shared" si="0"/>
        <v>34940</v>
      </c>
      <c r="F13" s="238"/>
      <c r="G13" s="234">
        <f t="shared" si="1"/>
        <v>22857.26</v>
      </c>
      <c r="H13" s="234">
        <f t="shared" si="2"/>
        <v>12082.740000000002</v>
      </c>
      <c r="I13" s="235"/>
    </row>
    <row r="14" spans="1:9" s="223" customFormat="1" ht="12.75" customHeight="1" x14ac:dyDescent="0.25">
      <c r="A14" s="230"/>
      <c r="B14" s="177"/>
      <c r="C14" s="231"/>
      <c r="D14" s="233"/>
      <c r="E14" s="233">
        <f t="shared" si="0"/>
        <v>34940</v>
      </c>
      <c r="F14" s="234"/>
      <c r="G14" s="234">
        <f t="shared" si="1"/>
        <v>22857.26</v>
      </c>
      <c r="H14" s="234">
        <f t="shared" si="2"/>
        <v>12082.740000000002</v>
      </c>
      <c r="I14" s="235"/>
    </row>
    <row r="15" spans="1:9" s="223" customFormat="1" ht="12.75" customHeight="1" x14ac:dyDescent="0.25">
      <c r="A15" s="230"/>
      <c r="B15" s="177"/>
      <c r="C15" s="231"/>
      <c r="D15" s="233"/>
      <c r="E15" s="233">
        <f t="shared" si="0"/>
        <v>34940</v>
      </c>
      <c r="F15" s="238"/>
      <c r="G15" s="234">
        <f t="shared" si="1"/>
        <v>22857.26</v>
      </c>
      <c r="H15" s="234">
        <f t="shared" si="2"/>
        <v>12082.740000000002</v>
      </c>
      <c r="I15" s="235"/>
    </row>
    <row r="16" spans="1:9" s="223" customFormat="1" ht="12.75" customHeight="1" x14ac:dyDescent="0.25">
      <c r="A16" s="230"/>
      <c r="B16" s="177"/>
      <c r="C16" s="231"/>
      <c r="D16" s="233"/>
      <c r="E16" s="233">
        <f t="shared" si="0"/>
        <v>34940</v>
      </c>
      <c r="F16" s="238"/>
      <c r="G16" s="234">
        <f t="shared" si="1"/>
        <v>22857.26</v>
      </c>
      <c r="H16" s="234">
        <f t="shared" si="2"/>
        <v>12082.740000000002</v>
      </c>
      <c r="I16" s="235"/>
    </row>
    <row r="17" spans="1:9" s="223" customFormat="1" ht="12.75" customHeight="1" x14ac:dyDescent="0.25">
      <c r="A17" s="230"/>
      <c r="B17" s="177"/>
      <c r="C17" s="231"/>
      <c r="D17" s="233"/>
      <c r="E17" s="233">
        <f t="shared" si="0"/>
        <v>34940</v>
      </c>
      <c r="F17" s="238"/>
      <c r="G17" s="234">
        <f t="shared" si="1"/>
        <v>22857.26</v>
      </c>
      <c r="H17" s="234">
        <f t="shared" si="2"/>
        <v>12082.740000000002</v>
      </c>
      <c r="I17" s="235"/>
    </row>
    <row r="18" spans="1:9" s="223" customFormat="1" ht="12.75" customHeight="1" x14ac:dyDescent="0.25">
      <c r="A18" s="230"/>
      <c r="B18" s="177"/>
      <c r="C18" s="231"/>
      <c r="D18" s="233"/>
      <c r="E18" s="233">
        <f t="shared" si="0"/>
        <v>34940</v>
      </c>
      <c r="F18" s="238"/>
      <c r="G18" s="234">
        <f t="shared" si="1"/>
        <v>22857.26</v>
      </c>
      <c r="H18" s="234">
        <f t="shared" si="2"/>
        <v>12082.740000000002</v>
      </c>
      <c r="I18" s="235"/>
    </row>
    <row r="19" spans="1:9" s="223" customFormat="1" ht="12.75" customHeight="1" x14ac:dyDescent="0.25">
      <c r="A19" s="230"/>
      <c r="B19" s="177"/>
      <c r="C19" s="231"/>
      <c r="D19" s="233"/>
      <c r="E19" s="233">
        <f t="shared" si="0"/>
        <v>34940</v>
      </c>
      <c r="F19" s="234"/>
      <c r="G19" s="234">
        <f t="shared" si="1"/>
        <v>22857.26</v>
      </c>
      <c r="H19" s="234">
        <f t="shared" si="2"/>
        <v>12082.740000000002</v>
      </c>
      <c r="I19" s="235"/>
    </row>
    <row r="20" spans="1:9" s="223" customFormat="1" ht="12.75" customHeight="1" x14ac:dyDescent="0.25">
      <c r="A20" s="230"/>
      <c r="B20" s="177"/>
      <c r="C20" s="231"/>
      <c r="D20" s="233"/>
      <c r="E20" s="233">
        <f t="shared" si="0"/>
        <v>34940</v>
      </c>
      <c r="F20" s="234"/>
      <c r="G20" s="234">
        <f t="shared" si="1"/>
        <v>22857.26</v>
      </c>
      <c r="H20" s="234">
        <f t="shared" si="2"/>
        <v>12082.740000000002</v>
      </c>
      <c r="I20" s="235"/>
    </row>
    <row r="21" spans="1:9" s="223" customFormat="1" ht="12.75" customHeight="1" x14ac:dyDescent="0.25">
      <c r="A21" s="230"/>
      <c r="B21" s="177"/>
      <c r="C21" s="239"/>
      <c r="D21" s="233"/>
      <c r="E21" s="233">
        <f t="shared" si="0"/>
        <v>34940</v>
      </c>
      <c r="F21" s="234"/>
      <c r="G21" s="234">
        <f t="shared" si="1"/>
        <v>22857.26</v>
      </c>
      <c r="H21" s="234">
        <f t="shared" si="2"/>
        <v>12082.740000000002</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34940</v>
      </c>
      <c r="E23" s="245"/>
      <c r="F23" s="245">
        <f>SUM(F9:F22)</f>
        <v>22857.26</v>
      </c>
      <c r="G23" s="245"/>
      <c r="H23" s="245">
        <f>D23-F23</f>
        <v>12082.740000000002</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t="s">
        <v>682</v>
      </c>
      <c r="D26" s="234">
        <v>8360</v>
      </c>
      <c r="E26" s="234"/>
      <c r="F26" s="234">
        <f>8360</f>
        <v>8360</v>
      </c>
      <c r="G26" s="234"/>
      <c r="H26" s="234">
        <f>D26-F26</f>
        <v>0</v>
      </c>
      <c r="I26" s="235"/>
    </row>
    <row r="27" spans="1:9" s="223" customFormat="1" ht="12.75" customHeight="1" x14ac:dyDescent="0.25">
      <c r="A27" s="230"/>
      <c r="B27" s="231"/>
      <c r="C27" s="240" t="s">
        <v>399</v>
      </c>
      <c r="D27" s="234">
        <v>12705</v>
      </c>
      <c r="E27" s="234"/>
      <c r="F27" s="234">
        <f>12705</f>
        <v>12705</v>
      </c>
      <c r="G27" s="234"/>
      <c r="H27" s="234">
        <f>D27-F27</f>
        <v>0</v>
      </c>
      <c r="I27" s="235"/>
    </row>
    <row r="28" spans="1:9" s="223" customFormat="1" ht="12.75" customHeight="1" x14ac:dyDescent="0.25">
      <c r="A28" s="230"/>
      <c r="B28" s="231"/>
      <c r="C28" s="240" t="s">
        <v>400</v>
      </c>
      <c r="D28" s="234">
        <v>1520</v>
      </c>
      <c r="E28" s="234"/>
      <c r="F28" s="234">
        <f>1520</f>
        <v>1520</v>
      </c>
      <c r="G28" s="234"/>
      <c r="H28" s="234">
        <f>D28-F28</f>
        <v>0</v>
      </c>
      <c r="I28" s="235"/>
    </row>
    <row r="29" spans="1:9" s="223" customFormat="1" ht="12.75" customHeight="1" x14ac:dyDescent="0.25">
      <c r="A29" s="230"/>
      <c r="B29" s="231"/>
      <c r="C29" s="253" t="s">
        <v>122</v>
      </c>
      <c r="D29" s="254">
        <v>10855</v>
      </c>
      <c r="E29" s="254"/>
      <c r="F29" s="254"/>
      <c r="G29" s="254"/>
      <c r="H29" s="234">
        <f>D29-F29</f>
        <v>10855</v>
      </c>
      <c r="I29" s="235"/>
    </row>
    <row r="30" spans="1:9" s="223" customFormat="1" ht="12.75" customHeight="1" x14ac:dyDescent="0.25">
      <c r="A30" s="230"/>
      <c r="B30" s="231"/>
      <c r="C30" s="253" t="s">
        <v>111</v>
      </c>
      <c r="D30" s="254">
        <v>1500</v>
      </c>
      <c r="E30" s="254"/>
      <c r="F30" s="254">
        <f>272.26</f>
        <v>272.26</v>
      </c>
      <c r="G30" s="254"/>
      <c r="H30" s="234">
        <f>D30-F30</f>
        <v>1227.74</v>
      </c>
      <c r="I30" s="235"/>
    </row>
    <row r="31" spans="1:9" s="223" customFormat="1" ht="12.75" customHeight="1" thickBot="1" x14ac:dyDescent="0.3">
      <c r="A31" s="230"/>
      <c r="B31" s="231"/>
      <c r="C31" s="255" t="s">
        <v>67</v>
      </c>
      <c r="D31" s="256">
        <f>SUM(D26:D30)</f>
        <v>34940</v>
      </c>
      <c r="E31" s="257"/>
      <c r="F31" s="256">
        <f>SUM(F26:F30)</f>
        <v>22857.26</v>
      </c>
      <c r="G31" s="257"/>
      <c r="H31" s="256">
        <f>SUM(H26:H30)</f>
        <v>12082.74</v>
      </c>
      <c r="I31" s="235"/>
    </row>
    <row r="32" spans="1:9" ht="15" customHeight="1" thickTop="1" x14ac:dyDescent="0.25"/>
  </sheetData>
  <conditionalFormatting sqref="I8:I9 I11:I23">
    <cfRule type="cellIs" dxfId="37" priority="1" operator="greaterThan">
      <formula>$H$23</formula>
    </cfRule>
  </conditionalFormatting>
  <pageMargins left="0.25" right="0.25" top="0.95" bottom="0.75" header="0.09" footer="0.3"/>
  <pageSetup scale="8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58E91-1936-4154-BF82-14FA63DD2091}">
  <sheetPr>
    <pageSetUpPr fitToPage="1"/>
  </sheetPr>
  <dimension ref="A1:I29"/>
  <sheetViews>
    <sheetView zoomScaleNormal="100" workbookViewId="0">
      <selection activeCell="F12" sqref="F12"/>
    </sheetView>
  </sheetViews>
  <sheetFormatPr defaultColWidth="11.42578125" defaultRowHeight="15" customHeight="1" x14ac:dyDescent="0.25"/>
  <cols>
    <col min="1" max="1" width="24.5703125" customWidth="1"/>
    <col min="2" max="2" width="9.42578125" customWidth="1"/>
    <col min="3" max="3" width="21.140625" customWidth="1"/>
    <col min="4" max="4" width="14.42578125" customWidth="1"/>
    <col min="5" max="5" width="13.5703125" customWidth="1"/>
    <col min="6" max="6" width="12.42578125" customWidth="1"/>
    <col min="7" max="7" width="10.5703125" customWidth="1"/>
    <col min="8" max="8" width="11.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#9501.00'!B1</f>
        <v>DOC NCCF Air Handler Replacement and Condenser Coils Unit A and B</v>
      </c>
      <c r="B1" s="3"/>
      <c r="C1" s="4"/>
      <c r="D1" s="4"/>
      <c r="E1" s="4"/>
      <c r="F1" s="28"/>
      <c r="G1" s="28"/>
      <c r="H1" s="29"/>
      <c r="I1" s="29"/>
    </row>
    <row r="2" spans="1:9" ht="15.75" x14ac:dyDescent="0.25">
      <c r="A2" s="6" t="str">
        <f>'RECAP #9501.00'!B2</f>
        <v>Project # 9501.00</v>
      </c>
      <c r="B2" s="5"/>
      <c r="C2" s="4"/>
      <c r="D2" s="4"/>
      <c r="E2" s="4"/>
      <c r="F2" s="28"/>
      <c r="G2" s="28"/>
      <c r="H2" s="29"/>
      <c r="I2" s="29"/>
    </row>
    <row r="3" spans="1:9" ht="15.75" x14ac:dyDescent="0.25">
      <c r="A3" s="7" t="str">
        <f>'RECAP #9501.00'!B3</f>
        <v>Program code 950100</v>
      </c>
      <c r="B3" s="5"/>
      <c r="C3" s="4"/>
      <c r="D3" s="8" t="str">
        <f>'RECAP #9501.00'!E3</f>
        <v>Major Program 4F03</v>
      </c>
      <c r="E3" s="4"/>
      <c r="F3" s="28"/>
      <c r="G3" s="28"/>
      <c r="H3" s="29"/>
      <c r="I3" s="29"/>
    </row>
    <row r="4" spans="1:9" ht="15.75" x14ac:dyDescent="0.25">
      <c r="A4" s="30" t="s">
        <v>1118</v>
      </c>
      <c r="B4" s="31"/>
      <c r="C4" s="32"/>
      <c r="D4" s="33" t="s">
        <v>254</v>
      </c>
      <c r="E4" s="28"/>
      <c r="F4" s="28"/>
      <c r="G4" s="28"/>
      <c r="H4" s="29"/>
      <c r="I4" s="29"/>
    </row>
    <row r="5" spans="1:9" ht="15.75" x14ac:dyDescent="0.25">
      <c r="A5" s="34" t="s">
        <v>104</v>
      </c>
      <c r="B5" s="35"/>
      <c r="C5" s="36"/>
      <c r="D5" s="37" t="s">
        <v>255</v>
      </c>
      <c r="E5" s="38"/>
      <c r="F5" s="39"/>
      <c r="G5" s="39"/>
      <c r="H5" s="35"/>
      <c r="I5" s="29"/>
    </row>
    <row r="6" spans="1:9" ht="15.75" x14ac:dyDescent="0.25">
      <c r="A6" s="11" t="str">
        <f>'RECAP #9501.00'!B6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328" t="s">
        <v>1119</v>
      </c>
      <c r="B9" s="329">
        <v>46198</v>
      </c>
      <c r="C9" s="330" t="s">
        <v>109</v>
      </c>
      <c r="D9" s="345">
        <v>33340.080000000002</v>
      </c>
      <c r="E9" s="331">
        <f>D9</f>
        <v>33340.080000000002</v>
      </c>
      <c r="F9" s="332"/>
      <c r="G9" s="332"/>
      <c r="H9" s="332">
        <f>E9</f>
        <v>33340.080000000002</v>
      </c>
      <c r="I9" s="333" t="s">
        <v>1285</v>
      </c>
    </row>
    <row r="10" spans="1:9" s="223" customFormat="1" ht="12.75" customHeight="1" x14ac:dyDescent="0.25">
      <c r="A10" s="230" t="s">
        <v>1310</v>
      </c>
      <c r="B10" s="177">
        <v>46225</v>
      </c>
      <c r="C10" s="231" t="s">
        <v>1286</v>
      </c>
      <c r="D10" s="232">
        <v>0</v>
      </c>
      <c r="E10" s="233">
        <f t="shared" ref="E10:E21" si="0">E9+D10</f>
        <v>33340.080000000002</v>
      </c>
      <c r="F10" s="237"/>
      <c r="G10" s="234">
        <f t="shared" ref="G10:G21" si="1">G9+F10</f>
        <v>0</v>
      </c>
      <c r="H10" s="234">
        <f t="shared" ref="H10:H21" si="2">H9-F10+D10</f>
        <v>33340.080000000002</v>
      </c>
      <c r="I10" s="235"/>
    </row>
    <row r="11" spans="1:9" s="223" customFormat="1" ht="12.75" customHeight="1" x14ac:dyDescent="0.25">
      <c r="A11" s="230" t="s">
        <v>1466</v>
      </c>
      <c r="B11" s="177">
        <v>46253</v>
      </c>
      <c r="C11" s="231" t="s">
        <v>1467</v>
      </c>
      <c r="D11" s="233"/>
      <c r="E11" s="233">
        <f t="shared" si="0"/>
        <v>33340.080000000002</v>
      </c>
      <c r="F11" s="237">
        <v>4417.95</v>
      </c>
      <c r="G11" s="234">
        <f t="shared" si="1"/>
        <v>4417.95</v>
      </c>
      <c r="H11" s="234">
        <f t="shared" si="2"/>
        <v>28922.13</v>
      </c>
      <c r="I11" s="235"/>
    </row>
    <row r="12" spans="1:9" s="223" customFormat="1" ht="12.75" customHeight="1" x14ac:dyDescent="0.25">
      <c r="A12" s="230" t="s">
        <v>1540</v>
      </c>
      <c r="B12" s="177">
        <v>46279</v>
      </c>
      <c r="C12" s="231" t="s">
        <v>1541</v>
      </c>
      <c r="D12" s="233"/>
      <c r="E12" s="233">
        <f t="shared" si="0"/>
        <v>33340.080000000002</v>
      </c>
      <c r="F12" s="237">
        <v>2646.59</v>
      </c>
      <c r="G12" s="234">
        <f t="shared" si="1"/>
        <v>7064.54</v>
      </c>
      <c r="H12" s="234">
        <f t="shared" si="2"/>
        <v>26275.54</v>
      </c>
      <c r="I12" s="235"/>
    </row>
    <row r="13" spans="1:9" s="223" customFormat="1" ht="12.75" customHeight="1" x14ac:dyDescent="0.25">
      <c r="A13" s="230"/>
      <c r="B13" s="177"/>
      <c r="C13" s="231"/>
      <c r="D13" s="233"/>
      <c r="E13" s="233">
        <f t="shared" si="0"/>
        <v>33340.080000000002</v>
      </c>
      <c r="F13" s="237"/>
      <c r="G13" s="234">
        <f t="shared" si="1"/>
        <v>7064.54</v>
      </c>
      <c r="H13" s="234">
        <f t="shared" si="2"/>
        <v>26275.54</v>
      </c>
      <c r="I13" s="235"/>
    </row>
    <row r="14" spans="1:9" s="223" customFormat="1" ht="12.75" customHeight="1" x14ac:dyDescent="0.25">
      <c r="A14" s="230"/>
      <c r="B14" s="177"/>
      <c r="C14" s="231"/>
      <c r="D14" s="233"/>
      <c r="E14" s="233">
        <f t="shared" si="0"/>
        <v>33340.080000000002</v>
      </c>
      <c r="F14" s="238"/>
      <c r="G14" s="234">
        <f t="shared" si="1"/>
        <v>7064.54</v>
      </c>
      <c r="H14" s="234">
        <f t="shared" si="2"/>
        <v>26275.54</v>
      </c>
      <c r="I14" s="235"/>
    </row>
    <row r="15" spans="1:9" s="223" customFormat="1" ht="12.75" customHeight="1" x14ac:dyDescent="0.25">
      <c r="A15" s="230"/>
      <c r="B15" s="177"/>
      <c r="C15" s="231"/>
      <c r="D15" s="233"/>
      <c r="E15" s="233">
        <f t="shared" si="0"/>
        <v>33340.080000000002</v>
      </c>
      <c r="F15" s="238"/>
      <c r="G15" s="234">
        <f t="shared" si="1"/>
        <v>7064.54</v>
      </c>
      <c r="H15" s="234">
        <f t="shared" si="2"/>
        <v>26275.54</v>
      </c>
      <c r="I15" s="235"/>
    </row>
    <row r="16" spans="1:9" s="223" customFormat="1" ht="12.75" customHeight="1" x14ac:dyDescent="0.25">
      <c r="A16" s="230"/>
      <c r="B16" s="177"/>
      <c r="C16" s="231"/>
      <c r="D16" s="233"/>
      <c r="E16" s="233">
        <f t="shared" si="0"/>
        <v>33340.080000000002</v>
      </c>
      <c r="F16" s="238"/>
      <c r="G16" s="234">
        <f t="shared" si="1"/>
        <v>7064.54</v>
      </c>
      <c r="H16" s="234">
        <f t="shared" si="2"/>
        <v>26275.54</v>
      </c>
      <c r="I16" s="235"/>
    </row>
    <row r="17" spans="1:9" s="223" customFormat="1" ht="12.75" customHeight="1" x14ac:dyDescent="0.25">
      <c r="A17" s="230"/>
      <c r="B17" s="177"/>
      <c r="C17" s="231"/>
      <c r="D17" s="233"/>
      <c r="E17" s="233">
        <f t="shared" si="0"/>
        <v>33340.080000000002</v>
      </c>
      <c r="F17" s="238"/>
      <c r="G17" s="234">
        <f t="shared" si="1"/>
        <v>7064.54</v>
      </c>
      <c r="H17" s="234">
        <f t="shared" si="2"/>
        <v>26275.54</v>
      </c>
      <c r="I17" s="235"/>
    </row>
    <row r="18" spans="1:9" s="223" customFormat="1" ht="12.75" customHeight="1" x14ac:dyDescent="0.25">
      <c r="A18" s="230"/>
      <c r="B18" s="177"/>
      <c r="C18" s="231"/>
      <c r="D18" s="233"/>
      <c r="E18" s="233">
        <f t="shared" si="0"/>
        <v>33340.080000000002</v>
      </c>
      <c r="F18" s="238"/>
      <c r="G18" s="234">
        <f t="shared" si="1"/>
        <v>7064.54</v>
      </c>
      <c r="H18" s="234">
        <f t="shared" si="2"/>
        <v>26275.54</v>
      </c>
      <c r="I18" s="235"/>
    </row>
    <row r="19" spans="1:9" s="223" customFormat="1" ht="12.75" customHeight="1" x14ac:dyDescent="0.25">
      <c r="A19" s="230"/>
      <c r="B19" s="177"/>
      <c r="C19" s="231"/>
      <c r="D19" s="233"/>
      <c r="E19" s="233">
        <f t="shared" si="0"/>
        <v>33340.080000000002</v>
      </c>
      <c r="F19" s="234"/>
      <c r="G19" s="234">
        <f t="shared" si="1"/>
        <v>7064.54</v>
      </c>
      <c r="H19" s="234">
        <f t="shared" si="2"/>
        <v>26275.54</v>
      </c>
      <c r="I19" s="235"/>
    </row>
    <row r="20" spans="1:9" s="223" customFormat="1" ht="12.75" customHeight="1" x14ac:dyDescent="0.25">
      <c r="A20" s="230"/>
      <c r="B20" s="177"/>
      <c r="C20" s="231"/>
      <c r="D20" s="233"/>
      <c r="E20" s="233">
        <f t="shared" si="0"/>
        <v>33340.080000000002</v>
      </c>
      <c r="F20" s="234"/>
      <c r="G20" s="234">
        <f t="shared" si="1"/>
        <v>7064.54</v>
      </c>
      <c r="H20" s="234">
        <f t="shared" si="2"/>
        <v>26275.54</v>
      </c>
      <c r="I20" s="235"/>
    </row>
    <row r="21" spans="1:9" s="223" customFormat="1" ht="12.75" customHeight="1" x14ac:dyDescent="0.25">
      <c r="A21" s="230"/>
      <c r="B21" s="177"/>
      <c r="C21" s="239"/>
      <c r="D21" s="233"/>
      <c r="E21" s="233">
        <f t="shared" si="0"/>
        <v>33340.080000000002</v>
      </c>
      <c r="F21" s="234"/>
      <c r="G21" s="234">
        <f t="shared" si="1"/>
        <v>7064.54</v>
      </c>
      <c r="H21" s="234">
        <f t="shared" si="2"/>
        <v>26275.54</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33340.080000000002</v>
      </c>
      <c r="E23" s="245"/>
      <c r="F23" s="245">
        <f>SUM(F9:F22)</f>
        <v>7064.54</v>
      </c>
      <c r="G23" s="245"/>
      <c r="H23" s="245">
        <f>D23-F23</f>
        <v>26275.54</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30340.080000000002</v>
      </c>
      <c r="E26" s="254"/>
      <c r="F26" s="254">
        <f>4183.95+2646.59</f>
        <v>6830.54</v>
      </c>
      <c r="G26" s="254"/>
      <c r="H26" s="254">
        <f>D26-F26</f>
        <v>23509.54</v>
      </c>
      <c r="I26" s="235"/>
    </row>
    <row r="27" spans="1:9" s="223" customFormat="1" ht="12.75" customHeight="1" x14ac:dyDescent="0.25">
      <c r="A27" s="230"/>
      <c r="B27" s="231"/>
      <c r="C27" s="253" t="s">
        <v>111</v>
      </c>
      <c r="D27" s="254">
        <v>3000</v>
      </c>
      <c r="E27" s="254"/>
      <c r="F27" s="254">
        <v>234</v>
      </c>
      <c r="G27" s="254"/>
      <c r="H27" s="254">
        <f>D27-F27</f>
        <v>2766</v>
      </c>
      <c r="I27" s="235"/>
    </row>
    <row r="28" spans="1:9" s="223" customFormat="1" ht="12.75" customHeight="1" thickBot="1" x14ac:dyDescent="0.3">
      <c r="A28" s="230"/>
      <c r="B28" s="231"/>
      <c r="C28" s="255" t="s">
        <v>67</v>
      </c>
      <c r="D28" s="256">
        <f>SUM(D26:D27)</f>
        <v>33340.080000000002</v>
      </c>
      <c r="E28" s="257"/>
      <c r="F28" s="256">
        <f>SUM(F26:F27)</f>
        <v>7064.54</v>
      </c>
      <c r="G28" s="257"/>
      <c r="H28" s="256">
        <f>SUM(H26:H27)</f>
        <v>26275.54</v>
      </c>
      <c r="I28" s="235"/>
    </row>
    <row r="29" spans="1:9" ht="15" customHeight="1" thickTop="1" x14ac:dyDescent="0.25"/>
  </sheetData>
  <conditionalFormatting sqref="I8 I10:I23">
    <cfRule type="cellIs" dxfId="36" priority="1" operator="greaterThan">
      <formula>$H$23</formula>
    </cfRule>
  </conditionalFormatting>
  <pageMargins left="0.25" right="0.25" top="0.95" bottom="0.75" header="0.09" footer="0.3"/>
  <pageSetup scale="8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59E4C-D217-487C-8E71-2F956B992211}">
  <sheetPr>
    <pageSetUpPr fitToPage="1"/>
  </sheetPr>
  <dimension ref="A1:I24"/>
  <sheetViews>
    <sheetView zoomScaleNormal="100" workbookViewId="0">
      <selection activeCell="A29" sqref="A29"/>
    </sheetView>
  </sheetViews>
  <sheetFormatPr defaultColWidth="11.42578125" defaultRowHeight="15" customHeight="1" x14ac:dyDescent="0.25"/>
  <cols>
    <col min="1" max="1" width="24.5703125" customWidth="1"/>
    <col min="2" max="2" width="9.42578125" customWidth="1"/>
    <col min="3" max="3" width="21.140625" customWidth="1"/>
    <col min="4" max="4" width="14.42578125" customWidth="1"/>
    <col min="5" max="5" width="13.5703125" customWidth="1"/>
    <col min="6" max="6" width="12.42578125" customWidth="1"/>
    <col min="7" max="7" width="10.5703125" customWidth="1"/>
    <col min="8" max="8" width="14.140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#9501.00'!B1</f>
        <v>DOC NCCF Air Handler Replacement and Condenser Coils Unit A and B</v>
      </c>
      <c r="B1" s="3"/>
      <c r="C1" s="4"/>
      <c r="D1" s="4"/>
      <c r="E1" s="4"/>
      <c r="F1" s="28"/>
      <c r="G1" s="28"/>
      <c r="H1" s="29"/>
      <c r="I1" s="29"/>
    </row>
    <row r="2" spans="1:9" ht="15.75" x14ac:dyDescent="0.25">
      <c r="A2" s="6" t="str">
        <f>'RECAP #9501.00'!B2</f>
        <v>Project # 9501.00</v>
      </c>
      <c r="B2" s="5"/>
      <c r="C2" s="4"/>
      <c r="D2" s="4"/>
      <c r="E2" s="4"/>
      <c r="F2" s="28"/>
      <c r="G2" s="28"/>
      <c r="H2" s="29"/>
      <c r="I2" s="29"/>
    </row>
    <row r="3" spans="1:9" ht="15.75" x14ac:dyDescent="0.25">
      <c r="A3" s="7" t="str">
        <f>'RECAP #9501.00'!B3</f>
        <v>Program code 950100</v>
      </c>
      <c r="B3" s="5"/>
      <c r="C3" s="4"/>
      <c r="D3" s="8" t="str">
        <f>'RECAP #9501.00'!E3</f>
        <v>Major Program 4F03</v>
      </c>
      <c r="E3" s="4"/>
      <c r="F3" s="28"/>
      <c r="G3" s="28"/>
      <c r="H3" s="29"/>
      <c r="I3" s="29"/>
    </row>
    <row r="4" spans="1:9" ht="15.75" x14ac:dyDescent="0.25">
      <c r="A4" s="30" t="s">
        <v>1130</v>
      </c>
      <c r="B4" s="31"/>
      <c r="C4" s="32"/>
      <c r="D4" s="33" t="s">
        <v>1133</v>
      </c>
      <c r="E4" s="28"/>
      <c r="F4" s="28"/>
      <c r="G4" s="28"/>
      <c r="H4" s="29"/>
      <c r="I4" s="29"/>
    </row>
    <row r="5" spans="1:9" ht="15.75" x14ac:dyDescent="0.25">
      <c r="A5" s="34" t="s">
        <v>104</v>
      </c>
      <c r="B5" s="35"/>
      <c r="C5" s="36"/>
      <c r="D5" s="37" t="s">
        <v>1131</v>
      </c>
      <c r="E5" s="38"/>
      <c r="F5" s="39"/>
      <c r="G5" s="39"/>
      <c r="H5" s="35"/>
      <c r="I5" s="29"/>
    </row>
    <row r="6" spans="1:9" ht="15.75" x14ac:dyDescent="0.25">
      <c r="A6" s="11" t="str">
        <f>'RECAP #9501.00'!B6</f>
        <v>Project Manager - Jennie E.</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339" t="s">
        <v>1132</v>
      </c>
      <c r="B9" s="340">
        <v>46202</v>
      </c>
      <c r="C9" s="341" t="s">
        <v>109</v>
      </c>
      <c r="D9" s="342">
        <v>137481</v>
      </c>
      <c r="E9" s="343">
        <f>D9</f>
        <v>137481</v>
      </c>
      <c r="F9" s="344"/>
      <c r="G9" s="344"/>
      <c r="H9" s="344">
        <f>E9</f>
        <v>137481</v>
      </c>
      <c r="I9" s="333" t="s">
        <v>1285</v>
      </c>
    </row>
    <row r="10" spans="1:9" s="223" customFormat="1" ht="12.75" customHeight="1" x14ac:dyDescent="0.25">
      <c r="A10" s="230" t="s">
        <v>1311</v>
      </c>
      <c r="B10" s="177">
        <v>46225</v>
      </c>
      <c r="C10" s="231" t="s">
        <v>1286</v>
      </c>
      <c r="D10" s="232">
        <v>0</v>
      </c>
      <c r="E10" s="233">
        <f t="shared" ref="E10:E21" si="0">E9+D10</f>
        <v>137481</v>
      </c>
      <c r="F10" s="237"/>
      <c r="G10" s="234">
        <f t="shared" ref="G10:G21" si="1">G9+F10</f>
        <v>0</v>
      </c>
      <c r="H10" s="234">
        <f t="shared" ref="H10:H21" si="2">H9-F10+D10</f>
        <v>137481</v>
      </c>
      <c r="I10" s="235"/>
    </row>
    <row r="11" spans="1:9" s="223" customFormat="1" ht="12.75" customHeight="1" x14ac:dyDescent="0.25">
      <c r="A11" s="230"/>
      <c r="B11" s="177"/>
      <c r="C11" s="231"/>
      <c r="D11" s="233"/>
      <c r="E11" s="233">
        <f t="shared" si="0"/>
        <v>137481</v>
      </c>
      <c r="F11" s="237"/>
      <c r="G11" s="234">
        <f t="shared" si="1"/>
        <v>0</v>
      </c>
      <c r="H11" s="234">
        <f t="shared" si="2"/>
        <v>137481</v>
      </c>
      <c r="I11" s="235"/>
    </row>
    <row r="12" spans="1:9" s="223" customFormat="1" ht="12.75" customHeight="1" x14ac:dyDescent="0.25">
      <c r="A12" s="230"/>
      <c r="B12" s="177"/>
      <c r="C12" s="231"/>
      <c r="D12" s="233"/>
      <c r="E12" s="233">
        <f t="shared" si="0"/>
        <v>137481</v>
      </c>
      <c r="F12" s="237"/>
      <c r="G12" s="234">
        <f t="shared" si="1"/>
        <v>0</v>
      </c>
      <c r="H12" s="234">
        <f t="shared" si="2"/>
        <v>137481</v>
      </c>
      <c r="I12" s="235"/>
    </row>
    <row r="13" spans="1:9" s="223" customFormat="1" ht="12.75" customHeight="1" x14ac:dyDescent="0.25">
      <c r="A13" s="230"/>
      <c r="B13" s="177"/>
      <c r="C13" s="231"/>
      <c r="D13" s="233"/>
      <c r="E13" s="233">
        <f t="shared" si="0"/>
        <v>137481</v>
      </c>
      <c r="F13" s="237"/>
      <c r="G13" s="234">
        <f t="shared" si="1"/>
        <v>0</v>
      </c>
      <c r="H13" s="234">
        <f t="shared" si="2"/>
        <v>137481</v>
      </c>
      <c r="I13" s="235"/>
    </row>
    <row r="14" spans="1:9" s="223" customFormat="1" ht="12.75" customHeight="1" x14ac:dyDescent="0.25">
      <c r="A14" s="230"/>
      <c r="B14" s="177"/>
      <c r="C14" s="231"/>
      <c r="D14" s="233"/>
      <c r="E14" s="233">
        <f t="shared" si="0"/>
        <v>137481</v>
      </c>
      <c r="F14" s="238"/>
      <c r="G14" s="234">
        <f t="shared" si="1"/>
        <v>0</v>
      </c>
      <c r="H14" s="234">
        <f t="shared" si="2"/>
        <v>137481</v>
      </c>
      <c r="I14" s="235"/>
    </row>
    <row r="15" spans="1:9" s="223" customFormat="1" ht="12.75" customHeight="1" x14ac:dyDescent="0.25">
      <c r="A15" s="230"/>
      <c r="B15" s="177"/>
      <c r="C15" s="231"/>
      <c r="D15" s="233"/>
      <c r="E15" s="233">
        <f t="shared" si="0"/>
        <v>137481</v>
      </c>
      <c r="F15" s="238"/>
      <c r="G15" s="234">
        <f t="shared" si="1"/>
        <v>0</v>
      </c>
      <c r="H15" s="234">
        <f t="shared" si="2"/>
        <v>137481</v>
      </c>
      <c r="I15" s="235"/>
    </row>
    <row r="16" spans="1:9" s="223" customFormat="1" ht="12.75" customHeight="1" x14ac:dyDescent="0.25">
      <c r="A16" s="230"/>
      <c r="B16" s="177"/>
      <c r="C16" s="231"/>
      <c r="D16" s="233"/>
      <c r="E16" s="233">
        <f t="shared" si="0"/>
        <v>137481</v>
      </c>
      <c r="F16" s="238"/>
      <c r="G16" s="234">
        <f t="shared" si="1"/>
        <v>0</v>
      </c>
      <c r="H16" s="234">
        <f t="shared" si="2"/>
        <v>137481</v>
      </c>
      <c r="I16" s="235"/>
    </row>
    <row r="17" spans="1:9" s="223" customFormat="1" ht="12.75" customHeight="1" x14ac:dyDescent="0.25">
      <c r="A17" s="230"/>
      <c r="B17" s="177"/>
      <c r="C17" s="231"/>
      <c r="D17" s="233"/>
      <c r="E17" s="233">
        <f t="shared" si="0"/>
        <v>137481</v>
      </c>
      <c r="F17" s="238"/>
      <c r="G17" s="234">
        <f t="shared" si="1"/>
        <v>0</v>
      </c>
      <c r="H17" s="234">
        <f t="shared" si="2"/>
        <v>137481</v>
      </c>
      <c r="I17" s="235"/>
    </row>
    <row r="18" spans="1:9" s="223" customFormat="1" ht="12.75" customHeight="1" x14ac:dyDescent="0.25">
      <c r="A18" s="230"/>
      <c r="B18" s="177"/>
      <c r="C18" s="231"/>
      <c r="D18" s="233"/>
      <c r="E18" s="233">
        <f t="shared" si="0"/>
        <v>137481</v>
      </c>
      <c r="F18" s="238"/>
      <c r="G18" s="234">
        <f t="shared" si="1"/>
        <v>0</v>
      </c>
      <c r="H18" s="234">
        <f t="shared" si="2"/>
        <v>137481</v>
      </c>
      <c r="I18" s="235"/>
    </row>
    <row r="19" spans="1:9" s="223" customFormat="1" ht="12.75" customHeight="1" x14ac:dyDescent="0.25">
      <c r="A19" s="230"/>
      <c r="B19" s="177"/>
      <c r="C19" s="231"/>
      <c r="D19" s="233"/>
      <c r="E19" s="233">
        <f t="shared" si="0"/>
        <v>137481</v>
      </c>
      <c r="F19" s="234"/>
      <c r="G19" s="234">
        <f t="shared" si="1"/>
        <v>0</v>
      </c>
      <c r="H19" s="234">
        <f t="shared" si="2"/>
        <v>137481</v>
      </c>
      <c r="I19" s="235"/>
    </row>
    <row r="20" spans="1:9" s="223" customFormat="1" ht="12.75" customHeight="1" x14ac:dyDescent="0.25">
      <c r="A20" s="230"/>
      <c r="B20" s="177"/>
      <c r="C20" s="231"/>
      <c r="D20" s="233"/>
      <c r="E20" s="233">
        <f t="shared" si="0"/>
        <v>137481</v>
      </c>
      <c r="F20" s="234"/>
      <c r="G20" s="234">
        <f t="shared" si="1"/>
        <v>0</v>
      </c>
      <c r="H20" s="234">
        <f t="shared" si="2"/>
        <v>137481</v>
      </c>
      <c r="I20" s="235"/>
    </row>
    <row r="21" spans="1:9" s="223" customFormat="1" ht="12.75" customHeight="1" x14ac:dyDescent="0.25">
      <c r="A21" s="230"/>
      <c r="B21" s="177"/>
      <c r="C21" s="239"/>
      <c r="D21" s="233"/>
      <c r="E21" s="233">
        <f t="shared" si="0"/>
        <v>137481</v>
      </c>
      <c r="F21" s="234"/>
      <c r="G21" s="234">
        <f t="shared" si="1"/>
        <v>0</v>
      </c>
      <c r="H21" s="234">
        <f t="shared" si="2"/>
        <v>137481</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137481</v>
      </c>
      <c r="E23" s="245"/>
      <c r="F23" s="245">
        <f>SUM(F9:F22)</f>
        <v>0</v>
      </c>
      <c r="G23" s="245"/>
      <c r="H23" s="245">
        <f>D23-F23</f>
        <v>137481</v>
      </c>
      <c r="I23" s="235"/>
    </row>
    <row r="24" spans="1:9" s="223" customFormat="1" ht="12.75" customHeight="1" thickTop="1" x14ac:dyDescent="0.25">
      <c r="A24" s="230"/>
      <c r="B24" s="231"/>
      <c r="C24" s="240"/>
      <c r="D24" s="234"/>
      <c r="E24" s="234"/>
      <c r="F24" s="234"/>
      <c r="G24" s="234"/>
      <c r="H24" s="234"/>
      <c r="I24" s="235"/>
    </row>
  </sheetData>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92009-08F2-4F03-A924-CFEAD5C52DAF}">
  <sheetPr>
    <pageSetUpPr fitToPage="1"/>
  </sheetPr>
  <dimension ref="A1:G18"/>
  <sheetViews>
    <sheetView zoomScaleNormal="100" workbookViewId="0">
      <selection activeCell="D23" sqref="D23"/>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172</v>
      </c>
      <c r="C1" s="3"/>
      <c r="D1" s="4"/>
      <c r="E1" s="4"/>
      <c r="F1" s="4"/>
      <c r="G1" s="4"/>
    </row>
    <row r="2" spans="1:7" ht="15.75" x14ac:dyDescent="0.25">
      <c r="A2" s="1"/>
      <c r="B2" s="6" t="s">
        <v>199</v>
      </c>
      <c r="C2" s="5"/>
      <c r="D2" s="4"/>
      <c r="E2" s="4"/>
      <c r="F2" s="4"/>
      <c r="G2" s="4"/>
    </row>
    <row r="3" spans="1:7" ht="15.75" x14ac:dyDescent="0.25">
      <c r="A3" s="1"/>
      <c r="B3" s="7" t="s">
        <v>200</v>
      </c>
      <c r="C3" s="5"/>
      <c r="D3" s="4"/>
      <c r="E3" s="8" t="s">
        <v>201</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195</v>
      </c>
      <c r="C6" s="12"/>
      <c r="D6" s="13" t="s">
        <v>2</v>
      </c>
      <c r="E6" s="4"/>
      <c r="F6" s="4"/>
      <c r="G6" s="4"/>
    </row>
    <row r="7" spans="1:7" ht="36" customHeight="1" thickBot="1" x14ac:dyDescent="0.3">
      <c r="A7" s="1"/>
      <c r="B7" s="14" t="s">
        <v>2</v>
      </c>
      <c r="C7" s="15" t="s">
        <v>3</v>
      </c>
      <c r="D7" s="16" t="s">
        <v>4</v>
      </c>
      <c r="E7" s="17" t="s">
        <v>5</v>
      </c>
      <c r="F7" s="18" t="s">
        <v>6</v>
      </c>
      <c r="G7" s="18" t="s">
        <v>7</v>
      </c>
    </row>
    <row r="8" spans="1:7" ht="28.35" customHeight="1" x14ac:dyDescent="0.25">
      <c r="A8" s="1"/>
      <c r="B8" s="1" t="s">
        <v>8</v>
      </c>
      <c r="C8" s="19">
        <f>FINANCIAL!G25</f>
        <v>955000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73" t="s">
        <v>250</v>
      </c>
      <c r="B10" s="247" t="s">
        <v>253</v>
      </c>
      <c r="C10" s="248"/>
      <c r="D10" s="251">
        <f>'#9502.00 McGough Construction'!D23</f>
        <v>13841.84</v>
      </c>
      <c r="E10" s="251">
        <f>'#9502.00 McGough Construction'!F23</f>
        <v>13841.84</v>
      </c>
      <c r="F10" s="251">
        <f>'#9502.00 McGough Construction'!H23</f>
        <v>0</v>
      </c>
      <c r="G10" s="250"/>
    </row>
    <row r="11" spans="1:7" s="223" customFormat="1" ht="12.75" customHeight="1" x14ac:dyDescent="0.25">
      <c r="A11" s="246"/>
      <c r="B11" s="247" t="s">
        <v>10</v>
      </c>
      <c r="C11" s="248"/>
      <c r="D11" s="251">
        <f>'#9502.00 PM TIME'!E39</f>
        <v>25000</v>
      </c>
      <c r="E11" s="251">
        <f>'#9502.00 PM TIME'!G39</f>
        <v>21204.010000000002</v>
      </c>
      <c r="F11" s="251">
        <f>'#9502.00 PM TIME'!I39</f>
        <v>3795.989999999998</v>
      </c>
      <c r="G11" s="250"/>
    </row>
    <row r="12" spans="1:7" s="223" customFormat="1" ht="12.75" customHeight="1" x14ac:dyDescent="0.25">
      <c r="A12" s="246"/>
      <c r="B12" s="247" t="s">
        <v>11</v>
      </c>
      <c r="C12" s="249"/>
      <c r="D12" s="252">
        <f>'#9502.00 Misc '!G22</f>
        <v>3778.29</v>
      </c>
      <c r="E12" s="252">
        <f>'#9502.00 Misc '!G22</f>
        <v>3778.29</v>
      </c>
      <c r="F12" s="251">
        <f>D12-E12</f>
        <v>0</v>
      </c>
      <c r="G12" s="250"/>
    </row>
    <row r="13" spans="1:7" s="223" customFormat="1" ht="12.75" customHeight="1" x14ac:dyDescent="0.25">
      <c r="A13" s="246"/>
      <c r="B13" s="247" t="s">
        <v>374</v>
      </c>
      <c r="C13" s="249"/>
      <c r="D13" s="252">
        <f>'#9502.00 Modus Engineering'!D23</f>
        <v>33000</v>
      </c>
      <c r="E13" s="252">
        <f>'#9502.00 Modus Engineering'!F23</f>
        <v>29184</v>
      </c>
      <c r="F13" s="251">
        <f>'#9502.00 Modus Engineering'!H23</f>
        <v>3816</v>
      </c>
      <c r="G13" s="250"/>
    </row>
    <row r="14" spans="1:7" s="223" customFormat="1" ht="12.75" customHeight="1" x14ac:dyDescent="0.25">
      <c r="A14" s="246"/>
      <c r="B14" s="247" t="s">
        <v>635</v>
      </c>
      <c r="C14" s="249"/>
      <c r="D14" s="252">
        <f>'#9502.00 McGough Constructi (2)'!D23</f>
        <v>96273.29</v>
      </c>
      <c r="E14" s="252">
        <f>'#9502.00 McGough Constructi (2)'!F23</f>
        <v>62291.329999999994</v>
      </c>
      <c r="F14" s="251">
        <f>'#9502.00 McGough Constructi (2)'!H23</f>
        <v>33981.96</v>
      </c>
      <c r="G14" s="250"/>
    </row>
    <row r="15" spans="1:7" s="223" customFormat="1" ht="12.75" customHeight="1" x14ac:dyDescent="0.25">
      <c r="A15" s="246"/>
      <c r="B15" s="247" t="s">
        <v>599</v>
      </c>
      <c r="C15" s="249"/>
      <c r="D15" s="252">
        <f>'#9502.00 Modern Piping'!D23</f>
        <v>727702.04999999993</v>
      </c>
      <c r="E15" s="252">
        <f>'#9502.00 Modern Piping'!F23</f>
        <v>493235.3</v>
      </c>
      <c r="F15" s="251">
        <f>'#9502.00 Modern Piping'!H23</f>
        <v>234466.74999999994</v>
      </c>
      <c r="G15" s="250"/>
    </row>
    <row r="16" spans="1:7" s="223" customFormat="1" ht="12.75" customHeight="1" x14ac:dyDescent="0.25">
      <c r="A16" s="246"/>
      <c r="B16" s="247"/>
      <c r="C16" s="249"/>
      <c r="D16" s="252"/>
      <c r="E16" s="252"/>
      <c r="F16" s="251"/>
      <c r="G16" s="250"/>
    </row>
    <row r="17" spans="1:7" ht="24" customHeight="1" thickBot="1" x14ac:dyDescent="0.3">
      <c r="A17" s="25"/>
      <c r="B17" s="26" t="s">
        <v>12</v>
      </c>
      <c r="C17" s="27">
        <f>SUM(C8:C16)</f>
        <v>955000</v>
      </c>
      <c r="D17" s="27">
        <f>SUM(D8:D16)</f>
        <v>899595.47</v>
      </c>
      <c r="E17" s="27">
        <f>SUM(E8:E16)</f>
        <v>623534.77</v>
      </c>
      <c r="F17" s="27">
        <f>SUM(D17-E17)</f>
        <v>276060.69999999995</v>
      </c>
      <c r="G17" s="27">
        <f>C8-D17</f>
        <v>55404.530000000028</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994ED-E132-4047-A9D9-F00BC6659D99}">
  <sheetPr>
    <tabColor rgb="FF0070C0"/>
    <pageSetUpPr fitToPage="1"/>
  </sheetPr>
  <dimension ref="A1:I129"/>
  <sheetViews>
    <sheetView topLeftCell="A8" zoomScaleNormal="100" workbookViewId="0">
      <selection activeCell="C36" sqref="C36"/>
    </sheetView>
  </sheetViews>
  <sheetFormatPr defaultColWidth="11.42578125" defaultRowHeight="15" customHeight="1" x14ac:dyDescent="0.25"/>
  <cols>
    <col min="1" max="1" width="24.5703125" style="274" customWidth="1"/>
    <col min="2" max="2" width="9.42578125" style="274" customWidth="1"/>
    <col min="3" max="3" width="26.5703125" style="274" customWidth="1"/>
    <col min="4" max="4" width="14.42578125" style="274" customWidth="1"/>
    <col min="5" max="5" width="13.5703125" style="274" customWidth="1"/>
    <col min="6" max="6" width="12.42578125" style="274" customWidth="1"/>
    <col min="7" max="7" width="10.5703125" style="274" customWidth="1"/>
    <col min="8" max="8" width="12.5703125" style="274" customWidth="1"/>
    <col min="9" max="9" width="6.140625" style="274" bestFit="1"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#9502.00'!B1</f>
        <v>DOC MPCF Hot and Cold Water Mains Replacement</v>
      </c>
      <c r="B1" s="30"/>
      <c r="C1" s="153"/>
      <c r="D1" s="153"/>
      <c r="E1" s="153"/>
      <c r="F1" s="156"/>
      <c r="G1" s="156"/>
      <c r="H1" s="179"/>
      <c r="I1" s="179"/>
    </row>
    <row r="2" spans="1:9" ht="15.75" x14ac:dyDescent="0.25">
      <c r="A2" s="31" t="str">
        <f>'RECAP #9502.00'!B2</f>
        <v>Project # 9502.00</v>
      </c>
      <c r="B2" s="150"/>
      <c r="C2" s="153"/>
      <c r="D2" s="153"/>
      <c r="E2" s="153"/>
      <c r="F2" s="156"/>
      <c r="G2" s="156"/>
      <c r="H2" s="179"/>
      <c r="I2" s="179"/>
    </row>
    <row r="3" spans="1:9" ht="15.75" x14ac:dyDescent="0.25">
      <c r="A3" s="154" t="str">
        <f>'RECAP #9502.00'!B3</f>
        <v>Program code 950200</v>
      </c>
      <c r="B3" s="150"/>
      <c r="C3" s="153"/>
      <c r="D3" s="155" t="str">
        <f>'RECAP #9502.00'!E3</f>
        <v>Major Program 4F04</v>
      </c>
      <c r="E3" s="153"/>
      <c r="F3" s="156"/>
      <c r="G3" s="156"/>
      <c r="H3" s="179"/>
      <c r="I3" s="179"/>
    </row>
    <row r="4" spans="1:9" ht="15.75" x14ac:dyDescent="0.25">
      <c r="A4" s="30" t="s">
        <v>253</v>
      </c>
      <c r="B4" s="31"/>
      <c r="C4" s="179"/>
      <c r="D4" s="180" t="s">
        <v>254</v>
      </c>
      <c r="E4" s="156"/>
      <c r="F4" s="156"/>
      <c r="G4" s="156"/>
      <c r="H4" s="179"/>
      <c r="I4" s="179"/>
    </row>
    <row r="5" spans="1:9" ht="15.75" x14ac:dyDescent="0.25">
      <c r="A5" s="181" t="s">
        <v>104</v>
      </c>
      <c r="B5" s="179"/>
      <c r="C5" s="182"/>
      <c r="D5" s="37" t="s">
        <v>255</v>
      </c>
      <c r="E5" s="42"/>
      <c r="F5" s="156"/>
      <c r="G5" s="156"/>
      <c r="H5" s="179"/>
      <c r="I5" s="179"/>
    </row>
    <row r="6" spans="1:9" ht="15.75" x14ac:dyDescent="0.25">
      <c r="A6" s="31" t="str">
        <f>'RECAP #9502.00'!B6</f>
        <v>Project Manager - Brandon A.</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252</v>
      </c>
      <c r="B9" s="276">
        <v>45936</v>
      </c>
      <c r="C9" s="277" t="s">
        <v>109</v>
      </c>
      <c r="D9" s="278">
        <v>15742.15</v>
      </c>
      <c r="E9" s="279">
        <f>D9</f>
        <v>15742.15</v>
      </c>
      <c r="F9" s="280"/>
      <c r="G9" s="280"/>
      <c r="H9" s="280">
        <f>E9</f>
        <v>15742.15</v>
      </c>
      <c r="I9" s="281"/>
    </row>
    <row r="10" spans="1:9" s="282" customFormat="1" ht="12.75" customHeight="1" x14ac:dyDescent="0.25">
      <c r="A10" s="275" t="s">
        <v>312</v>
      </c>
      <c r="B10" s="283">
        <v>45967</v>
      </c>
      <c r="C10" s="277" t="s">
        <v>313</v>
      </c>
      <c r="D10" s="279"/>
      <c r="E10" s="279">
        <f t="shared" ref="E10:E21" si="0">E9+D10</f>
        <v>15742.15</v>
      </c>
      <c r="F10" s="284">
        <v>1561.41</v>
      </c>
      <c r="G10" s="280">
        <f t="shared" ref="G10:G21" si="1">G9+F10</f>
        <v>1561.41</v>
      </c>
      <c r="H10" s="280">
        <f t="shared" ref="H10:H21" si="2">H9-F10+D10</f>
        <v>14180.74</v>
      </c>
      <c r="I10" s="281"/>
    </row>
    <row r="11" spans="1:9" s="282" customFormat="1" ht="12.75" customHeight="1" x14ac:dyDescent="0.25">
      <c r="A11" s="275" t="s">
        <v>355</v>
      </c>
      <c r="B11" s="276">
        <v>46001</v>
      </c>
      <c r="C11" s="277" t="s">
        <v>356</v>
      </c>
      <c r="D11" s="279"/>
      <c r="E11" s="279">
        <f t="shared" si="0"/>
        <v>15742.15</v>
      </c>
      <c r="F11" s="284">
        <v>2989.96</v>
      </c>
      <c r="G11" s="280">
        <f t="shared" si="1"/>
        <v>4551.37</v>
      </c>
      <c r="H11" s="280">
        <f t="shared" si="2"/>
        <v>11190.779999999999</v>
      </c>
      <c r="I11" s="281"/>
    </row>
    <row r="12" spans="1:9" s="282" customFormat="1" ht="12.75" customHeight="1" x14ac:dyDescent="0.25">
      <c r="A12" s="275" t="s">
        <v>416</v>
      </c>
      <c r="B12" s="276">
        <v>46034</v>
      </c>
      <c r="C12" s="277" t="s">
        <v>417</v>
      </c>
      <c r="D12" s="279"/>
      <c r="E12" s="279">
        <f t="shared" si="0"/>
        <v>15742.15</v>
      </c>
      <c r="F12" s="284">
        <v>2440.91</v>
      </c>
      <c r="G12" s="280">
        <f t="shared" si="1"/>
        <v>6992.28</v>
      </c>
      <c r="H12" s="280">
        <f t="shared" si="2"/>
        <v>8749.869999999999</v>
      </c>
      <c r="I12" s="281"/>
    </row>
    <row r="13" spans="1:9" s="282" customFormat="1" ht="12.75" customHeight="1" x14ac:dyDescent="0.25">
      <c r="A13" s="275" t="s">
        <v>565</v>
      </c>
      <c r="B13" s="276">
        <v>46069</v>
      </c>
      <c r="C13" s="277" t="s">
        <v>566</v>
      </c>
      <c r="D13" s="279"/>
      <c r="E13" s="279">
        <f t="shared" si="0"/>
        <v>15742.15</v>
      </c>
      <c r="F13" s="284">
        <v>3461.18</v>
      </c>
      <c r="G13" s="280">
        <f t="shared" si="1"/>
        <v>10453.459999999999</v>
      </c>
      <c r="H13" s="280">
        <f t="shared" si="2"/>
        <v>5288.6899999999987</v>
      </c>
      <c r="I13" s="281"/>
    </row>
    <row r="14" spans="1:9" s="282" customFormat="1" ht="12.75" customHeight="1" x14ac:dyDescent="0.25">
      <c r="A14" s="275" t="s">
        <v>691</v>
      </c>
      <c r="B14" s="276">
        <v>46104</v>
      </c>
      <c r="C14" s="277" t="s">
        <v>692</v>
      </c>
      <c r="D14" s="285">
        <v>-1900.31</v>
      </c>
      <c r="E14" s="279">
        <f t="shared" si="0"/>
        <v>13841.84</v>
      </c>
      <c r="F14" s="284">
        <v>3388.38</v>
      </c>
      <c r="G14" s="280">
        <f t="shared" si="1"/>
        <v>13841.84</v>
      </c>
      <c r="H14" s="280">
        <f t="shared" si="2"/>
        <v>0</v>
      </c>
      <c r="I14" s="281"/>
    </row>
    <row r="15" spans="1:9" s="282" customFormat="1" ht="12.75" customHeight="1" x14ac:dyDescent="0.25">
      <c r="A15" s="275"/>
      <c r="B15" s="276"/>
      <c r="C15" s="277"/>
      <c r="D15" s="279"/>
      <c r="E15" s="279">
        <f t="shared" si="0"/>
        <v>13841.84</v>
      </c>
      <c r="F15" s="284"/>
      <c r="G15" s="280">
        <f t="shared" si="1"/>
        <v>13841.84</v>
      </c>
      <c r="H15" s="280">
        <f t="shared" si="2"/>
        <v>0</v>
      </c>
      <c r="I15" s="281"/>
    </row>
    <row r="16" spans="1:9" s="282" customFormat="1" ht="12.75" customHeight="1" x14ac:dyDescent="0.25">
      <c r="A16" s="275"/>
      <c r="B16" s="276"/>
      <c r="C16" s="277"/>
      <c r="D16" s="279"/>
      <c r="E16" s="279">
        <f t="shared" si="0"/>
        <v>13841.84</v>
      </c>
      <c r="F16" s="284"/>
      <c r="G16" s="280">
        <f t="shared" si="1"/>
        <v>13841.84</v>
      </c>
      <c r="H16" s="280">
        <f t="shared" si="2"/>
        <v>0</v>
      </c>
      <c r="I16" s="281"/>
    </row>
    <row r="17" spans="1:9" s="282" customFormat="1" ht="12.75" customHeight="1" x14ac:dyDescent="0.25">
      <c r="A17" s="275"/>
      <c r="B17" s="276"/>
      <c r="C17" s="277"/>
      <c r="D17" s="279"/>
      <c r="E17" s="279">
        <f t="shared" si="0"/>
        <v>13841.84</v>
      </c>
      <c r="F17" s="284"/>
      <c r="G17" s="280">
        <f t="shared" si="1"/>
        <v>13841.84</v>
      </c>
      <c r="H17" s="280">
        <f t="shared" si="2"/>
        <v>0</v>
      </c>
      <c r="I17" s="281"/>
    </row>
    <row r="18" spans="1:9" s="282" customFormat="1" ht="12.75" customHeight="1" x14ac:dyDescent="0.25">
      <c r="A18" s="275"/>
      <c r="B18" s="276"/>
      <c r="C18" s="277"/>
      <c r="D18" s="279"/>
      <c r="E18" s="279">
        <f t="shared" si="0"/>
        <v>13841.84</v>
      </c>
      <c r="F18" s="284"/>
      <c r="G18" s="280">
        <f t="shared" si="1"/>
        <v>13841.84</v>
      </c>
      <c r="H18" s="280">
        <f t="shared" si="2"/>
        <v>0</v>
      </c>
      <c r="I18" s="281"/>
    </row>
    <row r="19" spans="1:9" s="282" customFormat="1" ht="12.75" customHeight="1" x14ac:dyDescent="0.25">
      <c r="A19" s="275"/>
      <c r="B19" s="276"/>
      <c r="C19" s="277"/>
      <c r="D19" s="279"/>
      <c r="E19" s="279">
        <f t="shared" si="0"/>
        <v>13841.84</v>
      </c>
      <c r="F19" s="280"/>
      <c r="G19" s="280">
        <f t="shared" si="1"/>
        <v>13841.84</v>
      </c>
      <c r="H19" s="280">
        <f t="shared" si="2"/>
        <v>0</v>
      </c>
      <c r="I19" s="281"/>
    </row>
    <row r="20" spans="1:9" s="282" customFormat="1" ht="12.75" customHeight="1" x14ac:dyDescent="0.25">
      <c r="A20" s="275"/>
      <c r="B20" s="276"/>
      <c r="C20" s="277"/>
      <c r="D20" s="279"/>
      <c r="E20" s="279">
        <f t="shared" si="0"/>
        <v>13841.84</v>
      </c>
      <c r="F20" s="280"/>
      <c r="G20" s="280">
        <f t="shared" si="1"/>
        <v>13841.84</v>
      </c>
      <c r="H20" s="280">
        <f t="shared" si="2"/>
        <v>0</v>
      </c>
      <c r="I20" s="281"/>
    </row>
    <row r="21" spans="1:9" s="282" customFormat="1" ht="12.75" customHeight="1" x14ac:dyDescent="0.25">
      <c r="A21" s="275"/>
      <c r="B21" s="276"/>
      <c r="C21" s="286"/>
      <c r="D21" s="279"/>
      <c r="E21" s="279">
        <f t="shared" si="0"/>
        <v>13841.84</v>
      </c>
      <c r="F21" s="280"/>
      <c r="G21" s="280">
        <f t="shared" si="1"/>
        <v>13841.84</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13841.84</v>
      </c>
      <c r="E23" s="290"/>
      <c r="F23" s="290">
        <f>SUM(F9:F22)</f>
        <v>13841.84</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f>15042.15-1760.31</f>
        <v>13281.84</v>
      </c>
      <c r="E26" s="292"/>
      <c r="F26" s="292">
        <f>1421.41+2849.96+2160.91+3461.18+3388.38</f>
        <v>13281.84</v>
      </c>
      <c r="G26" s="292"/>
      <c r="H26" s="292">
        <f>D26-F26</f>
        <v>0</v>
      </c>
      <c r="I26" s="281"/>
    </row>
    <row r="27" spans="1:9" s="282" customFormat="1" ht="12.75" customHeight="1" x14ac:dyDescent="0.25">
      <c r="A27" s="275"/>
      <c r="B27" s="277"/>
      <c r="C27" s="287" t="s">
        <v>111</v>
      </c>
      <c r="D27" s="292">
        <f>700-140</f>
        <v>560</v>
      </c>
      <c r="E27" s="292"/>
      <c r="F27" s="292">
        <f>140+140+280</f>
        <v>560</v>
      </c>
      <c r="G27" s="292"/>
      <c r="H27" s="292">
        <f>D27-F27</f>
        <v>0</v>
      </c>
      <c r="I27" s="281"/>
    </row>
    <row r="28" spans="1:9" s="282" customFormat="1" ht="12.75" customHeight="1" thickBot="1" x14ac:dyDescent="0.3">
      <c r="A28" s="275"/>
      <c r="B28" s="277"/>
      <c r="C28" s="293" t="s">
        <v>67</v>
      </c>
      <c r="D28" s="290">
        <f>SUM(D26:D27)</f>
        <v>13841.84</v>
      </c>
      <c r="E28" s="294"/>
      <c r="F28" s="290">
        <f>SUM(F26:F27)</f>
        <v>13841.84</v>
      </c>
      <c r="G28" s="294"/>
      <c r="H28" s="290">
        <f>SUM(H26:H27)</f>
        <v>0</v>
      </c>
      <c r="I28" s="281"/>
    </row>
    <row r="29" spans="1:9" s="282" customFormat="1" ht="12.75" customHeight="1" thickTop="1" x14ac:dyDescent="0.25"/>
    <row r="30" spans="1:9" s="282" customFormat="1" ht="12.75" customHeight="1" x14ac:dyDescent="0.25"/>
    <row r="31" spans="1:9" s="282" customFormat="1" ht="12.75" customHeight="1" x14ac:dyDescent="0.25"/>
    <row r="32" spans="1:9" s="282" customFormat="1" ht="12.75" customHeight="1" x14ac:dyDescent="0.25"/>
    <row r="33" s="282" customFormat="1" ht="12.75" customHeight="1" x14ac:dyDescent="0.25"/>
    <row r="34" s="282" customFormat="1" ht="12.75" customHeight="1" x14ac:dyDescent="0.25"/>
    <row r="35" s="282" customFormat="1" ht="12.75" customHeight="1" x14ac:dyDescent="0.25"/>
    <row r="36" s="282" customFormat="1" ht="12.75" customHeight="1" x14ac:dyDescent="0.25"/>
    <row r="37" s="282" customFormat="1" ht="12.75" customHeight="1" x14ac:dyDescent="0.25"/>
    <row r="38" s="282" customFormat="1" ht="12.75" customHeight="1" x14ac:dyDescent="0.25"/>
    <row r="39" s="282" customFormat="1" ht="12.75" customHeight="1" x14ac:dyDescent="0.25"/>
    <row r="40" s="282" customFormat="1" ht="12.75" customHeight="1" x14ac:dyDescent="0.25"/>
    <row r="41" s="282" customFormat="1" ht="12.75" customHeight="1" x14ac:dyDescent="0.25"/>
    <row r="42" s="282" customFormat="1" ht="12.75" customHeight="1" x14ac:dyDescent="0.25"/>
    <row r="43" s="282" customFormat="1" ht="12.75" customHeight="1" x14ac:dyDescent="0.25"/>
    <row r="44" s="282" customFormat="1" ht="12.75" customHeight="1" x14ac:dyDescent="0.25"/>
    <row r="45" s="282" customFormat="1" ht="12.75" customHeight="1" x14ac:dyDescent="0.25"/>
    <row r="46" s="282" customFormat="1" ht="12.75" customHeight="1" x14ac:dyDescent="0.25"/>
    <row r="47" s="282" customFormat="1" ht="12.75" customHeight="1" x14ac:dyDescent="0.25"/>
    <row r="48" s="282" customFormat="1" ht="12.75" customHeight="1" x14ac:dyDescent="0.25"/>
    <row r="49" s="282" customFormat="1" ht="12.75" customHeight="1" x14ac:dyDescent="0.25"/>
    <row r="50" s="282" customFormat="1" ht="12.75" customHeight="1" x14ac:dyDescent="0.25"/>
    <row r="51" s="282" customFormat="1" ht="12.75" customHeight="1" x14ac:dyDescent="0.25"/>
    <row r="52" s="282" customFormat="1" ht="12.75" customHeight="1" x14ac:dyDescent="0.25"/>
    <row r="53" s="282" customFormat="1" ht="12.75" customHeight="1" x14ac:dyDescent="0.25"/>
    <row r="54" s="282" customFormat="1" ht="12.75" customHeight="1" x14ac:dyDescent="0.25"/>
    <row r="55" s="282" customFormat="1" ht="12.75" customHeight="1" x14ac:dyDescent="0.25"/>
    <row r="56" s="282" customFormat="1" ht="12.75" customHeight="1" x14ac:dyDescent="0.25"/>
    <row r="57" s="282" customFormat="1" ht="12.75" customHeight="1" x14ac:dyDescent="0.25"/>
    <row r="58" s="282" customFormat="1" ht="12.75" customHeight="1" x14ac:dyDescent="0.25"/>
    <row r="59" s="282" customFormat="1" ht="12.75" customHeight="1" x14ac:dyDescent="0.25"/>
    <row r="60" s="282" customFormat="1" ht="12.75" customHeight="1" x14ac:dyDescent="0.25"/>
    <row r="61" s="282" customFormat="1" ht="12.75" customHeight="1" x14ac:dyDescent="0.25"/>
    <row r="62" s="282" customFormat="1" ht="12.75" customHeight="1" x14ac:dyDescent="0.25"/>
    <row r="63" s="282" customFormat="1" ht="12.75" customHeight="1" x14ac:dyDescent="0.25"/>
    <row r="64" s="282" customFormat="1" ht="12.75" customHeight="1" x14ac:dyDescent="0.25"/>
    <row r="65" s="282" customFormat="1" ht="12.75" customHeight="1" x14ac:dyDescent="0.25"/>
    <row r="66" s="282" customFormat="1" ht="12.75" customHeight="1" x14ac:dyDescent="0.25"/>
    <row r="67" s="282" customFormat="1" ht="12.75" customHeight="1" x14ac:dyDescent="0.25"/>
    <row r="68" s="282" customFormat="1" ht="12.75" customHeight="1" x14ac:dyDescent="0.25"/>
    <row r="69" s="282" customFormat="1" ht="12.75" customHeight="1" x14ac:dyDescent="0.25"/>
    <row r="70" s="282" customFormat="1" ht="12.75" customHeight="1" x14ac:dyDescent="0.25"/>
    <row r="71" s="282" customFormat="1" ht="12.75" customHeight="1" x14ac:dyDescent="0.25"/>
    <row r="72" s="282" customFormat="1" ht="12.75" customHeight="1" x14ac:dyDescent="0.25"/>
    <row r="73" s="282" customFormat="1" ht="12.75" customHeight="1" x14ac:dyDescent="0.25"/>
    <row r="74" s="282" customFormat="1" ht="12.75" customHeight="1" x14ac:dyDescent="0.25"/>
    <row r="75" s="282" customFormat="1" ht="12.75" customHeight="1" x14ac:dyDescent="0.25"/>
    <row r="76" s="282" customFormat="1" ht="12.75" customHeight="1" x14ac:dyDescent="0.25"/>
    <row r="77" s="282" customFormat="1" ht="12.75" customHeight="1" x14ac:dyDescent="0.25"/>
    <row r="78" s="282" customFormat="1" ht="12.75" customHeight="1" x14ac:dyDescent="0.25"/>
    <row r="79" s="282" customFormat="1" ht="12.75" customHeight="1" x14ac:dyDescent="0.25"/>
    <row r="80" s="282" customFormat="1" ht="12.75" customHeight="1" x14ac:dyDescent="0.25"/>
    <row r="81" s="282" customFormat="1" ht="12.75" customHeight="1" x14ac:dyDescent="0.25"/>
    <row r="82" s="282" customFormat="1" ht="12.75" customHeight="1" x14ac:dyDescent="0.25"/>
    <row r="83" s="282" customFormat="1" ht="12.75" customHeight="1" x14ac:dyDescent="0.25"/>
    <row r="84" s="282" customFormat="1" ht="12.75" customHeight="1" x14ac:dyDescent="0.25"/>
    <row r="85" s="282" customFormat="1" ht="12.75" customHeight="1" x14ac:dyDescent="0.25"/>
    <row r="86" s="282" customFormat="1" ht="12.75" customHeight="1" x14ac:dyDescent="0.25"/>
    <row r="87" s="282" customFormat="1" ht="12.75" customHeight="1" x14ac:dyDescent="0.25"/>
    <row r="88" s="282" customFormat="1" ht="12.75" customHeight="1" x14ac:dyDescent="0.25"/>
    <row r="89" s="282" customFormat="1" ht="12.75" customHeight="1" x14ac:dyDescent="0.25"/>
    <row r="90" s="282" customFormat="1" ht="12.75" customHeight="1" x14ac:dyDescent="0.25"/>
    <row r="91" s="282" customFormat="1" ht="12.75" customHeight="1" x14ac:dyDescent="0.25"/>
    <row r="92" s="282" customFormat="1" ht="12.75" customHeight="1" x14ac:dyDescent="0.25"/>
    <row r="93" s="282" customFormat="1" ht="12.75" customHeight="1" x14ac:dyDescent="0.25"/>
    <row r="94" s="282" customFormat="1"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01E09-7EF1-41F0-9BD4-4C474EE0E2E9}">
  <sheetPr>
    <pageSetUpPr fitToPage="1"/>
  </sheetPr>
  <dimension ref="A1:J40"/>
  <sheetViews>
    <sheetView topLeftCell="A11" zoomScaleNormal="100" workbookViewId="0">
      <selection activeCell="D42" sqref="D42"/>
    </sheetView>
  </sheetViews>
  <sheetFormatPr defaultColWidth="11.42578125" defaultRowHeight="15" customHeight="1" x14ac:dyDescent="0.25"/>
  <cols>
    <col min="1" max="1" width="24.5703125" customWidth="1"/>
    <col min="2" max="3" width="9.42578125" customWidth="1"/>
    <col min="4" max="4" width="41.5703125" customWidth="1"/>
    <col min="5" max="5" width="11.85546875" customWidth="1"/>
    <col min="6" max="6" width="13.5703125" customWidth="1"/>
    <col min="7" max="7" width="12.42578125" customWidth="1"/>
    <col min="8" max="8" width="10.5703125" customWidth="1"/>
    <col min="9" max="9" width="16.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#9502.00'!B1</f>
        <v>DOC MPCF Hot and Cold Water Mains Replacement</v>
      </c>
      <c r="B1" s="3"/>
      <c r="C1" s="3"/>
      <c r="D1" s="4"/>
      <c r="E1" s="4"/>
      <c r="F1" s="4"/>
      <c r="G1" s="28"/>
      <c r="H1" s="28"/>
      <c r="I1" s="29"/>
      <c r="J1" s="29"/>
    </row>
    <row r="2" spans="1:10" ht="15.75" x14ac:dyDescent="0.25">
      <c r="A2" s="6" t="str">
        <f>'RECAP #9502.00'!B2</f>
        <v>Project # 9502.00</v>
      </c>
      <c r="B2" s="5"/>
      <c r="C2" s="5"/>
      <c r="D2" s="4"/>
      <c r="E2" s="4"/>
      <c r="F2" s="4"/>
      <c r="G2" s="28"/>
      <c r="H2" s="28"/>
      <c r="I2" s="29"/>
      <c r="J2" s="29"/>
    </row>
    <row r="3" spans="1:10" ht="15.75" x14ac:dyDescent="0.25">
      <c r="A3" s="7" t="str">
        <f>'RECAP #9502.00'!B3</f>
        <v>Program code 950200</v>
      </c>
      <c r="B3" s="5"/>
      <c r="C3" s="5"/>
      <c r="D3" s="4"/>
      <c r="E3" s="8" t="str">
        <f>'RECAP #9502.00'!E3</f>
        <v>Major Program 4F04</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238</v>
      </c>
      <c r="F6" s="42"/>
      <c r="G6" s="43"/>
      <c r="H6" s="39"/>
      <c r="I6" s="35"/>
      <c r="J6" s="29"/>
    </row>
    <row r="7" spans="1:10" ht="15.75" x14ac:dyDescent="0.25">
      <c r="A7" s="11" t="str">
        <f>'RECAP #9502.00'!B6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f>20000+5000</f>
        <v>25000</v>
      </c>
      <c r="F9" s="233">
        <f>E9</f>
        <v>25000</v>
      </c>
      <c r="G9" s="234"/>
      <c r="H9" s="234"/>
      <c r="I9" s="234">
        <f>F9</f>
        <v>25000</v>
      </c>
      <c r="J9" s="235"/>
    </row>
    <row r="10" spans="1:10" s="223" customFormat="1" ht="12.75" customHeight="1" x14ac:dyDescent="0.25">
      <c r="A10" s="176" t="s">
        <v>260</v>
      </c>
      <c r="B10" s="177">
        <v>45937</v>
      </c>
      <c r="C10" s="241" t="s">
        <v>261</v>
      </c>
      <c r="D10" s="148" t="s">
        <v>262</v>
      </c>
      <c r="E10" s="233"/>
      <c r="F10" s="233">
        <f t="shared" ref="F10:F37" si="0">F9+E10</f>
        <v>25000</v>
      </c>
      <c r="G10" s="237">
        <v>66.83</v>
      </c>
      <c r="H10" s="234">
        <f t="shared" ref="H10:H37" si="1">H9+G10</f>
        <v>66.83</v>
      </c>
      <c r="I10" s="234">
        <f t="shared" ref="I10:I37" si="2">I9-G10+E10</f>
        <v>24933.17</v>
      </c>
      <c r="J10" s="235"/>
    </row>
    <row r="11" spans="1:10" s="223" customFormat="1" ht="12.75" customHeight="1" x14ac:dyDescent="0.25">
      <c r="A11" s="176" t="s">
        <v>260</v>
      </c>
      <c r="B11" s="177">
        <v>45937</v>
      </c>
      <c r="C11" s="241">
        <v>9500</v>
      </c>
      <c r="D11" s="149" t="s">
        <v>263</v>
      </c>
      <c r="E11" s="233"/>
      <c r="F11" s="233">
        <f t="shared" si="0"/>
        <v>25000</v>
      </c>
      <c r="G11" s="237">
        <v>345.2</v>
      </c>
      <c r="H11" s="234">
        <f t="shared" si="1"/>
        <v>412.03</v>
      </c>
      <c r="I11" s="234">
        <f t="shared" si="2"/>
        <v>24587.969999999998</v>
      </c>
      <c r="J11" s="235"/>
    </row>
    <row r="12" spans="1:10" s="223" customFormat="1" ht="12.75" customHeight="1" x14ac:dyDescent="0.25">
      <c r="A12" s="176" t="s">
        <v>314</v>
      </c>
      <c r="B12" s="177">
        <v>45968</v>
      </c>
      <c r="C12" s="241" t="s">
        <v>261</v>
      </c>
      <c r="D12" s="148" t="s">
        <v>315</v>
      </c>
      <c r="E12" s="233"/>
      <c r="F12" s="233">
        <f t="shared" si="0"/>
        <v>25000</v>
      </c>
      <c r="G12" s="237">
        <v>49.36</v>
      </c>
      <c r="H12" s="234">
        <f t="shared" si="1"/>
        <v>461.39</v>
      </c>
      <c r="I12" s="234">
        <f t="shared" si="2"/>
        <v>24538.609999999997</v>
      </c>
      <c r="J12" s="235"/>
    </row>
    <row r="13" spans="1:10" s="223" customFormat="1" ht="12.75" customHeight="1" x14ac:dyDescent="0.25">
      <c r="A13" s="176" t="s">
        <v>314</v>
      </c>
      <c r="B13" s="177">
        <v>45968</v>
      </c>
      <c r="C13" s="241">
        <v>9500</v>
      </c>
      <c r="D13" s="149" t="s">
        <v>316</v>
      </c>
      <c r="E13" s="233"/>
      <c r="F13" s="233">
        <f t="shared" si="0"/>
        <v>25000</v>
      </c>
      <c r="G13" s="237">
        <v>1932.7</v>
      </c>
      <c r="H13" s="234">
        <f t="shared" si="1"/>
        <v>2394.09</v>
      </c>
      <c r="I13" s="234">
        <f t="shared" si="2"/>
        <v>22605.909999999996</v>
      </c>
      <c r="J13" s="235"/>
    </row>
    <row r="14" spans="1:10" s="223" customFormat="1" ht="12.75" customHeight="1" x14ac:dyDescent="0.2">
      <c r="A14" s="70" t="s">
        <v>364</v>
      </c>
      <c r="B14" s="50">
        <v>45996</v>
      </c>
      <c r="C14" s="53" t="s">
        <v>261</v>
      </c>
      <c r="D14" s="144" t="s">
        <v>365</v>
      </c>
      <c r="E14" s="233"/>
      <c r="F14" s="233">
        <f t="shared" si="0"/>
        <v>25000</v>
      </c>
      <c r="G14" s="237">
        <v>464.91</v>
      </c>
      <c r="H14" s="234">
        <f t="shared" si="1"/>
        <v>2859</v>
      </c>
      <c r="I14" s="234">
        <f t="shared" si="2"/>
        <v>22140.999999999996</v>
      </c>
      <c r="J14" s="235"/>
    </row>
    <row r="15" spans="1:10" s="223" customFormat="1" ht="12.75" customHeight="1" x14ac:dyDescent="0.2">
      <c r="A15" s="70" t="s">
        <v>364</v>
      </c>
      <c r="B15" s="50">
        <v>45996</v>
      </c>
      <c r="C15" s="268">
        <v>9500</v>
      </c>
      <c r="D15" s="66" t="s">
        <v>366</v>
      </c>
      <c r="E15" s="233"/>
      <c r="F15" s="233">
        <f t="shared" si="0"/>
        <v>25000</v>
      </c>
      <c r="G15" s="237">
        <v>2160.1</v>
      </c>
      <c r="H15" s="234">
        <f t="shared" si="1"/>
        <v>5019.1000000000004</v>
      </c>
      <c r="I15" s="234">
        <f t="shared" si="2"/>
        <v>19980.899999999998</v>
      </c>
      <c r="J15" s="235"/>
    </row>
    <row r="16" spans="1:10" s="223" customFormat="1" ht="12.75" customHeight="1" x14ac:dyDescent="0.2">
      <c r="A16" s="70" t="s">
        <v>423</v>
      </c>
      <c r="B16" s="50">
        <v>46030</v>
      </c>
      <c r="C16" s="53" t="s">
        <v>261</v>
      </c>
      <c r="D16" s="144" t="s">
        <v>424</v>
      </c>
      <c r="E16" s="233"/>
      <c r="F16" s="233">
        <f t="shared" si="0"/>
        <v>25000</v>
      </c>
      <c r="G16" s="237">
        <v>208.86</v>
      </c>
      <c r="H16" s="234">
        <f t="shared" si="1"/>
        <v>5227.96</v>
      </c>
      <c r="I16" s="234">
        <f t="shared" si="2"/>
        <v>19772.039999999997</v>
      </c>
      <c r="J16" s="235"/>
    </row>
    <row r="17" spans="1:10" s="223" customFormat="1" ht="12.75" customHeight="1" x14ac:dyDescent="0.2">
      <c r="A17" s="70" t="s">
        <v>423</v>
      </c>
      <c r="B17" s="50">
        <v>46030</v>
      </c>
      <c r="C17" s="268">
        <v>9500</v>
      </c>
      <c r="D17" s="66" t="s">
        <v>425</v>
      </c>
      <c r="E17" s="233"/>
      <c r="F17" s="233">
        <f t="shared" si="0"/>
        <v>25000</v>
      </c>
      <c r="G17" s="237">
        <v>2371.8000000000002</v>
      </c>
      <c r="H17" s="234">
        <f t="shared" si="1"/>
        <v>7599.76</v>
      </c>
      <c r="I17" s="234">
        <f t="shared" si="2"/>
        <v>17400.239999999998</v>
      </c>
      <c r="J17" s="235"/>
    </row>
    <row r="18" spans="1:10" s="223" customFormat="1" ht="12.75" customHeight="1" x14ac:dyDescent="0.2">
      <c r="A18" s="70" t="s">
        <v>548</v>
      </c>
      <c r="B18" s="50">
        <v>46062</v>
      </c>
      <c r="C18" s="53" t="s">
        <v>261</v>
      </c>
      <c r="D18" s="144" t="s">
        <v>549</v>
      </c>
      <c r="E18" s="233"/>
      <c r="F18" s="233">
        <f t="shared" si="0"/>
        <v>25000</v>
      </c>
      <c r="G18" s="237">
        <v>181.29</v>
      </c>
      <c r="H18" s="234">
        <f t="shared" si="1"/>
        <v>7781.05</v>
      </c>
      <c r="I18" s="234">
        <f t="shared" si="2"/>
        <v>17218.949999999997</v>
      </c>
      <c r="J18" s="235"/>
    </row>
    <row r="19" spans="1:10" s="223" customFormat="1" ht="12.75" customHeight="1" x14ac:dyDescent="0.2">
      <c r="A19" s="70" t="s">
        <v>548</v>
      </c>
      <c r="B19" s="50">
        <v>46062</v>
      </c>
      <c r="C19" s="268">
        <v>9500</v>
      </c>
      <c r="D19" s="66" t="s">
        <v>550</v>
      </c>
      <c r="E19" s="233"/>
      <c r="F19" s="233">
        <f t="shared" si="0"/>
        <v>25000</v>
      </c>
      <c r="G19" s="237">
        <v>2255.4</v>
      </c>
      <c r="H19" s="234">
        <f t="shared" si="1"/>
        <v>10036.450000000001</v>
      </c>
      <c r="I19" s="234">
        <f t="shared" si="2"/>
        <v>14963.549999999997</v>
      </c>
      <c r="J19" s="235"/>
    </row>
    <row r="20" spans="1:10" s="223" customFormat="1" ht="12.75" customHeight="1" x14ac:dyDescent="0.2">
      <c r="A20" s="70" t="s">
        <v>644</v>
      </c>
      <c r="B20" s="50">
        <v>46090</v>
      </c>
      <c r="C20" s="53" t="s">
        <v>261</v>
      </c>
      <c r="D20" s="144" t="s">
        <v>645</v>
      </c>
      <c r="E20" s="233"/>
      <c r="F20" s="233">
        <f t="shared" si="0"/>
        <v>25000</v>
      </c>
      <c r="G20" s="237">
        <v>233.73</v>
      </c>
      <c r="H20" s="234">
        <f t="shared" si="1"/>
        <v>10270.18</v>
      </c>
      <c r="I20" s="234">
        <f t="shared" si="2"/>
        <v>14729.819999999998</v>
      </c>
      <c r="J20" s="235"/>
    </row>
    <row r="21" spans="1:10" s="223" customFormat="1" ht="12.75" customHeight="1" x14ac:dyDescent="0.2">
      <c r="A21" s="70" t="s">
        <v>644</v>
      </c>
      <c r="B21" s="50">
        <v>46090</v>
      </c>
      <c r="C21" s="268">
        <v>9500</v>
      </c>
      <c r="D21" s="66" t="s">
        <v>646</v>
      </c>
      <c r="E21" s="233"/>
      <c r="F21" s="233">
        <f t="shared" si="0"/>
        <v>25000</v>
      </c>
      <c r="G21" s="237">
        <v>2690</v>
      </c>
      <c r="H21" s="234">
        <f t="shared" si="1"/>
        <v>12960.18</v>
      </c>
      <c r="I21" s="234">
        <f t="shared" si="2"/>
        <v>12039.819999999998</v>
      </c>
      <c r="J21" s="235"/>
    </row>
    <row r="22" spans="1:10" s="223" customFormat="1" ht="12.75" customHeight="1" x14ac:dyDescent="0.2">
      <c r="A22" s="70" t="s">
        <v>744</v>
      </c>
      <c r="B22" s="50">
        <v>46118</v>
      </c>
      <c r="C22" s="53" t="s">
        <v>261</v>
      </c>
      <c r="D22" s="144" t="s">
        <v>745</v>
      </c>
      <c r="E22" s="233"/>
      <c r="F22" s="233">
        <f t="shared" si="0"/>
        <v>25000</v>
      </c>
      <c r="G22" s="237">
        <v>319.62</v>
      </c>
      <c r="H22" s="234">
        <f t="shared" si="1"/>
        <v>13279.800000000001</v>
      </c>
      <c r="I22" s="234">
        <f t="shared" si="2"/>
        <v>11720.199999999997</v>
      </c>
      <c r="J22" s="235"/>
    </row>
    <row r="23" spans="1:10" s="223" customFormat="1" ht="12.75" customHeight="1" x14ac:dyDescent="0.2">
      <c r="A23" s="70" t="s">
        <v>744</v>
      </c>
      <c r="B23" s="50">
        <v>46118</v>
      </c>
      <c r="C23" s="268">
        <v>9500</v>
      </c>
      <c r="D23" s="66" t="s">
        <v>746</v>
      </c>
      <c r="E23" s="233"/>
      <c r="F23" s="233">
        <f t="shared" si="0"/>
        <v>25000</v>
      </c>
      <c r="G23" s="237">
        <v>2618.6</v>
      </c>
      <c r="H23" s="234">
        <f t="shared" si="1"/>
        <v>15898.400000000001</v>
      </c>
      <c r="I23" s="234">
        <f t="shared" si="2"/>
        <v>9101.5999999999967</v>
      </c>
      <c r="J23" s="235"/>
    </row>
    <row r="24" spans="1:10" s="223" customFormat="1" ht="12.75" customHeight="1" x14ac:dyDescent="0.2">
      <c r="A24" s="70" t="s">
        <v>869</v>
      </c>
      <c r="B24" s="50">
        <v>46149</v>
      </c>
      <c r="C24" s="53" t="s">
        <v>261</v>
      </c>
      <c r="D24" s="144" t="s">
        <v>870</v>
      </c>
      <c r="E24" s="233"/>
      <c r="F24" s="233">
        <f t="shared" si="0"/>
        <v>25000</v>
      </c>
      <c r="G24" s="237">
        <v>180.53</v>
      </c>
      <c r="H24" s="234">
        <f t="shared" si="1"/>
        <v>16078.930000000002</v>
      </c>
      <c r="I24" s="234">
        <f t="shared" si="2"/>
        <v>8921.0699999999961</v>
      </c>
      <c r="J24" s="235"/>
    </row>
    <row r="25" spans="1:10" s="223" customFormat="1" ht="12.75" customHeight="1" x14ac:dyDescent="0.2">
      <c r="A25" s="70" t="s">
        <v>869</v>
      </c>
      <c r="B25" s="50">
        <v>46149</v>
      </c>
      <c r="C25" s="268">
        <v>9500</v>
      </c>
      <c r="D25" s="66" t="s">
        <v>871</v>
      </c>
      <c r="E25" s="233"/>
      <c r="F25" s="233">
        <f t="shared" si="0"/>
        <v>25000</v>
      </c>
      <c r="G25" s="237">
        <v>1885.6</v>
      </c>
      <c r="H25" s="234">
        <f t="shared" si="1"/>
        <v>17964.530000000002</v>
      </c>
      <c r="I25" s="234">
        <f t="shared" si="2"/>
        <v>7035.4699999999957</v>
      </c>
      <c r="J25" s="235"/>
    </row>
    <row r="26" spans="1:10" s="223" customFormat="1" ht="12.75" customHeight="1" x14ac:dyDescent="0.2">
      <c r="A26" s="70" t="s">
        <v>984</v>
      </c>
      <c r="B26" s="50">
        <v>46181</v>
      </c>
      <c r="C26" s="53" t="s">
        <v>261</v>
      </c>
      <c r="D26" s="144" t="s">
        <v>985</v>
      </c>
      <c r="E26" s="233"/>
      <c r="F26" s="233">
        <f t="shared" si="0"/>
        <v>25000</v>
      </c>
      <c r="G26" s="237">
        <v>60.16</v>
      </c>
      <c r="H26" s="234">
        <f t="shared" si="1"/>
        <v>18024.690000000002</v>
      </c>
      <c r="I26" s="234">
        <f t="shared" si="2"/>
        <v>6975.3099999999959</v>
      </c>
      <c r="J26" s="235"/>
    </row>
    <row r="27" spans="1:10" s="223" customFormat="1" ht="12.75" customHeight="1" x14ac:dyDescent="0.2">
      <c r="A27" s="70" t="s">
        <v>984</v>
      </c>
      <c r="B27" s="50">
        <v>46181</v>
      </c>
      <c r="C27" s="268">
        <v>9500</v>
      </c>
      <c r="D27" s="66" t="s">
        <v>986</v>
      </c>
      <c r="E27" s="233"/>
      <c r="F27" s="233">
        <f t="shared" si="0"/>
        <v>25000</v>
      </c>
      <c r="G27" s="237">
        <v>738.5</v>
      </c>
      <c r="H27" s="234">
        <f t="shared" si="1"/>
        <v>18763.190000000002</v>
      </c>
      <c r="I27" s="234">
        <f t="shared" si="2"/>
        <v>6236.8099999999959</v>
      </c>
      <c r="J27" s="235"/>
    </row>
    <row r="28" spans="1:10" s="223" customFormat="1" ht="12.75" customHeight="1" x14ac:dyDescent="0.2">
      <c r="A28" s="70" t="s">
        <v>1186</v>
      </c>
      <c r="B28" s="50">
        <v>46211</v>
      </c>
      <c r="C28" s="53" t="s">
        <v>261</v>
      </c>
      <c r="D28" s="144" t="s">
        <v>1187</v>
      </c>
      <c r="E28" s="233"/>
      <c r="F28" s="233">
        <f t="shared" si="0"/>
        <v>25000</v>
      </c>
      <c r="G28" s="237">
        <v>62.85</v>
      </c>
      <c r="H28" s="234">
        <f t="shared" si="1"/>
        <v>18826.04</v>
      </c>
      <c r="I28" s="234">
        <f t="shared" si="2"/>
        <v>6173.9599999999955</v>
      </c>
      <c r="J28" s="235"/>
    </row>
    <row r="29" spans="1:10" s="223" customFormat="1" ht="12.75" customHeight="1" x14ac:dyDescent="0.2">
      <c r="A29" s="70" t="s">
        <v>1186</v>
      </c>
      <c r="B29" s="50">
        <v>46211</v>
      </c>
      <c r="C29" s="268">
        <v>9500</v>
      </c>
      <c r="D29" s="66" t="s">
        <v>1188</v>
      </c>
      <c r="E29" s="233"/>
      <c r="F29" s="233">
        <f t="shared" si="0"/>
        <v>25000</v>
      </c>
      <c r="G29" s="237">
        <v>720.4</v>
      </c>
      <c r="H29" s="234">
        <f t="shared" si="1"/>
        <v>19546.440000000002</v>
      </c>
      <c r="I29" s="234">
        <f t="shared" si="2"/>
        <v>5453.5599999999959</v>
      </c>
      <c r="J29" s="235"/>
    </row>
    <row r="30" spans="1:10" s="223" customFormat="1" ht="12.75" customHeight="1" x14ac:dyDescent="0.2">
      <c r="A30" s="70" t="s">
        <v>1265</v>
      </c>
      <c r="B30" s="50">
        <v>46218</v>
      </c>
      <c r="C30" s="53" t="s">
        <v>261</v>
      </c>
      <c r="D30" s="144" t="s">
        <v>1266</v>
      </c>
      <c r="E30" s="233"/>
      <c r="F30" s="233">
        <f t="shared" si="0"/>
        <v>25000</v>
      </c>
      <c r="G30" s="237">
        <v>25.08</v>
      </c>
      <c r="H30" s="234">
        <f t="shared" si="1"/>
        <v>19571.520000000004</v>
      </c>
      <c r="I30" s="234">
        <f t="shared" si="2"/>
        <v>5428.4799999999959</v>
      </c>
      <c r="J30" s="235"/>
    </row>
    <row r="31" spans="1:10" s="223" customFormat="1" ht="12.75" customHeight="1" x14ac:dyDescent="0.2">
      <c r="A31" s="70" t="s">
        <v>1436</v>
      </c>
      <c r="B31" s="365">
        <v>46241</v>
      </c>
      <c r="C31" s="53" t="s">
        <v>261</v>
      </c>
      <c r="D31" s="144" t="s">
        <v>1437</v>
      </c>
      <c r="E31" s="233"/>
      <c r="F31" s="233">
        <f t="shared" si="0"/>
        <v>25000</v>
      </c>
      <c r="G31" s="237">
        <v>80.400000000000006</v>
      </c>
      <c r="H31" s="234">
        <f t="shared" si="1"/>
        <v>19651.920000000006</v>
      </c>
      <c r="I31" s="234">
        <f t="shared" si="2"/>
        <v>5348.0799999999963</v>
      </c>
      <c r="J31" s="235"/>
    </row>
    <row r="32" spans="1:10" s="223" customFormat="1" ht="12.75" customHeight="1" x14ac:dyDescent="0.2">
      <c r="A32" s="70" t="s">
        <v>1436</v>
      </c>
      <c r="B32" s="365">
        <v>46241</v>
      </c>
      <c r="C32" s="268">
        <v>9500</v>
      </c>
      <c r="D32" s="66" t="s">
        <v>1438</v>
      </c>
      <c r="E32" s="233"/>
      <c r="F32" s="233">
        <f t="shared" si="0"/>
        <v>25000</v>
      </c>
      <c r="G32" s="237">
        <v>863.1</v>
      </c>
      <c r="H32" s="234">
        <f t="shared" si="1"/>
        <v>20515.020000000004</v>
      </c>
      <c r="I32" s="234">
        <f t="shared" si="2"/>
        <v>4484.9799999999959</v>
      </c>
      <c r="J32" s="235"/>
    </row>
    <row r="33" spans="1:10" s="223" customFormat="1" ht="12.75" customHeight="1" x14ac:dyDescent="0.2">
      <c r="A33" s="70" t="s">
        <v>1531</v>
      </c>
      <c r="B33" s="365">
        <v>46272</v>
      </c>
      <c r="C33" s="53" t="s">
        <v>261</v>
      </c>
      <c r="D33" s="144" t="s">
        <v>1532</v>
      </c>
      <c r="E33" s="233"/>
      <c r="F33" s="233">
        <f t="shared" si="0"/>
        <v>25000</v>
      </c>
      <c r="G33" s="237">
        <v>63.89</v>
      </c>
      <c r="H33" s="234">
        <f t="shared" si="1"/>
        <v>20578.910000000003</v>
      </c>
      <c r="I33" s="234">
        <f t="shared" si="2"/>
        <v>4421.0899999999956</v>
      </c>
      <c r="J33" s="235"/>
    </row>
    <row r="34" spans="1:10" s="223" customFormat="1" ht="12.75" customHeight="1" x14ac:dyDescent="0.2">
      <c r="A34" s="70" t="s">
        <v>1531</v>
      </c>
      <c r="B34" s="365">
        <v>46272</v>
      </c>
      <c r="C34" s="268">
        <v>9500</v>
      </c>
      <c r="D34" s="66" t="s">
        <v>1533</v>
      </c>
      <c r="E34" s="233"/>
      <c r="F34" s="233">
        <f t="shared" si="0"/>
        <v>25000</v>
      </c>
      <c r="G34" s="237">
        <v>625.1</v>
      </c>
      <c r="H34" s="234">
        <f t="shared" si="1"/>
        <v>21204.010000000002</v>
      </c>
      <c r="I34" s="234">
        <f t="shared" si="2"/>
        <v>3795.9899999999957</v>
      </c>
      <c r="J34" s="235"/>
    </row>
    <row r="35" spans="1:10" s="223" customFormat="1" ht="12.75" customHeight="1" x14ac:dyDescent="0.2">
      <c r="A35" s="70"/>
      <c r="B35" s="365"/>
      <c r="C35" s="268"/>
      <c r="D35" s="66"/>
      <c r="E35" s="233"/>
      <c r="F35" s="233">
        <f t="shared" si="0"/>
        <v>25000</v>
      </c>
      <c r="G35" s="237"/>
      <c r="H35" s="234">
        <f t="shared" si="1"/>
        <v>21204.010000000002</v>
      </c>
      <c r="I35" s="234">
        <f t="shared" si="2"/>
        <v>3795.9899999999957</v>
      </c>
      <c r="J35" s="235"/>
    </row>
    <row r="36" spans="1:10" s="223" customFormat="1" ht="12.75" customHeight="1" x14ac:dyDescent="0.2">
      <c r="A36" s="70"/>
      <c r="B36" s="365"/>
      <c r="C36" s="268"/>
      <c r="D36" s="66"/>
      <c r="E36" s="233"/>
      <c r="F36" s="233">
        <f t="shared" si="0"/>
        <v>25000</v>
      </c>
      <c r="G36" s="237"/>
      <c r="H36" s="234">
        <f t="shared" si="1"/>
        <v>21204.010000000002</v>
      </c>
      <c r="I36" s="234">
        <f t="shared" si="2"/>
        <v>3795.9899999999957</v>
      </c>
      <c r="J36" s="235"/>
    </row>
    <row r="37" spans="1:10" s="223" customFormat="1" ht="12.75" customHeight="1" x14ac:dyDescent="0.2">
      <c r="A37" s="70"/>
      <c r="B37" s="50"/>
      <c r="C37" s="53"/>
      <c r="D37" s="144"/>
      <c r="E37" s="233"/>
      <c r="F37" s="233">
        <f t="shared" si="0"/>
        <v>25000</v>
      </c>
      <c r="G37" s="238"/>
      <c r="H37" s="234">
        <f t="shared" si="1"/>
        <v>21204.010000000002</v>
      </c>
      <c r="I37" s="234">
        <f t="shared" si="2"/>
        <v>3795.9899999999957</v>
      </c>
      <c r="J37" s="235"/>
    </row>
    <row r="38" spans="1:10" s="223" customFormat="1" ht="12.75" customHeight="1" x14ac:dyDescent="0.25">
      <c r="A38" s="230"/>
      <c r="B38" s="231"/>
      <c r="C38" s="241"/>
      <c r="D38" s="240"/>
      <c r="E38" s="234"/>
      <c r="F38" s="234"/>
      <c r="G38" s="234"/>
      <c r="H38" s="234"/>
      <c r="I38" s="234"/>
      <c r="J38" s="235"/>
    </row>
    <row r="39" spans="1:10" s="223" customFormat="1" ht="12.75" customHeight="1" thickBot="1" x14ac:dyDescent="0.3">
      <c r="A39" s="230"/>
      <c r="B39" s="243"/>
      <c r="C39" s="241"/>
      <c r="D39" s="244" t="s">
        <v>24</v>
      </c>
      <c r="E39" s="245">
        <f>SUM(E9:E38)</f>
        <v>25000</v>
      </c>
      <c r="F39" s="245"/>
      <c r="G39" s="245">
        <f>SUM(G9:G38)</f>
        <v>21204.010000000002</v>
      </c>
      <c r="H39" s="245"/>
      <c r="I39" s="245">
        <f>E39-G39</f>
        <v>3795.989999999998</v>
      </c>
      <c r="J39" s="235"/>
    </row>
    <row r="40" spans="1:10" ht="15" customHeight="1" thickTop="1" x14ac:dyDescent="0.25"/>
  </sheetData>
  <pageMargins left="0.25" right="0.25" top="0.95" bottom="0.75" header="0.09" footer="0.3"/>
  <pageSetup scale="6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58C65-2B3B-4198-8101-D4146FC600FA}">
  <sheetPr>
    <pageSetUpPr fitToPage="1"/>
  </sheetPr>
  <dimension ref="A1:H30"/>
  <sheetViews>
    <sheetView zoomScaleNormal="100" workbookViewId="0">
      <selection activeCell="C30" sqref="C30"/>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6.85546875" customWidth="1"/>
    <col min="6" max="6" width="16.425781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#9502.00'!B1</f>
        <v>DOC MPCF Hot and Cold Water Mains Replacement</v>
      </c>
      <c r="B1" s="3"/>
      <c r="C1" s="3"/>
      <c r="D1" s="3"/>
      <c r="E1" s="4"/>
      <c r="F1" s="4"/>
      <c r="G1" s="4"/>
      <c r="H1" s="28"/>
    </row>
    <row r="2" spans="1:8" ht="15.75" x14ac:dyDescent="0.25">
      <c r="A2" s="6" t="str">
        <f>'RECAP #9502.00'!B2</f>
        <v>Project # 9502.00</v>
      </c>
      <c r="B2" s="5"/>
      <c r="C2" s="5"/>
      <c r="D2" s="5"/>
      <c r="E2" s="4"/>
      <c r="F2" s="4"/>
      <c r="G2" s="4"/>
      <c r="H2" s="28"/>
    </row>
    <row r="3" spans="1:8" ht="15.75" x14ac:dyDescent="0.25">
      <c r="A3" s="7" t="str">
        <f>'RECAP #9502.00'!B3</f>
        <v>Program code 950200</v>
      </c>
      <c r="B3" s="5"/>
      <c r="C3" s="5"/>
      <c r="D3" s="5"/>
      <c r="E3" s="8" t="str">
        <f>'RECAP #9502.00'!E3</f>
        <v>Major Program 4F04</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294</v>
      </c>
      <c r="F6" s="35"/>
      <c r="G6" s="38"/>
      <c r="H6" s="39"/>
    </row>
    <row r="7" spans="1:8" ht="15.75" x14ac:dyDescent="0.25">
      <c r="A7" s="11" t="str">
        <f>'RECAP #9502.00'!B6</f>
        <v>Project Manager - Brandon A.</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5">
      <c r="A9" s="239" t="s">
        <v>360</v>
      </c>
      <c r="B9" s="177">
        <v>46002</v>
      </c>
      <c r="C9" s="241" t="s">
        <v>361</v>
      </c>
      <c r="D9" s="241" t="s">
        <v>362</v>
      </c>
      <c r="E9" s="176" t="s">
        <v>359</v>
      </c>
      <c r="F9" s="259" t="s">
        <v>363</v>
      </c>
      <c r="G9" s="237">
        <v>112.5</v>
      </c>
      <c r="H9" s="260">
        <f>G9</f>
        <v>112.5</v>
      </c>
    </row>
    <row r="10" spans="1:8" s="223" customFormat="1" ht="12.75" customHeight="1" x14ac:dyDescent="0.2">
      <c r="A10" s="176" t="s">
        <v>627</v>
      </c>
      <c r="B10" s="177">
        <v>46085</v>
      </c>
      <c r="C10" s="241" t="s">
        <v>361</v>
      </c>
      <c r="D10" s="241" t="s">
        <v>362</v>
      </c>
      <c r="E10" s="38" t="s">
        <v>368</v>
      </c>
      <c r="F10" s="272" t="s">
        <v>626</v>
      </c>
      <c r="G10" s="237">
        <v>200</v>
      </c>
      <c r="H10" s="260">
        <f>H9+G10</f>
        <v>312.5</v>
      </c>
    </row>
    <row r="11" spans="1:8" s="223" customFormat="1" ht="12.75" customHeight="1" x14ac:dyDescent="0.25">
      <c r="A11" s="176" t="s">
        <v>714</v>
      </c>
      <c r="B11" s="177">
        <v>46107</v>
      </c>
      <c r="C11" s="241" t="s">
        <v>361</v>
      </c>
      <c r="D11" s="241" t="s">
        <v>362</v>
      </c>
      <c r="E11" s="176" t="s">
        <v>426</v>
      </c>
      <c r="F11" s="272" t="s">
        <v>713</v>
      </c>
      <c r="G11" s="237">
        <v>630.04</v>
      </c>
      <c r="H11" s="260">
        <f t="shared" ref="H11:H20" si="0">H10+G11</f>
        <v>942.54</v>
      </c>
    </row>
    <row r="12" spans="1:8" s="223" customFormat="1" ht="12.75" customHeight="1" x14ac:dyDescent="0.25">
      <c r="A12" s="176" t="s">
        <v>1092</v>
      </c>
      <c r="B12" s="177">
        <v>46195</v>
      </c>
      <c r="C12" s="241" t="s">
        <v>361</v>
      </c>
      <c r="D12" s="241" t="s">
        <v>362</v>
      </c>
      <c r="E12" s="258" t="s">
        <v>1091</v>
      </c>
      <c r="F12" s="272" t="s">
        <v>1090</v>
      </c>
      <c r="G12" s="237">
        <v>2515</v>
      </c>
      <c r="H12" s="260">
        <f t="shared" si="0"/>
        <v>3457.54</v>
      </c>
    </row>
    <row r="13" spans="1:8" s="223" customFormat="1" ht="12.75" customHeight="1" x14ac:dyDescent="0.25">
      <c r="A13" s="176" t="s">
        <v>1140</v>
      </c>
      <c r="B13" s="177">
        <v>46203</v>
      </c>
      <c r="C13" s="241" t="s">
        <v>361</v>
      </c>
      <c r="D13" s="241" t="s">
        <v>362</v>
      </c>
      <c r="E13" s="176" t="s">
        <v>426</v>
      </c>
      <c r="F13" s="272" t="s">
        <v>1139</v>
      </c>
      <c r="G13" s="237">
        <v>320.75</v>
      </c>
      <c r="H13" s="260">
        <f t="shared" si="0"/>
        <v>3778.29</v>
      </c>
    </row>
    <row r="14" spans="1:8" s="223" customFormat="1" ht="12.75" customHeight="1" x14ac:dyDescent="0.25">
      <c r="A14" s="241"/>
      <c r="B14" s="177"/>
      <c r="C14" s="177"/>
      <c r="D14" s="177"/>
      <c r="E14" s="258"/>
      <c r="F14" s="252"/>
      <c r="G14" s="260"/>
      <c r="H14" s="260">
        <f t="shared" si="0"/>
        <v>3778.29</v>
      </c>
    </row>
    <row r="15" spans="1:8" s="223" customFormat="1" ht="12.75" customHeight="1" x14ac:dyDescent="0.25">
      <c r="A15" s="241"/>
      <c r="B15" s="177"/>
      <c r="C15" s="177"/>
      <c r="D15" s="177"/>
      <c r="E15" s="261"/>
      <c r="F15" s="252"/>
      <c r="G15" s="260"/>
      <c r="H15" s="260">
        <f t="shared" si="0"/>
        <v>3778.29</v>
      </c>
    </row>
    <row r="16" spans="1:8" s="223" customFormat="1" ht="12.75" customHeight="1" x14ac:dyDescent="0.25">
      <c r="A16" s="241"/>
      <c r="B16" s="177"/>
      <c r="C16" s="177"/>
      <c r="D16" s="177"/>
      <c r="E16" s="258"/>
      <c r="F16" s="252"/>
      <c r="G16" s="260"/>
      <c r="H16" s="260">
        <f t="shared" si="0"/>
        <v>3778.29</v>
      </c>
    </row>
    <row r="17" spans="1:8" s="223" customFormat="1" ht="12.75" customHeight="1" x14ac:dyDescent="0.25">
      <c r="A17" s="230"/>
      <c r="B17" s="177"/>
      <c r="C17" s="177"/>
      <c r="D17" s="177"/>
      <c r="E17" s="258"/>
      <c r="F17" s="252"/>
      <c r="G17" s="260"/>
      <c r="H17" s="260">
        <f t="shared" si="0"/>
        <v>3778.29</v>
      </c>
    </row>
    <row r="18" spans="1:8" s="223" customFormat="1" ht="12.75" customHeight="1" x14ac:dyDescent="0.25">
      <c r="A18" s="230"/>
      <c r="B18" s="177"/>
      <c r="C18" s="177"/>
      <c r="D18" s="177"/>
      <c r="E18" s="258"/>
      <c r="F18" s="252"/>
      <c r="G18" s="260"/>
      <c r="H18" s="260">
        <f t="shared" si="0"/>
        <v>3778.29</v>
      </c>
    </row>
    <row r="19" spans="1:8" s="223" customFormat="1" ht="12.75" customHeight="1" x14ac:dyDescent="0.25">
      <c r="A19" s="230"/>
      <c r="B19" s="177"/>
      <c r="C19" s="177"/>
      <c r="D19" s="177"/>
      <c r="E19" s="258"/>
      <c r="F19" s="252"/>
      <c r="G19" s="260"/>
      <c r="H19" s="260">
        <f t="shared" si="0"/>
        <v>3778.29</v>
      </c>
    </row>
    <row r="20" spans="1:8" s="223" customFormat="1" ht="12.75" customHeight="1" x14ac:dyDescent="0.25">
      <c r="A20" s="230"/>
      <c r="B20" s="177"/>
      <c r="C20" s="177"/>
      <c r="D20" s="177"/>
      <c r="E20" s="258"/>
      <c r="F20" s="252"/>
      <c r="G20" s="260"/>
      <c r="H20" s="260">
        <f t="shared" si="0"/>
        <v>3778.29</v>
      </c>
    </row>
    <row r="21" spans="1:8" ht="12.75" customHeight="1" x14ac:dyDescent="0.25">
      <c r="A21" s="49"/>
      <c r="B21" s="59"/>
      <c r="C21" s="59"/>
      <c r="D21" s="59"/>
      <c r="E21" s="38"/>
      <c r="F21" s="63"/>
      <c r="G21" s="38"/>
      <c r="H21" s="63"/>
    </row>
    <row r="22" spans="1:8" ht="12.75" customHeight="1" thickBot="1" x14ac:dyDescent="0.3">
      <c r="A22" s="73"/>
      <c r="B22" s="74"/>
      <c r="C22" s="74"/>
      <c r="D22" s="74"/>
      <c r="E22" s="264" t="s">
        <v>24</v>
      </c>
      <c r="F22" s="265"/>
      <c r="G22" s="245">
        <f>SUM(G9:G21)</f>
        <v>3778.29</v>
      </c>
      <c r="H22" s="265"/>
    </row>
    <row r="23" spans="1:8" ht="12.75" customHeight="1" thickTop="1" x14ac:dyDescent="0.25"/>
    <row r="24" spans="1:8" ht="12.75" customHeight="1" x14ac:dyDescent="0.25"/>
    <row r="25" spans="1:8" ht="12.75" customHeight="1" x14ac:dyDescent="0.25"/>
    <row r="26" spans="1:8" ht="12.75" customHeight="1" x14ac:dyDescent="0.25"/>
    <row r="27" spans="1:8" ht="12.75" customHeight="1" x14ac:dyDescent="0.25"/>
    <row r="28" spans="1:8" ht="12.75" customHeight="1" x14ac:dyDescent="0.25"/>
    <row r="29" spans="1:8" ht="12.75" customHeight="1" x14ac:dyDescent="0.25"/>
    <row r="30" spans="1:8" ht="12.75" customHeight="1" x14ac:dyDescent="0.25"/>
  </sheetData>
  <pageMargins left="0.25" right="0.25" top="0.95" bottom="0.75" header="0.09" footer="0.3"/>
  <pageSetup scale="7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36256-080E-44AA-8960-842C80115C19}">
  <sheetPr>
    <pageSetUpPr fitToPage="1"/>
  </sheetPr>
  <dimension ref="A1:I59"/>
  <sheetViews>
    <sheetView topLeftCell="A5" zoomScaleNormal="100" workbookViewId="0">
      <selection activeCell="H31" sqref="H31"/>
    </sheetView>
  </sheetViews>
  <sheetFormatPr defaultColWidth="11.42578125" defaultRowHeight="15" customHeight="1" x14ac:dyDescent="0.25"/>
  <cols>
    <col min="1" max="1" width="24.5703125" customWidth="1"/>
    <col min="2" max="2" width="9.42578125" customWidth="1"/>
    <col min="3" max="3" width="17.5703125" bestFit="1" customWidth="1"/>
    <col min="4" max="4" width="14.42578125" customWidth="1"/>
    <col min="5" max="5" width="13.5703125" customWidth="1"/>
    <col min="6" max="6" width="12.42578125" customWidth="1"/>
    <col min="7" max="7" width="10.5703125" customWidth="1"/>
    <col min="8" max="8" width="12.5703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#9502.00'!B1</f>
        <v>DOC MPCF Hot and Cold Water Mains Replacement</v>
      </c>
      <c r="B1" s="3"/>
      <c r="C1" s="4"/>
      <c r="D1" s="4"/>
      <c r="E1" s="4"/>
      <c r="F1" s="28"/>
      <c r="G1" s="28"/>
      <c r="H1" s="29"/>
      <c r="I1" s="29"/>
    </row>
    <row r="2" spans="1:9" ht="15.75" x14ac:dyDescent="0.25">
      <c r="A2" s="6" t="str">
        <f>'RECAP #9502.00'!B2</f>
        <v>Project # 9502.00</v>
      </c>
      <c r="B2" s="5"/>
      <c r="C2" s="4"/>
      <c r="D2" s="4"/>
      <c r="E2" s="4"/>
      <c r="F2" s="28"/>
      <c r="G2" s="28"/>
      <c r="H2" s="29"/>
      <c r="I2" s="29"/>
    </row>
    <row r="3" spans="1:9" ht="15.75" x14ac:dyDescent="0.25">
      <c r="A3" s="7" t="str">
        <f>'RECAP #9502.00'!B3</f>
        <v>Program code 950200</v>
      </c>
      <c r="B3" s="5"/>
      <c r="C3" s="4"/>
      <c r="D3" s="8" t="str">
        <f>'RECAP #9502.00'!E3</f>
        <v>Major Program 4F04</v>
      </c>
      <c r="E3" s="4"/>
      <c r="F3" s="28"/>
      <c r="G3" s="28"/>
      <c r="H3" s="29"/>
      <c r="I3" s="29"/>
    </row>
    <row r="4" spans="1:9" ht="15.75" x14ac:dyDescent="0.25">
      <c r="A4" s="30" t="s">
        <v>374</v>
      </c>
      <c r="B4" s="31"/>
      <c r="C4" s="32"/>
      <c r="D4" s="33" t="s">
        <v>375</v>
      </c>
      <c r="E4" s="28"/>
      <c r="F4" s="28"/>
      <c r="G4" s="28"/>
      <c r="H4" s="29"/>
      <c r="I4" s="29"/>
    </row>
    <row r="5" spans="1:9" ht="15.75" x14ac:dyDescent="0.25">
      <c r="A5" s="34" t="s">
        <v>115</v>
      </c>
      <c r="B5" s="35"/>
      <c r="C5" s="36"/>
      <c r="D5" s="37" t="s">
        <v>376</v>
      </c>
      <c r="E5" s="38"/>
      <c r="F5" s="39"/>
      <c r="G5" s="39"/>
      <c r="H5" s="35"/>
      <c r="I5" s="29"/>
    </row>
    <row r="6" spans="1:9" ht="15.75" x14ac:dyDescent="0.25">
      <c r="A6" s="11" t="str">
        <f>'RECAP #9502.00'!B6</f>
        <v>Project Manager - Brandon A.</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ht="12.75" customHeight="1" x14ac:dyDescent="0.25">
      <c r="A9" s="230" t="s">
        <v>377</v>
      </c>
      <c r="B9" s="50">
        <v>46014</v>
      </c>
      <c r="C9" s="51" t="s">
        <v>109</v>
      </c>
      <c r="D9" s="141">
        <v>32000</v>
      </c>
      <c r="E9" s="53">
        <f>D9</f>
        <v>32000</v>
      </c>
      <c r="F9" s="54"/>
      <c r="G9" s="54"/>
      <c r="H9" s="54">
        <f>E9</f>
        <v>32000</v>
      </c>
      <c r="I9" s="55"/>
    </row>
    <row r="10" spans="1:9" ht="12.75" customHeight="1" x14ac:dyDescent="0.25">
      <c r="A10" s="230" t="s">
        <v>469</v>
      </c>
      <c r="B10" s="56">
        <v>46051</v>
      </c>
      <c r="C10" s="51" t="s">
        <v>470</v>
      </c>
      <c r="D10" s="53"/>
      <c r="E10" s="53">
        <f t="shared" ref="E10:E21" si="0">E9+D10</f>
        <v>32000</v>
      </c>
      <c r="F10" s="237">
        <v>13440</v>
      </c>
      <c r="G10" s="54">
        <f t="shared" ref="G10:G21" si="1">G9+F10</f>
        <v>13440</v>
      </c>
      <c r="H10" s="54">
        <f t="shared" ref="H10:H21" si="2">H9-F10+D10</f>
        <v>18560</v>
      </c>
      <c r="I10" s="55"/>
    </row>
    <row r="11" spans="1:9" ht="12.75" customHeight="1" x14ac:dyDescent="0.25">
      <c r="A11" s="230" t="s">
        <v>687</v>
      </c>
      <c r="B11" s="50">
        <v>46104</v>
      </c>
      <c r="C11" s="51" t="s">
        <v>688</v>
      </c>
      <c r="D11" s="53"/>
      <c r="E11" s="53">
        <f t="shared" si="0"/>
        <v>32000</v>
      </c>
      <c r="F11" s="237">
        <v>10560</v>
      </c>
      <c r="G11" s="54">
        <f t="shared" si="1"/>
        <v>24000</v>
      </c>
      <c r="H11" s="54">
        <f t="shared" si="2"/>
        <v>8000</v>
      </c>
      <c r="I11" s="55"/>
    </row>
    <row r="12" spans="1:9" ht="12.75" customHeight="1" x14ac:dyDescent="0.25">
      <c r="A12" s="230" t="s">
        <v>689</v>
      </c>
      <c r="B12" s="50">
        <v>46104</v>
      </c>
      <c r="C12" s="51" t="s">
        <v>690</v>
      </c>
      <c r="D12" s="53"/>
      <c r="E12" s="53">
        <f t="shared" si="0"/>
        <v>32000</v>
      </c>
      <c r="F12" s="237">
        <v>1600</v>
      </c>
      <c r="G12" s="54">
        <f t="shared" si="1"/>
        <v>25600</v>
      </c>
      <c r="H12" s="54">
        <f t="shared" si="2"/>
        <v>6400</v>
      </c>
      <c r="I12" s="55"/>
    </row>
    <row r="13" spans="1:9" ht="12.75" customHeight="1" x14ac:dyDescent="0.25">
      <c r="A13" s="230" t="s">
        <v>945</v>
      </c>
      <c r="B13" s="50">
        <v>46168</v>
      </c>
      <c r="C13" s="51" t="s">
        <v>946</v>
      </c>
      <c r="D13" s="53"/>
      <c r="E13" s="53">
        <f t="shared" si="0"/>
        <v>32000</v>
      </c>
      <c r="F13" s="237">
        <v>800</v>
      </c>
      <c r="G13" s="54">
        <f t="shared" si="1"/>
        <v>26400</v>
      </c>
      <c r="H13" s="54">
        <f t="shared" si="2"/>
        <v>5600</v>
      </c>
      <c r="I13" s="55"/>
    </row>
    <row r="14" spans="1:9" ht="12.75" customHeight="1" x14ac:dyDescent="0.25">
      <c r="A14" s="230" t="s">
        <v>1066</v>
      </c>
      <c r="B14" s="50">
        <v>46191</v>
      </c>
      <c r="C14" s="51" t="s">
        <v>1067</v>
      </c>
      <c r="D14" s="53"/>
      <c r="E14" s="53">
        <f t="shared" si="0"/>
        <v>32000</v>
      </c>
      <c r="F14" s="237">
        <v>928</v>
      </c>
      <c r="G14" s="54">
        <f t="shared" si="1"/>
        <v>27328</v>
      </c>
      <c r="H14" s="54">
        <f t="shared" si="2"/>
        <v>4672</v>
      </c>
      <c r="I14" s="55"/>
    </row>
    <row r="15" spans="1:9" ht="12.75" customHeight="1" x14ac:dyDescent="0.25">
      <c r="A15" s="328" t="s">
        <v>1230</v>
      </c>
      <c r="B15" s="346">
        <v>46216</v>
      </c>
      <c r="C15" s="347" t="s">
        <v>1231</v>
      </c>
      <c r="D15" s="348"/>
      <c r="E15" s="348">
        <f t="shared" si="0"/>
        <v>32000</v>
      </c>
      <c r="F15" s="338">
        <v>928</v>
      </c>
      <c r="G15" s="349">
        <f t="shared" si="1"/>
        <v>28256</v>
      </c>
      <c r="H15" s="349">
        <f t="shared" si="2"/>
        <v>3744</v>
      </c>
      <c r="I15" s="333" t="s">
        <v>1285</v>
      </c>
    </row>
    <row r="16" spans="1:9" ht="12.75" customHeight="1" x14ac:dyDescent="0.25">
      <c r="A16" s="230" t="s">
        <v>1312</v>
      </c>
      <c r="B16" s="177">
        <v>46225</v>
      </c>
      <c r="C16" s="231" t="s">
        <v>1286</v>
      </c>
      <c r="D16" s="232">
        <v>0</v>
      </c>
      <c r="E16" s="53">
        <f t="shared" si="0"/>
        <v>32000</v>
      </c>
      <c r="F16" s="57"/>
      <c r="G16" s="54">
        <f t="shared" si="1"/>
        <v>28256</v>
      </c>
      <c r="H16" s="54">
        <f t="shared" si="2"/>
        <v>3744</v>
      </c>
      <c r="I16" s="55"/>
    </row>
    <row r="17" spans="1:9" ht="12.75" customHeight="1" x14ac:dyDescent="0.25">
      <c r="A17" s="230" t="s">
        <v>1480</v>
      </c>
      <c r="B17" s="50">
        <v>46255</v>
      </c>
      <c r="C17" s="51" t="s">
        <v>1481</v>
      </c>
      <c r="D17" s="53"/>
      <c r="E17" s="53">
        <f t="shared" si="0"/>
        <v>32000</v>
      </c>
      <c r="F17" s="237">
        <v>928</v>
      </c>
      <c r="G17" s="54">
        <f t="shared" si="1"/>
        <v>29184</v>
      </c>
      <c r="H17" s="54">
        <f t="shared" si="2"/>
        <v>2816</v>
      </c>
      <c r="I17" s="55"/>
    </row>
    <row r="18" spans="1:9" ht="12.75" customHeight="1" x14ac:dyDescent="0.25">
      <c r="A18" s="230" t="s">
        <v>1312</v>
      </c>
      <c r="B18" s="50">
        <v>46274</v>
      </c>
      <c r="C18" s="51" t="s">
        <v>468</v>
      </c>
      <c r="D18" s="141">
        <v>1000</v>
      </c>
      <c r="E18" s="53">
        <f t="shared" si="0"/>
        <v>33000</v>
      </c>
      <c r="F18" s="57"/>
      <c r="G18" s="54">
        <f t="shared" si="1"/>
        <v>29184</v>
      </c>
      <c r="H18" s="54">
        <f t="shared" si="2"/>
        <v>3816</v>
      </c>
      <c r="I18" s="55"/>
    </row>
    <row r="19" spans="1:9" ht="12.75" customHeight="1" x14ac:dyDescent="0.25">
      <c r="A19" s="230"/>
      <c r="B19" s="50"/>
      <c r="C19" s="51"/>
      <c r="D19" s="53"/>
      <c r="E19" s="53">
        <f t="shared" si="0"/>
        <v>33000</v>
      </c>
      <c r="F19" s="54"/>
      <c r="G19" s="54">
        <f t="shared" si="1"/>
        <v>29184</v>
      </c>
      <c r="H19" s="54">
        <f t="shared" si="2"/>
        <v>3816</v>
      </c>
      <c r="I19" s="55"/>
    </row>
    <row r="20" spans="1:9" ht="12.75" customHeight="1" x14ac:dyDescent="0.25">
      <c r="A20" s="230"/>
      <c r="B20" s="50"/>
      <c r="C20" s="51"/>
      <c r="D20" s="53"/>
      <c r="E20" s="53">
        <f t="shared" si="0"/>
        <v>33000</v>
      </c>
      <c r="F20" s="54"/>
      <c r="G20" s="54">
        <f t="shared" si="1"/>
        <v>29184</v>
      </c>
      <c r="H20" s="54">
        <f t="shared" si="2"/>
        <v>3816</v>
      </c>
      <c r="I20" s="55"/>
    </row>
    <row r="21" spans="1:9" ht="12.75" customHeight="1" x14ac:dyDescent="0.25">
      <c r="A21" s="230"/>
      <c r="B21" s="50"/>
      <c r="C21" s="58"/>
      <c r="D21" s="53"/>
      <c r="E21" s="53">
        <f t="shared" si="0"/>
        <v>33000</v>
      </c>
      <c r="F21" s="54"/>
      <c r="G21" s="54">
        <f t="shared" si="1"/>
        <v>29184</v>
      </c>
      <c r="H21" s="54">
        <f t="shared" si="2"/>
        <v>3816</v>
      </c>
      <c r="I21" s="55"/>
    </row>
    <row r="22" spans="1:9" ht="12.75" customHeight="1" x14ac:dyDescent="0.25">
      <c r="A22" s="230"/>
      <c r="B22" s="51"/>
      <c r="C22" s="59"/>
      <c r="D22" s="54"/>
      <c r="E22" s="54"/>
      <c r="F22" s="54"/>
      <c r="G22" s="54"/>
      <c r="H22" s="54"/>
      <c r="I22" s="55"/>
    </row>
    <row r="23" spans="1:9" ht="12.75" customHeight="1" thickBot="1" x14ac:dyDescent="0.3">
      <c r="A23" s="230"/>
      <c r="B23" s="243"/>
      <c r="C23" s="244" t="s">
        <v>24</v>
      </c>
      <c r="D23" s="245">
        <f>SUM(D9:D22)</f>
        <v>33000</v>
      </c>
      <c r="E23" s="245"/>
      <c r="F23" s="245">
        <f>SUM(F9:F22)</f>
        <v>29184</v>
      </c>
      <c r="G23" s="245"/>
      <c r="H23" s="245">
        <f>D23-F23</f>
        <v>3816</v>
      </c>
      <c r="I23" s="55"/>
    </row>
    <row r="24" spans="1:9" ht="12.75" customHeight="1" thickTop="1" x14ac:dyDescent="0.25">
      <c r="A24" s="230"/>
      <c r="B24" s="231"/>
      <c r="C24" s="240"/>
      <c r="D24" s="234"/>
      <c r="E24" s="234"/>
      <c r="F24" s="234"/>
      <c r="G24" s="234"/>
      <c r="H24" s="234"/>
      <c r="I24" s="55"/>
    </row>
    <row r="25" spans="1:9" ht="12.75" customHeight="1" x14ac:dyDescent="0.25">
      <c r="A25" s="49"/>
      <c r="B25" s="51"/>
      <c r="C25" s="59"/>
      <c r="D25" s="54"/>
      <c r="E25" s="54"/>
      <c r="F25" s="54"/>
      <c r="G25" s="54"/>
      <c r="H25" s="54"/>
      <c r="I25" s="55"/>
    </row>
    <row r="26" spans="1:9" ht="12.75" customHeight="1" x14ac:dyDescent="0.25">
      <c r="A26" s="49"/>
      <c r="B26" s="51"/>
      <c r="C26" s="136" t="s">
        <v>121</v>
      </c>
      <c r="D26" s="269">
        <v>24000</v>
      </c>
      <c r="E26" s="269"/>
      <c r="F26" s="269">
        <f>13440+10560</f>
        <v>24000</v>
      </c>
      <c r="G26" s="269"/>
      <c r="H26" s="269">
        <f>D26-F26</f>
        <v>0</v>
      </c>
      <c r="I26" s="55"/>
    </row>
    <row r="27" spans="1:9" ht="12.75" customHeight="1" x14ac:dyDescent="0.25">
      <c r="A27" s="49"/>
      <c r="B27" s="51"/>
      <c r="C27" s="136" t="s">
        <v>300</v>
      </c>
      <c r="D27" s="269">
        <v>1600</v>
      </c>
      <c r="E27" s="269"/>
      <c r="F27" s="269">
        <f>1600</f>
        <v>1600</v>
      </c>
      <c r="G27" s="269"/>
      <c r="H27" s="269">
        <f>D27-F27</f>
        <v>0</v>
      </c>
      <c r="I27" s="55"/>
    </row>
    <row r="28" spans="1:9" ht="12.75" customHeight="1" x14ac:dyDescent="0.25">
      <c r="A28" s="49"/>
      <c r="B28" s="51"/>
      <c r="C28" s="136" t="s">
        <v>122</v>
      </c>
      <c r="D28" s="269">
        <v>6400</v>
      </c>
      <c r="E28" s="269"/>
      <c r="F28" s="269">
        <f>800+928+928+928</f>
        <v>3584</v>
      </c>
      <c r="G28" s="269"/>
      <c r="H28" s="269">
        <f>D28-F28</f>
        <v>2816</v>
      </c>
      <c r="I28" s="55"/>
    </row>
    <row r="29" spans="1:9" ht="12.75" customHeight="1" x14ac:dyDescent="0.25">
      <c r="A29" s="49"/>
      <c r="B29" s="51"/>
      <c r="C29" s="136" t="s">
        <v>468</v>
      </c>
      <c r="D29" s="269">
        <v>1000</v>
      </c>
      <c r="E29" s="269"/>
      <c r="F29" s="269"/>
      <c r="G29" s="269"/>
      <c r="H29" s="269">
        <f>D29-F29</f>
        <v>1000</v>
      </c>
      <c r="I29" s="55"/>
    </row>
    <row r="30" spans="1:9" ht="12.75" customHeight="1" thickBot="1" x14ac:dyDescent="0.3">
      <c r="A30" s="49"/>
      <c r="B30" s="51"/>
      <c r="C30" s="255" t="s">
        <v>67</v>
      </c>
      <c r="D30" s="256">
        <f>SUM(D26:D29)</f>
        <v>33000</v>
      </c>
      <c r="E30" s="257"/>
      <c r="F30" s="256">
        <f>SUM(F26:F28)</f>
        <v>29184</v>
      </c>
      <c r="G30" s="257"/>
      <c r="H30" s="256">
        <f>SUM(H26:H29)</f>
        <v>3816</v>
      </c>
      <c r="I30" s="55"/>
    </row>
    <row r="31" spans="1:9" ht="12.75" customHeight="1" thickTop="1" x14ac:dyDescent="0.25">
      <c r="C31" s="223"/>
      <c r="D31" s="223"/>
      <c r="E31" s="223"/>
      <c r="F31" s="223"/>
      <c r="G31" s="223"/>
      <c r="H31" s="223"/>
    </row>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sheetData>
  <pageMargins left="0.25" right="0.25" top="0.95" bottom="0.75" header="0.09" footer="0.3"/>
  <pageSetup scale="8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3B8D4-7E30-4001-8A52-E66E8F8FE357}">
  <sheetPr>
    <pageSetUpPr fitToPage="1"/>
  </sheetPr>
  <dimension ref="A1:I130"/>
  <sheetViews>
    <sheetView topLeftCell="A5" zoomScaleNormal="100" workbookViewId="0">
      <selection activeCell="F16" sqref="F16"/>
    </sheetView>
  </sheetViews>
  <sheetFormatPr defaultColWidth="11.42578125" defaultRowHeight="15" customHeight="1" x14ac:dyDescent="0.25"/>
  <cols>
    <col min="1" max="1" width="24.5703125" customWidth="1"/>
    <col min="2" max="2" width="9.42578125" customWidth="1"/>
    <col min="3" max="3" width="19.28515625" bestFit="1" customWidth="1"/>
    <col min="4" max="4" width="14.42578125" customWidth="1"/>
    <col min="5" max="5" width="13.5703125" customWidth="1"/>
    <col min="6" max="6" width="12.42578125" customWidth="1"/>
    <col min="7" max="7" width="10.5703125" customWidth="1"/>
    <col min="8" max="8" width="12.5703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#9502.00'!B1</f>
        <v>DOC MPCF Hot and Cold Water Mains Replacement</v>
      </c>
      <c r="B1" s="3"/>
      <c r="C1" s="4"/>
      <c r="D1" s="4"/>
      <c r="E1" s="4"/>
      <c r="F1" s="28"/>
      <c r="G1" s="28"/>
      <c r="H1" s="29"/>
      <c r="I1" s="29"/>
    </row>
    <row r="2" spans="1:9" ht="15.75" x14ac:dyDescent="0.25">
      <c r="A2" s="6" t="str">
        <f>'RECAP #9502.00'!B2</f>
        <v>Project # 9502.00</v>
      </c>
      <c r="B2" s="5"/>
      <c r="C2" s="4"/>
      <c r="D2" s="4"/>
      <c r="E2" s="4"/>
      <c r="F2" s="28"/>
      <c r="G2" s="28"/>
      <c r="H2" s="29"/>
      <c r="I2" s="29"/>
    </row>
    <row r="3" spans="1:9" ht="15.75" x14ac:dyDescent="0.25">
      <c r="A3" s="7" t="str">
        <f>'RECAP #9502.00'!B3</f>
        <v>Program code 950200</v>
      </c>
      <c r="B3" s="5"/>
      <c r="C3" s="4"/>
      <c r="D3" s="8" t="str">
        <f>'RECAP #9502.00'!E3</f>
        <v>Major Program 4F04</v>
      </c>
      <c r="E3" s="4"/>
      <c r="F3" s="28"/>
      <c r="G3" s="28"/>
      <c r="H3" s="29"/>
      <c r="I3" s="29"/>
    </row>
    <row r="4" spans="1:9" ht="15.75" x14ac:dyDescent="0.25">
      <c r="A4" s="30" t="s">
        <v>635</v>
      </c>
      <c r="B4" s="31"/>
      <c r="C4" s="32"/>
      <c r="D4" s="33" t="s">
        <v>254</v>
      </c>
      <c r="E4" s="28"/>
      <c r="F4" s="28"/>
      <c r="G4" s="28"/>
      <c r="H4" s="29"/>
      <c r="I4" s="29"/>
    </row>
    <row r="5" spans="1:9" ht="15.75" x14ac:dyDescent="0.25">
      <c r="A5" s="34" t="s">
        <v>104</v>
      </c>
      <c r="B5" s="35"/>
      <c r="C5" s="36"/>
      <c r="D5" s="37" t="s">
        <v>255</v>
      </c>
      <c r="E5" s="38"/>
      <c r="F5" s="39"/>
      <c r="G5" s="39"/>
      <c r="H5" s="35"/>
      <c r="I5" s="29"/>
    </row>
    <row r="6" spans="1:9" ht="15.75" x14ac:dyDescent="0.25">
      <c r="A6" s="11" t="str">
        <f>'RECAP #9502.00'!B6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636</v>
      </c>
      <c r="B9" s="177">
        <v>46091</v>
      </c>
      <c r="C9" s="231" t="s">
        <v>109</v>
      </c>
      <c r="D9" s="232">
        <v>96273.29</v>
      </c>
      <c r="E9" s="233">
        <f>D9</f>
        <v>96273.29</v>
      </c>
      <c r="F9" s="234"/>
      <c r="G9" s="234"/>
      <c r="H9" s="234">
        <f>E9</f>
        <v>96273.29</v>
      </c>
      <c r="I9" s="235"/>
    </row>
    <row r="10" spans="1:9" s="223" customFormat="1" ht="12.75" customHeight="1" x14ac:dyDescent="0.25">
      <c r="A10" s="230" t="s">
        <v>779</v>
      </c>
      <c r="B10" s="236">
        <v>46126</v>
      </c>
      <c r="C10" s="231" t="s">
        <v>780</v>
      </c>
      <c r="D10" s="233"/>
      <c r="E10" s="233">
        <f t="shared" ref="E10:E21" si="0">E9+D10</f>
        <v>96273.29</v>
      </c>
      <c r="F10" s="237">
        <v>2958.4</v>
      </c>
      <c r="G10" s="234">
        <f t="shared" ref="G10:G21" si="1">G9+F10</f>
        <v>2958.4</v>
      </c>
      <c r="H10" s="234">
        <f t="shared" ref="H10:H21" si="2">H9-F10+D10</f>
        <v>93314.89</v>
      </c>
      <c r="I10" s="235"/>
    </row>
    <row r="11" spans="1:9" s="223" customFormat="1" ht="12.75" customHeight="1" x14ac:dyDescent="0.25">
      <c r="A11" s="230" t="s">
        <v>943</v>
      </c>
      <c r="B11" s="177">
        <v>46168</v>
      </c>
      <c r="C11" s="231" t="s">
        <v>944</v>
      </c>
      <c r="D11" s="233"/>
      <c r="E11" s="233">
        <f t="shared" si="0"/>
        <v>96273.29</v>
      </c>
      <c r="F11" s="237">
        <v>9549.59</v>
      </c>
      <c r="G11" s="234">
        <f t="shared" si="1"/>
        <v>12507.99</v>
      </c>
      <c r="H11" s="234">
        <f t="shared" si="2"/>
        <v>83765.3</v>
      </c>
      <c r="I11" s="235"/>
    </row>
    <row r="12" spans="1:9" s="223" customFormat="1" ht="12.75" customHeight="1" x14ac:dyDescent="0.25">
      <c r="A12" s="230" t="s">
        <v>1013</v>
      </c>
      <c r="B12" s="177">
        <v>46188</v>
      </c>
      <c r="C12" s="231" t="s">
        <v>1014</v>
      </c>
      <c r="D12" s="233"/>
      <c r="E12" s="233">
        <f t="shared" si="0"/>
        <v>96273.29</v>
      </c>
      <c r="F12" s="237">
        <v>18012.75</v>
      </c>
      <c r="G12" s="234">
        <f t="shared" si="1"/>
        <v>30520.739999999998</v>
      </c>
      <c r="H12" s="234">
        <f t="shared" si="2"/>
        <v>65752.55</v>
      </c>
      <c r="I12" s="235"/>
    </row>
    <row r="13" spans="1:9" s="223" customFormat="1" ht="12.75" customHeight="1" x14ac:dyDescent="0.25">
      <c r="A13" s="328" t="s">
        <v>1228</v>
      </c>
      <c r="B13" s="329">
        <v>46216</v>
      </c>
      <c r="C13" s="330" t="s">
        <v>1229</v>
      </c>
      <c r="D13" s="331"/>
      <c r="E13" s="331">
        <f t="shared" si="0"/>
        <v>96273.29</v>
      </c>
      <c r="F13" s="338">
        <v>14297.66</v>
      </c>
      <c r="G13" s="332">
        <f t="shared" si="1"/>
        <v>44818.399999999994</v>
      </c>
      <c r="H13" s="332">
        <f t="shared" si="2"/>
        <v>51454.89</v>
      </c>
      <c r="I13" s="333" t="s">
        <v>1285</v>
      </c>
    </row>
    <row r="14" spans="1:9" s="223" customFormat="1" ht="12.75" customHeight="1" x14ac:dyDescent="0.25">
      <c r="A14" s="230" t="s">
        <v>1313</v>
      </c>
      <c r="B14" s="177">
        <v>46225</v>
      </c>
      <c r="C14" s="231" t="s">
        <v>1286</v>
      </c>
      <c r="D14" s="232">
        <v>0</v>
      </c>
      <c r="E14" s="233">
        <f t="shared" si="0"/>
        <v>96273.29</v>
      </c>
      <c r="F14" s="234"/>
      <c r="G14" s="234">
        <f t="shared" si="1"/>
        <v>44818.399999999994</v>
      </c>
      <c r="H14" s="234">
        <f t="shared" si="2"/>
        <v>51454.89</v>
      </c>
      <c r="I14" s="235"/>
    </row>
    <row r="15" spans="1:9" s="223" customFormat="1" ht="12.75" customHeight="1" x14ac:dyDescent="0.25">
      <c r="A15" s="230" t="s">
        <v>1488</v>
      </c>
      <c r="B15" s="177">
        <v>46259</v>
      </c>
      <c r="C15" s="231" t="s">
        <v>1489</v>
      </c>
      <c r="D15" s="233"/>
      <c r="E15" s="233">
        <f t="shared" si="0"/>
        <v>96273.29</v>
      </c>
      <c r="F15" s="237">
        <v>7637.07</v>
      </c>
      <c r="G15" s="234">
        <f t="shared" si="1"/>
        <v>52455.469999999994</v>
      </c>
      <c r="H15" s="234">
        <f t="shared" si="2"/>
        <v>43817.82</v>
      </c>
      <c r="I15" s="235"/>
    </row>
    <row r="16" spans="1:9" s="223" customFormat="1" ht="12.75" customHeight="1" x14ac:dyDescent="0.25">
      <c r="A16" s="230" t="s">
        <v>1570</v>
      </c>
      <c r="B16" s="177">
        <v>46282</v>
      </c>
      <c r="C16" s="231" t="s">
        <v>1571</v>
      </c>
      <c r="D16" s="233"/>
      <c r="E16" s="233">
        <f t="shared" si="0"/>
        <v>96273.29</v>
      </c>
      <c r="F16" s="237">
        <v>9835.86</v>
      </c>
      <c r="G16" s="234">
        <f t="shared" si="1"/>
        <v>62291.329999999994</v>
      </c>
      <c r="H16" s="234">
        <f t="shared" si="2"/>
        <v>33981.96</v>
      </c>
      <c r="I16" s="235"/>
    </row>
    <row r="17" spans="1:9" s="223" customFormat="1" ht="12.75" customHeight="1" x14ac:dyDescent="0.25">
      <c r="A17" s="230"/>
      <c r="B17" s="177"/>
      <c r="C17" s="231"/>
      <c r="D17" s="233"/>
      <c r="E17" s="233">
        <f t="shared" si="0"/>
        <v>96273.29</v>
      </c>
      <c r="F17" s="238"/>
      <c r="G17" s="234">
        <f t="shared" si="1"/>
        <v>62291.329999999994</v>
      </c>
      <c r="H17" s="234">
        <f t="shared" si="2"/>
        <v>33981.96</v>
      </c>
      <c r="I17" s="235"/>
    </row>
    <row r="18" spans="1:9" s="223" customFormat="1" ht="12.75" customHeight="1" x14ac:dyDescent="0.25">
      <c r="A18" s="230"/>
      <c r="B18" s="177"/>
      <c r="C18" s="231"/>
      <c r="D18" s="233"/>
      <c r="E18" s="233">
        <f t="shared" si="0"/>
        <v>96273.29</v>
      </c>
      <c r="F18" s="238"/>
      <c r="G18" s="234">
        <f t="shared" si="1"/>
        <v>62291.329999999994</v>
      </c>
      <c r="H18" s="234">
        <f t="shared" si="2"/>
        <v>33981.96</v>
      </c>
      <c r="I18" s="235"/>
    </row>
    <row r="19" spans="1:9" s="223" customFormat="1" ht="12.75" customHeight="1" x14ac:dyDescent="0.25">
      <c r="A19" s="230"/>
      <c r="B19" s="177"/>
      <c r="C19" s="231"/>
      <c r="D19" s="233"/>
      <c r="E19" s="233">
        <f t="shared" si="0"/>
        <v>96273.29</v>
      </c>
      <c r="F19" s="234"/>
      <c r="G19" s="234">
        <f t="shared" si="1"/>
        <v>62291.329999999994</v>
      </c>
      <c r="H19" s="234">
        <f t="shared" si="2"/>
        <v>33981.96</v>
      </c>
      <c r="I19" s="235"/>
    </row>
    <row r="20" spans="1:9" s="223" customFormat="1" ht="12.75" customHeight="1" x14ac:dyDescent="0.25">
      <c r="A20" s="230"/>
      <c r="B20" s="177"/>
      <c r="C20" s="231"/>
      <c r="D20" s="233"/>
      <c r="E20" s="233">
        <f t="shared" si="0"/>
        <v>96273.29</v>
      </c>
      <c r="F20" s="234"/>
      <c r="G20" s="234">
        <f t="shared" si="1"/>
        <v>62291.329999999994</v>
      </c>
      <c r="H20" s="234">
        <f t="shared" si="2"/>
        <v>33981.96</v>
      </c>
      <c r="I20" s="235"/>
    </row>
    <row r="21" spans="1:9" s="223" customFormat="1" ht="12.75" customHeight="1" x14ac:dyDescent="0.25">
      <c r="A21" s="230"/>
      <c r="B21" s="177"/>
      <c r="C21" s="239"/>
      <c r="D21" s="233"/>
      <c r="E21" s="233">
        <f t="shared" si="0"/>
        <v>96273.29</v>
      </c>
      <c r="F21" s="234"/>
      <c r="G21" s="234">
        <f t="shared" si="1"/>
        <v>62291.329999999994</v>
      </c>
      <c r="H21" s="234">
        <f t="shared" si="2"/>
        <v>33981.96</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96273.29</v>
      </c>
      <c r="E23" s="245"/>
      <c r="F23" s="245">
        <f>SUM(F9:F22)</f>
        <v>62291.329999999994</v>
      </c>
      <c r="G23" s="245"/>
      <c r="H23" s="245">
        <f>D23-F23</f>
        <v>33981.96</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56653.29</v>
      </c>
      <c r="E26" s="254"/>
      <c r="F26" s="254">
        <f>2958.4+9129.59+4837.25+5933.16+5244.57+6831.86</f>
        <v>34934.829999999994</v>
      </c>
      <c r="G26" s="254"/>
      <c r="H26" s="254">
        <f>D26-F26</f>
        <v>21718.460000000006</v>
      </c>
      <c r="I26" s="235"/>
    </row>
    <row r="27" spans="1:9" s="223" customFormat="1" ht="12.75" customHeight="1" x14ac:dyDescent="0.25">
      <c r="A27" s="230"/>
      <c r="B27" s="231"/>
      <c r="C27" s="253" t="s">
        <v>111</v>
      </c>
      <c r="D27" s="254">
        <v>4620</v>
      </c>
      <c r="E27" s="254"/>
      <c r="F27" s="254">
        <f>420+420+420+420+252</f>
        <v>1932</v>
      </c>
      <c r="G27" s="254"/>
      <c r="H27" s="254">
        <f>D27-F27</f>
        <v>2688</v>
      </c>
      <c r="I27" s="235"/>
    </row>
    <row r="28" spans="1:9" s="223" customFormat="1" ht="12.75" customHeight="1" x14ac:dyDescent="0.25">
      <c r="A28" s="230"/>
      <c r="B28" s="231"/>
      <c r="C28" s="253" t="s">
        <v>637</v>
      </c>
      <c r="D28" s="254">
        <v>35000</v>
      </c>
      <c r="E28" s="254"/>
      <c r="F28" s="254">
        <f>12755.5+7944.5+1972.5+2752</f>
        <v>25424.5</v>
      </c>
      <c r="G28" s="254"/>
      <c r="H28" s="254">
        <f>D28-F28</f>
        <v>9575.5</v>
      </c>
      <c r="I28" s="235"/>
    </row>
    <row r="29" spans="1:9" s="223" customFormat="1" ht="12.75" customHeight="1" thickBot="1" x14ac:dyDescent="0.3">
      <c r="A29" s="230"/>
      <c r="B29" s="231"/>
      <c r="C29" s="255" t="s">
        <v>67</v>
      </c>
      <c r="D29" s="256">
        <f>SUM(D26:D28)</f>
        <v>96273.290000000008</v>
      </c>
      <c r="E29" s="257"/>
      <c r="F29" s="256">
        <f>SUM(F26:F28)</f>
        <v>62291.329999999994</v>
      </c>
      <c r="G29" s="257"/>
      <c r="H29" s="256">
        <f>SUM(H26:H28)</f>
        <v>33981.960000000006</v>
      </c>
      <c r="I29" s="235"/>
    </row>
    <row r="30" spans="1:9" s="223" customFormat="1" ht="12.75" customHeight="1" thickTop="1" x14ac:dyDescent="0.25"/>
    <row r="31" spans="1:9" s="223" customFormat="1" ht="12.75" customHeight="1" x14ac:dyDescent="0.25"/>
    <row r="32" spans="1:9" s="223" customFormat="1" ht="12.75" customHeight="1" x14ac:dyDescent="0.25"/>
    <row r="33" s="223" customFormat="1" ht="12.75" customHeight="1" x14ac:dyDescent="0.25"/>
    <row r="34" s="223" customFormat="1" ht="12.75" customHeight="1" x14ac:dyDescent="0.25"/>
    <row r="35" s="223" customFormat="1" ht="12.75" customHeight="1" x14ac:dyDescent="0.25"/>
    <row r="36" s="223" customFormat="1" ht="12.75" customHeight="1" x14ac:dyDescent="0.25"/>
    <row r="37" s="223" customFormat="1" ht="12.75" customHeight="1" x14ac:dyDescent="0.25"/>
    <row r="38" s="223" customFormat="1" ht="12.75" customHeight="1" x14ac:dyDescent="0.25"/>
    <row r="39" s="223" customFormat="1" ht="12.75" customHeight="1" x14ac:dyDescent="0.25"/>
    <row r="40" s="223" customFormat="1" ht="12.75" customHeight="1" x14ac:dyDescent="0.25"/>
    <row r="41" s="223" customFormat="1" ht="12.75" customHeight="1" x14ac:dyDescent="0.25"/>
    <row r="42" s="223" customFormat="1" ht="12.75" customHeight="1" x14ac:dyDescent="0.25"/>
    <row r="43" s="223" customFormat="1" ht="12.75" customHeight="1" x14ac:dyDescent="0.25"/>
    <row r="44" s="223" customFormat="1" ht="12.75" customHeight="1" x14ac:dyDescent="0.25"/>
    <row r="45" s="223" customFormat="1" ht="12.75" customHeight="1" x14ac:dyDescent="0.25"/>
    <row r="46" s="223" customFormat="1" ht="12.75" customHeight="1" x14ac:dyDescent="0.25"/>
    <row r="47" s="223" customFormat="1" ht="12.75" customHeight="1" x14ac:dyDescent="0.25"/>
    <row r="48" s="223" customFormat="1" ht="12.75" customHeight="1" x14ac:dyDescent="0.25"/>
    <row r="49" s="223" customFormat="1" ht="12.75" customHeight="1" x14ac:dyDescent="0.25"/>
    <row r="50" s="223" customFormat="1" ht="12.75" customHeight="1" x14ac:dyDescent="0.25"/>
    <row r="51" s="223" customFormat="1" ht="12.75" customHeight="1" x14ac:dyDescent="0.25"/>
    <row r="52" s="223" customFormat="1" ht="12.75" customHeight="1" x14ac:dyDescent="0.25"/>
    <row r="53" s="223" customFormat="1" ht="12.75" customHeight="1" x14ac:dyDescent="0.25"/>
    <row r="54" s="223" customFormat="1" ht="12.75" customHeight="1" x14ac:dyDescent="0.25"/>
    <row r="55" s="223" customFormat="1" ht="12.75" customHeight="1" x14ac:dyDescent="0.25"/>
    <row r="56" s="223" customFormat="1" ht="12.75" customHeight="1" x14ac:dyDescent="0.25"/>
    <row r="57" s="223" customFormat="1" ht="12.75" customHeight="1" x14ac:dyDescent="0.25"/>
    <row r="58" s="223" customFormat="1" ht="12.75" customHeight="1" x14ac:dyDescent="0.25"/>
    <row r="59" s="223" customFormat="1" ht="12.75" customHeight="1" x14ac:dyDescent="0.25"/>
    <row r="60" s="223" customFormat="1" ht="12.75" customHeight="1" x14ac:dyDescent="0.25"/>
    <row r="61" s="223" customFormat="1" ht="12.75" customHeight="1" x14ac:dyDescent="0.25"/>
    <row r="62" s="223" customFormat="1" ht="12.75" customHeight="1" x14ac:dyDescent="0.25"/>
    <row r="63" s="223" customFormat="1" ht="12.75" customHeight="1" x14ac:dyDescent="0.25"/>
    <row r="64" s="223" customFormat="1" ht="12.75" customHeight="1" x14ac:dyDescent="0.25"/>
    <row r="65" s="223" customFormat="1" ht="12.75" customHeight="1" x14ac:dyDescent="0.25"/>
    <row r="66" s="223" customFormat="1" ht="12.75" customHeight="1" x14ac:dyDescent="0.25"/>
    <row r="67" s="223" customFormat="1" ht="12.75" customHeight="1" x14ac:dyDescent="0.25"/>
    <row r="68" s="223" customFormat="1" ht="12.75" customHeight="1" x14ac:dyDescent="0.25"/>
    <row r="69" s="223" customFormat="1" ht="12.75" customHeight="1" x14ac:dyDescent="0.25"/>
    <row r="70" s="223" customFormat="1" ht="12.75" customHeight="1" x14ac:dyDescent="0.25"/>
    <row r="71" s="223" customFormat="1" ht="12.75" customHeight="1" x14ac:dyDescent="0.25"/>
    <row r="72" s="223" customFormat="1" ht="12.75" customHeight="1" x14ac:dyDescent="0.25"/>
    <row r="73" s="223" customFormat="1" ht="12.75" customHeight="1" x14ac:dyDescent="0.25"/>
    <row r="74" s="223" customFormat="1" ht="12.75" customHeight="1" x14ac:dyDescent="0.25"/>
    <row r="75" s="223" customFormat="1" ht="12.75" customHeight="1" x14ac:dyDescent="0.25"/>
    <row r="76" s="223" customFormat="1" ht="12.75" customHeight="1" x14ac:dyDescent="0.25"/>
    <row r="77" s="223" customFormat="1" ht="12.75" customHeight="1" x14ac:dyDescent="0.25"/>
    <row r="78" s="223" customFormat="1" ht="12.75" customHeight="1" x14ac:dyDescent="0.25"/>
    <row r="79" s="223" customFormat="1" ht="12.75" customHeight="1" x14ac:dyDescent="0.25"/>
    <row r="80" s="223" customFormat="1" ht="12.75" customHeight="1" x14ac:dyDescent="0.25"/>
    <row r="81" s="223" customFormat="1" ht="12.75" customHeight="1" x14ac:dyDescent="0.25"/>
    <row r="82" s="223" customFormat="1" ht="12.75" customHeight="1" x14ac:dyDescent="0.25"/>
    <row r="83" s="223" customFormat="1" ht="12.75" customHeight="1" x14ac:dyDescent="0.25"/>
    <row r="84" s="223" customFormat="1" ht="12.75" customHeight="1" x14ac:dyDescent="0.25"/>
    <row r="85" s="223" customFormat="1" ht="12.75" customHeight="1" x14ac:dyDescent="0.25"/>
    <row r="86" s="223" customFormat="1" ht="12.75" customHeight="1" x14ac:dyDescent="0.25"/>
    <row r="87" s="223" customFormat="1" ht="12.75" customHeight="1" x14ac:dyDescent="0.25"/>
    <row r="88" s="223" customFormat="1" ht="12.75" customHeight="1" x14ac:dyDescent="0.25"/>
    <row r="89" s="223" customFormat="1" ht="12.75" customHeight="1" x14ac:dyDescent="0.25"/>
    <row r="90" s="223" customFormat="1" ht="12.75" customHeight="1" x14ac:dyDescent="0.25"/>
    <row r="91" s="223" customFormat="1" ht="12.75" customHeight="1" x14ac:dyDescent="0.25"/>
    <row r="92" s="223" customFormat="1" ht="12.75" customHeight="1" x14ac:dyDescent="0.25"/>
    <row r="93" s="223" customFormat="1" ht="12.75" customHeight="1" x14ac:dyDescent="0.25"/>
    <row r="94" s="223" customFormat="1" ht="12.75" customHeight="1" x14ac:dyDescent="0.25"/>
    <row r="95" s="223" customFormat="1"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sheetData>
  <conditionalFormatting sqref="I8:I12 I14:I23">
    <cfRule type="cellIs" dxfId="35" priority="1" operator="greaterThan">
      <formula>$H$23</formula>
    </cfRule>
  </conditionalFormatting>
  <pageMargins left="0.25" right="0.25" top="0.95" bottom="0.75" header="0.09" footer="0.3"/>
  <pageSetup scale="8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7AEDC-D15B-44A8-9B6B-5395CF818BFE}">
  <sheetPr>
    <pageSetUpPr fitToPage="1"/>
  </sheetPr>
  <dimension ref="A1:J130"/>
  <sheetViews>
    <sheetView zoomScaleNormal="100" workbookViewId="0">
      <selection activeCell="F17" sqref="F17"/>
    </sheetView>
  </sheetViews>
  <sheetFormatPr defaultColWidth="11.42578125" defaultRowHeight="15" customHeight="1" x14ac:dyDescent="0.25"/>
  <cols>
    <col min="1" max="1" width="24.5703125" customWidth="1"/>
    <col min="2" max="2" width="9.42578125" customWidth="1"/>
    <col min="3" max="3" width="19.28515625" bestFit="1" customWidth="1"/>
    <col min="4" max="4" width="14.42578125" customWidth="1"/>
    <col min="5" max="5" width="13.5703125" customWidth="1"/>
    <col min="6" max="6" width="12.42578125" customWidth="1"/>
    <col min="7" max="7" width="10.5703125" customWidth="1"/>
    <col min="8" max="8" width="12.5703125" customWidth="1"/>
    <col min="9" max="9" width="12.85546875"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#9502.00'!B1</f>
        <v>DOC MPCF Hot and Cold Water Mains Replacement</v>
      </c>
      <c r="B1" s="231"/>
      <c r="C1" s="232"/>
      <c r="D1" s="4"/>
      <c r="E1" s="4"/>
      <c r="F1" s="28"/>
      <c r="G1" s="28"/>
      <c r="H1" s="29"/>
      <c r="I1" s="29"/>
    </row>
    <row r="2" spans="1:10" ht="15.75" x14ac:dyDescent="0.25">
      <c r="A2" s="6" t="str">
        <f>'RECAP #9502.00'!B2</f>
        <v>Project # 9502.00</v>
      </c>
      <c r="B2" s="5"/>
      <c r="C2" s="4"/>
      <c r="D2" s="4"/>
      <c r="E2" s="4"/>
      <c r="F2" s="28"/>
      <c r="G2" s="28"/>
      <c r="H2" s="29"/>
      <c r="I2" s="29"/>
    </row>
    <row r="3" spans="1:10" ht="15.75" x14ac:dyDescent="0.25">
      <c r="A3" s="7" t="str">
        <f>'RECAP #9502.00'!B3</f>
        <v>Program code 950200</v>
      </c>
      <c r="B3" s="5"/>
      <c r="C3" s="4"/>
      <c r="D3" s="8" t="str">
        <f>'RECAP #9502.00'!E3</f>
        <v>Major Program 4F04</v>
      </c>
      <c r="E3" s="4"/>
      <c r="F3" s="28"/>
      <c r="G3" s="28"/>
      <c r="H3" s="29"/>
      <c r="I3" s="29"/>
    </row>
    <row r="4" spans="1:10" ht="15.75" x14ac:dyDescent="0.25">
      <c r="A4" s="30" t="s">
        <v>599</v>
      </c>
      <c r="B4" s="31"/>
      <c r="C4" s="32"/>
      <c r="D4" s="33" t="s">
        <v>600</v>
      </c>
      <c r="E4" s="28"/>
      <c r="F4" s="28"/>
      <c r="G4" s="28"/>
      <c r="H4" s="29"/>
      <c r="I4" s="29"/>
    </row>
    <row r="5" spans="1:10" ht="15.75" x14ac:dyDescent="0.25">
      <c r="A5" s="34" t="s">
        <v>104</v>
      </c>
      <c r="B5" s="35"/>
      <c r="C5" s="36"/>
      <c r="D5" s="37" t="s">
        <v>650</v>
      </c>
      <c r="E5" s="38"/>
      <c r="F5" s="39"/>
      <c r="G5" s="39"/>
      <c r="H5" s="35"/>
      <c r="I5" s="29"/>
    </row>
    <row r="6" spans="1:10" ht="15.75" x14ac:dyDescent="0.25">
      <c r="A6" s="11" t="str">
        <f>'RECAP #9502.00'!B6</f>
        <v>Project Manager - Brandon A.</v>
      </c>
      <c r="B6" s="11"/>
      <c r="C6" s="40"/>
      <c r="D6" s="41" t="s">
        <v>386</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89" t="s">
        <v>529</v>
      </c>
    </row>
    <row r="9" spans="1:10" s="223" customFormat="1" ht="12.75" customHeight="1" x14ac:dyDescent="0.25">
      <c r="A9" s="230" t="s">
        <v>651</v>
      </c>
      <c r="B9" s="177">
        <v>46097</v>
      </c>
      <c r="C9" s="231" t="s">
        <v>109</v>
      </c>
      <c r="D9" s="232">
        <v>700000</v>
      </c>
      <c r="E9" s="233">
        <f>D9</f>
        <v>700000</v>
      </c>
      <c r="F9" s="234"/>
      <c r="G9" s="234"/>
      <c r="H9" s="234">
        <f>E9</f>
        <v>700000</v>
      </c>
      <c r="I9" s="235"/>
    </row>
    <row r="10" spans="1:10" s="223" customFormat="1" ht="12.75" customHeight="1" x14ac:dyDescent="0.25">
      <c r="A10" s="230" t="s">
        <v>651</v>
      </c>
      <c r="B10" s="236">
        <v>46127</v>
      </c>
      <c r="C10" s="231" t="s">
        <v>781</v>
      </c>
      <c r="D10" s="232">
        <v>0</v>
      </c>
      <c r="E10" s="233">
        <f t="shared" ref="E10:E21" si="0">E9+D10</f>
        <v>700000</v>
      </c>
      <c r="F10" s="237"/>
      <c r="G10" s="234">
        <f t="shared" ref="G10:G21" si="1">G9+F10</f>
        <v>0</v>
      </c>
      <c r="H10" s="234">
        <f t="shared" ref="H10:H21" si="2">H9-F10+D10</f>
        <v>700000</v>
      </c>
      <c r="I10" s="235"/>
    </row>
    <row r="11" spans="1:10" s="223" customFormat="1" ht="12.75" customHeight="1" x14ac:dyDescent="0.25">
      <c r="A11" s="230" t="s">
        <v>966</v>
      </c>
      <c r="B11" s="177">
        <v>46175</v>
      </c>
      <c r="C11" s="231" t="s">
        <v>967</v>
      </c>
      <c r="D11" s="233"/>
      <c r="E11" s="233">
        <f t="shared" si="0"/>
        <v>700000</v>
      </c>
      <c r="F11" s="237">
        <v>255110</v>
      </c>
      <c r="G11" s="234">
        <f t="shared" si="1"/>
        <v>255110</v>
      </c>
      <c r="H11" s="234">
        <f t="shared" si="2"/>
        <v>444890</v>
      </c>
      <c r="I11" s="297">
        <v>7890</v>
      </c>
    </row>
    <row r="12" spans="1:10" s="223" customFormat="1" ht="12.75" customHeight="1" x14ac:dyDescent="0.25">
      <c r="A12" s="230" t="s">
        <v>1094</v>
      </c>
      <c r="B12" s="177">
        <v>46196</v>
      </c>
      <c r="C12" s="231" t="s">
        <v>1095</v>
      </c>
      <c r="D12" s="233"/>
      <c r="E12" s="233">
        <f t="shared" si="0"/>
        <v>700000</v>
      </c>
      <c r="F12" s="237">
        <v>146470</v>
      </c>
      <c r="G12" s="234">
        <f t="shared" si="1"/>
        <v>401580</v>
      </c>
      <c r="H12" s="234">
        <f t="shared" si="2"/>
        <v>298420</v>
      </c>
      <c r="I12" s="297">
        <f>I11+4530</f>
        <v>12420</v>
      </c>
    </row>
    <row r="13" spans="1:10" s="223" customFormat="1" ht="12.75" customHeight="1" x14ac:dyDescent="0.25">
      <c r="A13" s="328" t="s">
        <v>1267</v>
      </c>
      <c r="B13" s="329">
        <v>46219</v>
      </c>
      <c r="C13" s="330" t="s">
        <v>1268</v>
      </c>
      <c r="D13" s="331"/>
      <c r="E13" s="331">
        <f t="shared" si="0"/>
        <v>700000</v>
      </c>
      <c r="F13" s="338">
        <v>38266.5</v>
      </c>
      <c r="G13" s="332">
        <f t="shared" si="1"/>
        <v>439846.5</v>
      </c>
      <c r="H13" s="332">
        <f t="shared" si="2"/>
        <v>260153.5</v>
      </c>
      <c r="I13" s="336">
        <f>1183.5+12420</f>
        <v>13603.5</v>
      </c>
      <c r="J13" s="333" t="s">
        <v>1285</v>
      </c>
    </row>
    <row r="14" spans="1:10" s="223" customFormat="1" ht="12.75" customHeight="1" x14ac:dyDescent="0.25">
      <c r="A14" s="230" t="s">
        <v>1314</v>
      </c>
      <c r="B14" s="177">
        <v>46225</v>
      </c>
      <c r="C14" s="231" t="s">
        <v>1286</v>
      </c>
      <c r="D14" s="232">
        <v>0</v>
      </c>
      <c r="E14" s="233">
        <f t="shared" si="0"/>
        <v>700000</v>
      </c>
      <c r="F14" s="234"/>
      <c r="G14" s="234">
        <f t="shared" si="1"/>
        <v>439846.5</v>
      </c>
      <c r="H14" s="234">
        <f t="shared" si="2"/>
        <v>260153.5</v>
      </c>
      <c r="I14" s="297"/>
    </row>
    <row r="15" spans="1:10" s="223" customFormat="1" ht="12.75" customHeight="1" x14ac:dyDescent="0.25">
      <c r="A15" s="230" t="s">
        <v>1314</v>
      </c>
      <c r="B15" s="177">
        <v>46252</v>
      </c>
      <c r="C15" s="231" t="s">
        <v>825</v>
      </c>
      <c r="D15" s="232">
        <v>17890.97</v>
      </c>
      <c r="E15" s="233">
        <f t="shared" si="0"/>
        <v>717890.97</v>
      </c>
      <c r="F15" s="238"/>
      <c r="G15" s="234">
        <f t="shared" si="1"/>
        <v>439846.5</v>
      </c>
      <c r="H15" s="234">
        <f t="shared" si="2"/>
        <v>278044.46999999997</v>
      </c>
      <c r="I15" s="297"/>
    </row>
    <row r="16" spans="1:10" s="223" customFormat="1" ht="12.75" customHeight="1" x14ac:dyDescent="0.25">
      <c r="A16" s="230" t="s">
        <v>1314</v>
      </c>
      <c r="B16" s="177">
        <v>46274</v>
      </c>
      <c r="C16" s="231" t="s">
        <v>987</v>
      </c>
      <c r="D16" s="232">
        <v>9811.08</v>
      </c>
      <c r="E16" s="233">
        <f t="shared" si="0"/>
        <v>727702.04999999993</v>
      </c>
      <c r="F16" s="238"/>
      <c r="G16" s="234">
        <f t="shared" si="1"/>
        <v>439846.5</v>
      </c>
      <c r="H16" s="234">
        <f t="shared" si="2"/>
        <v>287855.55</v>
      </c>
      <c r="I16" s="297"/>
    </row>
    <row r="17" spans="1:9" s="223" customFormat="1" ht="12.75" customHeight="1" x14ac:dyDescent="0.25">
      <c r="A17" s="230" t="s">
        <v>1562</v>
      </c>
      <c r="B17" s="177">
        <v>46281</v>
      </c>
      <c r="C17" s="231" t="s">
        <v>1563</v>
      </c>
      <c r="D17" s="233"/>
      <c r="E17" s="233">
        <f t="shared" si="0"/>
        <v>727702.04999999993</v>
      </c>
      <c r="F17" s="237">
        <v>53388.800000000003</v>
      </c>
      <c r="G17" s="234">
        <f t="shared" si="1"/>
        <v>493235.3</v>
      </c>
      <c r="H17" s="234">
        <f t="shared" si="2"/>
        <v>234466.75</v>
      </c>
      <c r="I17" s="297">
        <f>I13+1651.2</f>
        <v>15254.7</v>
      </c>
    </row>
    <row r="18" spans="1:9" s="223" customFormat="1" ht="12.75" customHeight="1" x14ac:dyDescent="0.25">
      <c r="A18" s="230"/>
      <c r="B18" s="177"/>
      <c r="C18" s="231"/>
      <c r="D18" s="233"/>
      <c r="E18" s="233">
        <f t="shared" si="0"/>
        <v>727702.04999999993</v>
      </c>
      <c r="F18" s="238"/>
      <c r="G18" s="234">
        <f t="shared" si="1"/>
        <v>493235.3</v>
      </c>
      <c r="H18" s="234">
        <f t="shared" si="2"/>
        <v>234466.75</v>
      </c>
      <c r="I18" s="297"/>
    </row>
    <row r="19" spans="1:9" s="223" customFormat="1" ht="12.75" customHeight="1" x14ac:dyDescent="0.25">
      <c r="A19" s="230"/>
      <c r="B19" s="177"/>
      <c r="C19" s="231"/>
      <c r="D19" s="233"/>
      <c r="E19" s="233">
        <f t="shared" si="0"/>
        <v>727702.04999999993</v>
      </c>
      <c r="F19" s="234"/>
      <c r="G19" s="234">
        <f t="shared" si="1"/>
        <v>493235.3</v>
      </c>
      <c r="H19" s="234">
        <f t="shared" si="2"/>
        <v>234466.75</v>
      </c>
      <c r="I19" s="297"/>
    </row>
    <row r="20" spans="1:9" s="223" customFormat="1" ht="12.75" customHeight="1" x14ac:dyDescent="0.25">
      <c r="A20" s="230"/>
      <c r="B20" s="177"/>
      <c r="C20" s="231"/>
      <c r="D20" s="233"/>
      <c r="E20" s="233">
        <f t="shared" si="0"/>
        <v>727702.04999999993</v>
      </c>
      <c r="F20" s="234"/>
      <c r="G20" s="234">
        <f t="shared" si="1"/>
        <v>493235.3</v>
      </c>
      <c r="H20" s="234">
        <f t="shared" si="2"/>
        <v>234466.75</v>
      </c>
      <c r="I20" s="297"/>
    </row>
    <row r="21" spans="1:9" s="223" customFormat="1" ht="12.75" customHeight="1" x14ac:dyDescent="0.25">
      <c r="A21" s="230"/>
      <c r="B21" s="177"/>
      <c r="C21" s="239"/>
      <c r="D21" s="233"/>
      <c r="E21" s="233">
        <f t="shared" si="0"/>
        <v>727702.04999999993</v>
      </c>
      <c r="F21" s="234"/>
      <c r="G21" s="234">
        <f t="shared" si="1"/>
        <v>493235.3</v>
      </c>
      <c r="H21" s="234">
        <f t="shared" si="2"/>
        <v>234466.75</v>
      </c>
      <c r="I21" s="297"/>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727702.04999999993</v>
      </c>
      <c r="E23" s="245"/>
      <c r="F23" s="245">
        <f>SUM(F9:F22)</f>
        <v>493235.3</v>
      </c>
      <c r="G23" s="245"/>
      <c r="H23" s="245">
        <f>D23-F23</f>
        <v>234466.74999999994</v>
      </c>
      <c r="I23" s="298"/>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c r="D26" s="270"/>
      <c r="E26" s="270"/>
      <c r="F26" s="270"/>
      <c r="G26" s="270"/>
      <c r="H26" s="270"/>
      <c r="I26" s="235"/>
    </row>
    <row r="27" spans="1:9" s="223" customFormat="1" ht="12.75" customHeight="1" x14ac:dyDescent="0.25">
      <c r="A27" s="230"/>
      <c r="B27" s="231"/>
      <c r="C27" s="253"/>
      <c r="D27" s="270"/>
      <c r="E27" s="270"/>
      <c r="F27" s="270"/>
      <c r="G27" s="270"/>
      <c r="H27" s="270"/>
      <c r="I27" s="235"/>
    </row>
    <row r="28" spans="1:9" s="223" customFormat="1" ht="12.75" customHeight="1" x14ac:dyDescent="0.25">
      <c r="A28" s="230"/>
      <c r="B28" s="231"/>
      <c r="C28" s="253"/>
      <c r="D28" s="270"/>
      <c r="E28" s="270"/>
      <c r="F28" s="270"/>
      <c r="G28" s="270"/>
      <c r="H28" s="270"/>
      <c r="I28" s="235"/>
    </row>
    <row r="29" spans="1:9" s="223" customFormat="1" ht="12.75" customHeight="1" x14ac:dyDescent="0.25">
      <c r="A29" s="230"/>
      <c r="B29" s="231"/>
      <c r="C29" s="255"/>
      <c r="D29" s="271"/>
      <c r="E29" s="271"/>
      <c r="F29" s="271"/>
      <c r="G29" s="271"/>
      <c r="H29" s="271"/>
      <c r="I29" s="235"/>
    </row>
    <row r="30" spans="1:9" s="223" customFormat="1" ht="12.75" customHeight="1" x14ac:dyDescent="0.25"/>
    <row r="31" spans="1:9" s="223" customFormat="1" ht="12.75" customHeight="1" x14ac:dyDescent="0.25"/>
    <row r="32" spans="1:9" s="223" customFormat="1" ht="12.75" customHeight="1" x14ac:dyDescent="0.25"/>
    <row r="33" s="223" customFormat="1" ht="12.75" customHeight="1" x14ac:dyDescent="0.25"/>
    <row r="34" s="223" customFormat="1" ht="12.75" customHeight="1" x14ac:dyDescent="0.25"/>
    <row r="35" s="223" customFormat="1" ht="12.75" customHeight="1" x14ac:dyDescent="0.25"/>
    <row r="36" s="223" customFormat="1" ht="12.75" customHeight="1" x14ac:dyDescent="0.25"/>
    <row r="37" s="223" customFormat="1" ht="12.75" customHeight="1" x14ac:dyDescent="0.25"/>
    <row r="38" s="223" customFormat="1" ht="12.75" customHeight="1" x14ac:dyDescent="0.25"/>
    <row r="39" s="223" customFormat="1" ht="12.75" customHeight="1" x14ac:dyDescent="0.25"/>
    <row r="40" s="223" customFormat="1" ht="12.75" customHeight="1" x14ac:dyDescent="0.25"/>
    <row r="41" s="223" customFormat="1" ht="12.75" customHeight="1" x14ac:dyDescent="0.25"/>
    <row r="42" s="223" customFormat="1" ht="12.75" customHeight="1" x14ac:dyDescent="0.25"/>
    <row r="43" s="223" customFormat="1" ht="12.75" customHeight="1" x14ac:dyDescent="0.25"/>
    <row r="44" s="223" customFormat="1" ht="12.75" customHeight="1" x14ac:dyDescent="0.25"/>
    <row r="45" s="223" customFormat="1" ht="12.75" customHeight="1" x14ac:dyDescent="0.25"/>
    <row r="46" s="223" customFormat="1" ht="12.75" customHeight="1" x14ac:dyDescent="0.25"/>
    <row r="47" s="223" customFormat="1" ht="12.75" customHeight="1" x14ac:dyDescent="0.25"/>
    <row r="48" s="223" customFormat="1" ht="12.75" customHeight="1" x14ac:dyDescent="0.25"/>
    <row r="49" s="223" customFormat="1" ht="12.75" customHeight="1" x14ac:dyDescent="0.25"/>
    <row r="50" s="223" customFormat="1" ht="12.75" customHeight="1" x14ac:dyDescent="0.25"/>
    <row r="51" s="223" customFormat="1" ht="12.75" customHeight="1" x14ac:dyDescent="0.25"/>
    <row r="52" s="223" customFormat="1" ht="12.75" customHeight="1" x14ac:dyDescent="0.25"/>
    <row r="53" s="223" customFormat="1" ht="12.75" customHeight="1" x14ac:dyDescent="0.25"/>
    <row r="54" s="223" customFormat="1" ht="12.75" customHeight="1" x14ac:dyDescent="0.25"/>
    <row r="55" s="223" customFormat="1" ht="12.75" customHeight="1" x14ac:dyDescent="0.25"/>
    <row r="56" s="223" customFormat="1" ht="12.75" customHeight="1" x14ac:dyDescent="0.25"/>
    <row r="57" s="223" customFormat="1" ht="12.75" customHeight="1" x14ac:dyDescent="0.25"/>
    <row r="58" s="223" customFormat="1" ht="12.75" customHeight="1" x14ac:dyDescent="0.25"/>
    <row r="59" s="223" customFormat="1" ht="12.75" customHeight="1" x14ac:dyDescent="0.25"/>
    <row r="60" s="223" customFormat="1" ht="12.75" customHeight="1" x14ac:dyDescent="0.25"/>
    <row r="61" s="223" customFormat="1" ht="12.75" customHeight="1" x14ac:dyDescent="0.25"/>
    <row r="62" s="223" customFormat="1" ht="12.75" customHeight="1" x14ac:dyDescent="0.25"/>
    <row r="63" s="223" customFormat="1" ht="12.75" customHeight="1" x14ac:dyDescent="0.25"/>
    <row r="64" s="223" customFormat="1" ht="12.75" customHeight="1" x14ac:dyDescent="0.25"/>
    <row r="65" s="223" customFormat="1" ht="12.75" customHeight="1" x14ac:dyDescent="0.25"/>
    <row r="66" s="223" customFormat="1" ht="12.75" customHeight="1" x14ac:dyDescent="0.25"/>
    <row r="67" s="223" customFormat="1" ht="12.75" customHeight="1" x14ac:dyDescent="0.25"/>
    <row r="68" s="223" customFormat="1" ht="12.75" customHeight="1" x14ac:dyDescent="0.25"/>
    <row r="69" s="223" customFormat="1" ht="12.75" customHeight="1" x14ac:dyDescent="0.25"/>
    <row r="70" s="223" customFormat="1" ht="12.75" customHeight="1" x14ac:dyDescent="0.25"/>
    <row r="71" s="223" customFormat="1" ht="12.75" customHeight="1" x14ac:dyDescent="0.25"/>
    <row r="72" s="223" customFormat="1" ht="12.75" customHeight="1" x14ac:dyDescent="0.25"/>
    <row r="73" s="223" customFormat="1" ht="12.75" customHeight="1" x14ac:dyDescent="0.25"/>
    <row r="74" s="223" customFormat="1" ht="12.75" customHeight="1" x14ac:dyDescent="0.25"/>
    <row r="75" s="223" customFormat="1" ht="12.75" customHeight="1" x14ac:dyDescent="0.25"/>
    <row r="76" s="223" customFormat="1" ht="12.75" customHeight="1" x14ac:dyDescent="0.25"/>
    <row r="77" s="223" customFormat="1" ht="12.75" customHeight="1" x14ac:dyDescent="0.25"/>
    <row r="78" s="223" customFormat="1" ht="12.75" customHeight="1" x14ac:dyDescent="0.25"/>
    <row r="79" s="223" customFormat="1" ht="12.75" customHeight="1" x14ac:dyDescent="0.25"/>
    <row r="80" s="223" customFormat="1" ht="12.75" customHeight="1" x14ac:dyDescent="0.25"/>
    <row r="81" s="223" customFormat="1" ht="12.75" customHeight="1" x14ac:dyDescent="0.25"/>
    <row r="82" s="223" customFormat="1" ht="12.75" customHeight="1" x14ac:dyDescent="0.25"/>
    <row r="83" s="223" customFormat="1" ht="12.75" customHeight="1" x14ac:dyDescent="0.25"/>
    <row r="84" s="223" customFormat="1" ht="12.75" customHeight="1" x14ac:dyDescent="0.25"/>
    <row r="85" s="223" customFormat="1" ht="12.75" customHeight="1" x14ac:dyDescent="0.25"/>
    <row r="86" s="223" customFormat="1" ht="12.75" customHeight="1" x14ac:dyDescent="0.25"/>
    <row r="87" s="223" customFormat="1" ht="12.75" customHeight="1" x14ac:dyDescent="0.25"/>
    <row r="88" s="223" customFormat="1" ht="12.75" customHeight="1" x14ac:dyDescent="0.25"/>
    <row r="89" s="223" customFormat="1" ht="12.75" customHeight="1" x14ac:dyDescent="0.25"/>
    <row r="90" s="223" customFormat="1" ht="12.75" customHeight="1" x14ac:dyDescent="0.25"/>
    <row r="91" s="223" customFormat="1" ht="12.75" customHeight="1" x14ac:dyDescent="0.25"/>
    <row r="92" s="223" customFormat="1" ht="12.75" customHeight="1" x14ac:dyDescent="0.25"/>
    <row r="93" s="223" customFormat="1" ht="12.75" customHeight="1" x14ac:dyDescent="0.25"/>
    <row r="94" s="223" customFormat="1" ht="12.75" customHeight="1" x14ac:dyDescent="0.25"/>
    <row r="95" s="223" customFormat="1"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sheetData>
  <pageMargins left="0.25" right="0.25" top="0.95" bottom="0.75" header="0.09" footer="0.3"/>
  <pageSetup scale="7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A1B23-FE86-42BD-82EC-5055EC33FB3D}">
  <sheetPr>
    <pageSetUpPr fitToPage="1"/>
  </sheetPr>
  <dimension ref="A1:G19"/>
  <sheetViews>
    <sheetView topLeftCell="A3" zoomScaleNormal="100" workbookViewId="0">
      <selection activeCell="B21" sqref="B21"/>
    </sheetView>
  </sheetViews>
  <sheetFormatPr defaultColWidth="11.42578125" defaultRowHeight="15" customHeight="1" x14ac:dyDescent="0.25"/>
  <cols>
    <col min="1" max="1" width="3.5703125" customWidth="1"/>
    <col min="2" max="2" width="29.710937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155</v>
      </c>
      <c r="C1" s="3"/>
      <c r="D1" s="4"/>
      <c r="E1" s="4"/>
      <c r="F1" s="4"/>
      <c r="G1" s="4"/>
    </row>
    <row r="2" spans="1:7" ht="15.75" x14ac:dyDescent="0.25">
      <c r="A2" s="1"/>
      <c r="B2" s="6" t="s">
        <v>202</v>
      </c>
      <c r="C2" s="5"/>
      <c r="D2" s="4"/>
      <c r="E2" s="4"/>
      <c r="F2" s="4"/>
      <c r="G2" s="4"/>
    </row>
    <row r="3" spans="1:7" ht="15.75" x14ac:dyDescent="0.25">
      <c r="A3" s="1"/>
      <c r="B3" s="7" t="s">
        <v>203</v>
      </c>
      <c r="C3" s="5"/>
      <c r="D3" s="4"/>
      <c r="E3" s="8" t="s">
        <v>181</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204</v>
      </c>
      <c r="C6" s="12"/>
      <c r="D6" s="13" t="s">
        <v>2</v>
      </c>
      <c r="E6" s="4"/>
      <c r="F6" s="4"/>
      <c r="G6" s="4"/>
    </row>
    <row r="7" spans="1:7" ht="33" customHeight="1" thickBot="1" x14ac:dyDescent="0.3">
      <c r="A7" s="1"/>
      <c r="B7" s="14" t="s">
        <v>2</v>
      </c>
      <c r="C7" s="15" t="s">
        <v>3</v>
      </c>
      <c r="D7" s="16" t="s">
        <v>4</v>
      </c>
      <c r="E7" s="17" t="s">
        <v>5</v>
      </c>
      <c r="F7" s="18" t="s">
        <v>6</v>
      </c>
      <c r="G7" s="18" t="s">
        <v>7</v>
      </c>
    </row>
    <row r="8" spans="1:7" ht="28.35" customHeight="1" x14ac:dyDescent="0.25">
      <c r="A8" s="1"/>
      <c r="B8" s="1" t="s">
        <v>8</v>
      </c>
      <c r="C8" s="19">
        <f>FINANCIAL!G26</f>
        <v>440000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46"/>
      <c r="B10" s="247" t="s">
        <v>278</v>
      </c>
      <c r="C10" s="248"/>
      <c r="D10" s="251">
        <f>'#9503.00 Story Construction'!D23</f>
        <v>32546.06</v>
      </c>
      <c r="E10" s="251">
        <f>'#9503.00 Story Construction'!F23</f>
        <v>24370.909999999996</v>
      </c>
      <c r="F10" s="251">
        <f>'#9503.00 Story Construction'!H23</f>
        <v>8175.1500000000051</v>
      </c>
      <c r="G10" s="250"/>
    </row>
    <row r="11" spans="1:7" s="223" customFormat="1" ht="12.75" customHeight="1" x14ac:dyDescent="0.25">
      <c r="A11" s="246"/>
      <c r="B11" s="247" t="s">
        <v>10</v>
      </c>
      <c r="C11" s="248"/>
      <c r="D11" s="251">
        <f>'#9503.00 PM TIME '!E35</f>
        <v>12500</v>
      </c>
      <c r="E11" s="251">
        <f>'#9503.00 PM TIME '!G35</f>
        <v>7826.57</v>
      </c>
      <c r="F11" s="251">
        <f>'#9503.00 PM TIME '!I35</f>
        <v>4673.43</v>
      </c>
      <c r="G11" s="250"/>
    </row>
    <row r="12" spans="1:7" s="223" customFormat="1" ht="12.75" customHeight="1" x14ac:dyDescent="0.25">
      <c r="A12" s="246"/>
      <c r="B12" s="247" t="s">
        <v>11</v>
      </c>
      <c r="C12" s="249"/>
      <c r="D12" s="252">
        <f>'#9503.00 Misc'!G22</f>
        <v>0</v>
      </c>
      <c r="E12" s="252">
        <f>'#9503.00 Misc'!H22</f>
        <v>0</v>
      </c>
      <c r="F12" s="251">
        <f>D12-E12</f>
        <v>0</v>
      </c>
      <c r="G12" s="250"/>
    </row>
    <row r="13" spans="1:7" s="223" customFormat="1" ht="12.75" customHeight="1" x14ac:dyDescent="0.25">
      <c r="A13" s="273" t="s">
        <v>250</v>
      </c>
      <c r="B13" s="247" t="s">
        <v>284</v>
      </c>
      <c r="C13" s="249"/>
      <c r="D13" s="252">
        <f>'#9503.00 SystemWorks'!D23</f>
        <v>6890</v>
      </c>
      <c r="E13" s="252">
        <f>'#9503.00 SystemWorks'!F23</f>
        <v>6890</v>
      </c>
      <c r="F13" s="251">
        <f>'#9503.00 SystemWorks'!H23</f>
        <v>0</v>
      </c>
      <c r="G13" s="250"/>
    </row>
    <row r="14" spans="1:7" s="223" customFormat="1" ht="12.75" customHeight="1" x14ac:dyDescent="0.25">
      <c r="A14" s="273"/>
      <c r="B14" s="247" t="s">
        <v>736</v>
      </c>
      <c r="C14" s="249"/>
      <c r="D14" s="252">
        <f>'#9503.00 10Fold Architecture'!D23</f>
        <v>46490</v>
      </c>
      <c r="E14" s="252">
        <f>'#9503.00 10Fold Architecture'!F23</f>
        <v>27890</v>
      </c>
      <c r="F14" s="251">
        <f>'#9503.00 10Fold Architecture'!H23</f>
        <v>18600</v>
      </c>
      <c r="G14" s="250"/>
    </row>
    <row r="15" spans="1:7" s="223" customFormat="1" ht="12.75" customHeight="1" x14ac:dyDescent="0.25">
      <c r="A15" s="273" t="s">
        <v>250</v>
      </c>
      <c r="B15" s="247" t="s">
        <v>826</v>
      </c>
      <c r="C15" s="249"/>
      <c r="D15" s="252">
        <f>'#9503.00 Story Construction (2)'!D23</f>
        <v>6344</v>
      </c>
      <c r="E15" s="252">
        <f>'#9503.00 Story Construction (2)'!F23</f>
        <v>6344</v>
      </c>
      <c r="F15" s="251">
        <f>'#9503.00 Story Construction (2)'!H23</f>
        <v>0</v>
      </c>
      <c r="G15" s="250"/>
    </row>
    <row r="16" spans="1:7" s="223" customFormat="1" ht="12.75" customHeight="1" x14ac:dyDescent="0.25">
      <c r="A16" s="273"/>
      <c r="B16" s="247" t="s">
        <v>1503</v>
      </c>
      <c r="C16" s="249"/>
      <c r="D16" s="252">
        <f>'#9503.00 ForSureRoofing'!D23</f>
        <v>920</v>
      </c>
      <c r="E16" s="252">
        <f>'#9503.00 ForSureRoofing'!F23</f>
        <v>0</v>
      </c>
      <c r="F16" s="251">
        <f>'#9503.00 ForSureRoofing'!H23</f>
        <v>920</v>
      </c>
      <c r="G16" s="250"/>
    </row>
    <row r="17" spans="1:7" s="223" customFormat="1" ht="12.75" customHeight="1" x14ac:dyDescent="0.25">
      <c r="A17" s="246"/>
      <c r="B17" s="247"/>
      <c r="C17" s="249"/>
      <c r="D17" s="252"/>
      <c r="E17" s="252"/>
      <c r="F17" s="251"/>
      <c r="G17" s="250"/>
    </row>
    <row r="18" spans="1:7" ht="24" customHeight="1" thickBot="1" x14ac:dyDescent="0.3">
      <c r="A18" s="25"/>
      <c r="B18" s="26" t="s">
        <v>12</v>
      </c>
      <c r="C18" s="27">
        <f>SUM(C8:C17)</f>
        <v>440000</v>
      </c>
      <c r="D18" s="27">
        <f>SUM(D8:D17)</f>
        <v>105690.06</v>
      </c>
      <c r="E18" s="27">
        <f>SUM(E8:E17)</f>
        <v>73321.48</v>
      </c>
      <c r="F18" s="27">
        <f>SUM(D18-E18)</f>
        <v>32368.58</v>
      </c>
      <c r="G18" s="27">
        <f>C8-D18</f>
        <v>334309.94</v>
      </c>
    </row>
    <row r="19" spans="1:7" ht="15" customHeight="1" thickTop="1" x14ac:dyDescent="0.25"/>
  </sheetData>
  <pageMargins left="0.25" right="0.25" top="1.2496875000000001" bottom="0.75" header="0.09" footer="0.3"/>
  <pageSetup scale="8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DC5CC-64E0-42D6-9305-C02D6AA83355}">
  <sheetPr>
    <pageSetUpPr fitToPage="1"/>
  </sheetPr>
  <dimension ref="A1:I30"/>
  <sheetViews>
    <sheetView zoomScaleNormal="100" workbookViewId="0">
      <selection activeCell="F17" sqref="F1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#9503.00'!B1</f>
        <v>HHS WRC CDC Freezer Repair</v>
      </c>
      <c r="B1" s="3"/>
      <c r="C1" s="4"/>
      <c r="D1" s="4"/>
      <c r="E1" s="4"/>
      <c r="F1" s="28"/>
      <c r="G1" s="28"/>
      <c r="H1" s="29"/>
      <c r="I1" s="29"/>
    </row>
    <row r="2" spans="1:9" ht="15.75" x14ac:dyDescent="0.25">
      <c r="A2" s="6" t="str">
        <f>'RECAP #9503.00'!B2</f>
        <v>Project # 9503.00</v>
      </c>
      <c r="B2" s="5"/>
      <c r="C2" s="4"/>
      <c r="D2" s="4"/>
      <c r="E2" s="4"/>
      <c r="F2" s="28"/>
      <c r="G2" s="28"/>
      <c r="H2" s="29"/>
      <c r="I2" s="29"/>
    </row>
    <row r="3" spans="1:9" ht="15.75" x14ac:dyDescent="0.25">
      <c r="A3" s="7" t="str">
        <f>'RECAP #9503.00'!B3</f>
        <v>Program code 950300</v>
      </c>
      <c r="B3" s="5"/>
      <c r="C3" s="4"/>
      <c r="D3" s="8" t="str">
        <f>'RECAP #9503.00'!E3</f>
        <v>Major Program 4E19</v>
      </c>
      <c r="E3" s="4"/>
      <c r="F3" s="28"/>
      <c r="G3" s="28"/>
      <c r="H3" s="29"/>
      <c r="I3" s="29"/>
    </row>
    <row r="4" spans="1:9" ht="15.75" x14ac:dyDescent="0.25">
      <c r="A4" s="30" t="s">
        <v>278</v>
      </c>
      <c r="B4" s="31"/>
      <c r="C4" s="32"/>
      <c r="D4" s="33" t="s">
        <v>279</v>
      </c>
      <c r="E4" s="28"/>
      <c r="F4" s="28"/>
      <c r="G4" s="28"/>
      <c r="H4" s="29"/>
      <c r="I4" s="29"/>
    </row>
    <row r="5" spans="1:9" ht="15.75" x14ac:dyDescent="0.25">
      <c r="A5" s="34" t="s">
        <v>104</v>
      </c>
      <c r="B5" s="35"/>
      <c r="C5" s="36"/>
      <c r="D5" s="37" t="s">
        <v>280</v>
      </c>
      <c r="E5" s="38"/>
      <c r="F5" s="39"/>
      <c r="G5" s="39"/>
      <c r="H5" s="35"/>
      <c r="I5" s="29"/>
    </row>
    <row r="6" spans="1:9" ht="15.75" x14ac:dyDescent="0.25">
      <c r="A6" s="11" t="str">
        <f>'RECAP #9503.00'!B6</f>
        <v>Project Manager - Jennifer K.</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283</v>
      </c>
      <c r="B9" s="177">
        <v>45946</v>
      </c>
      <c r="C9" s="231" t="s">
        <v>109</v>
      </c>
      <c r="D9" s="232">
        <v>25378.59</v>
      </c>
      <c r="E9" s="233">
        <f>D9</f>
        <v>25378.59</v>
      </c>
      <c r="F9" s="234"/>
      <c r="G9" s="234"/>
      <c r="H9" s="234">
        <f>E9</f>
        <v>25378.59</v>
      </c>
      <c r="I9" s="235"/>
    </row>
    <row r="10" spans="1:9" s="223" customFormat="1" ht="12.75" customHeight="1" x14ac:dyDescent="0.25">
      <c r="A10" s="230" t="s">
        <v>429</v>
      </c>
      <c r="B10" s="236">
        <v>46038</v>
      </c>
      <c r="C10" s="231" t="s">
        <v>430</v>
      </c>
      <c r="D10" s="233"/>
      <c r="E10" s="233">
        <f t="shared" ref="E10:E21" si="0">E9+D10</f>
        <v>25378.59</v>
      </c>
      <c r="F10" s="237">
        <v>1588.62</v>
      </c>
      <c r="G10" s="234">
        <f t="shared" ref="G10:G21" si="1">G9+F10</f>
        <v>1588.62</v>
      </c>
      <c r="H10" s="234">
        <f t="shared" ref="H10:H21" si="2">H9-F10+D10</f>
        <v>23789.97</v>
      </c>
      <c r="I10" s="235"/>
    </row>
    <row r="11" spans="1:9" s="223" customFormat="1" ht="12.75" customHeight="1" x14ac:dyDescent="0.25">
      <c r="A11" s="230" t="s">
        <v>799</v>
      </c>
      <c r="B11" s="177">
        <v>46129</v>
      </c>
      <c r="C11" s="231" t="s">
        <v>800</v>
      </c>
      <c r="D11" s="233"/>
      <c r="E11" s="233">
        <f t="shared" si="0"/>
        <v>25378.59</v>
      </c>
      <c r="F11" s="237">
        <v>7557.34</v>
      </c>
      <c r="G11" s="234">
        <f t="shared" si="1"/>
        <v>9145.9599999999991</v>
      </c>
      <c r="H11" s="234">
        <f t="shared" si="2"/>
        <v>16232.630000000001</v>
      </c>
      <c r="I11" s="235"/>
    </row>
    <row r="12" spans="1:9" s="223" customFormat="1" ht="12.75" customHeight="1" x14ac:dyDescent="0.25">
      <c r="A12" s="230" t="s">
        <v>939</v>
      </c>
      <c r="B12" s="177">
        <v>46168</v>
      </c>
      <c r="C12" s="231" t="s">
        <v>940</v>
      </c>
      <c r="D12" s="233"/>
      <c r="E12" s="233">
        <f t="shared" si="0"/>
        <v>25378.59</v>
      </c>
      <c r="F12" s="237">
        <v>5969.18</v>
      </c>
      <c r="G12" s="234">
        <f t="shared" si="1"/>
        <v>15115.14</v>
      </c>
      <c r="H12" s="234">
        <f t="shared" si="2"/>
        <v>10263.450000000001</v>
      </c>
      <c r="I12" s="235"/>
    </row>
    <row r="13" spans="1:9" s="223" customFormat="1" ht="12.75" customHeight="1" x14ac:dyDescent="0.25">
      <c r="A13" s="230" t="s">
        <v>1088</v>
      </c>
      <c r="B13" s="177">
        <v>46192</v>
      </c>
      <c r="C13" s="231" t="s">
        <v>1089</v>
      </c>
      <c r="D13" s="233"/>
      <c r="E13" s="233">
        <f t="shared" si="0"/>
        <v>25378.59</v>
      </c>
      <c r="F13" s="237">
        <v>3498.46</v>
      </c>
      <c r="G13" s="234">
        <f t="shared" si="1"/>
        <v>18613.599999999999</v>
      </c>
      <c r="H13" s="234">
        <f t="shared" si="2"/>
        <v>6764.9900000000007</v>
      </c>
      <c r="I13" s="235"/>
    </row>
    <row r="14" spans="1:9" s="223" customFormat="1" ht="12.75" customHeight="1" x14ac:dyDescent="0.25">
      <c r="A14" s="328" t="s">
        <v>1252</v>
      </c>
      <c r="B14" s="329">
        <v>46218</v>
      </c>
      <c r="C14" s="330" t="s">
        <v>1253</v>
      </c>
      <c r="D14" s="331"/>
      <c r="E14" s="331">
        <f t="shared" si="0"/>
        <v>25378.59</v>
      </c>
      <c r="F14" s="338">
        <v>2105.8200000000002</v>
      </c>
      <c r="G14" s="332">
        <f t="shared" si="1"/>
        <v>20719.419999999998</v>
      </c>
      <c r="H14" s="332">
        <f t="shared" si="2"/>
        <v>4659.17</v>
      </c>
      <c r="I14" s="333" t="s">
        <v>1285</v>
      </c>
    </row>
    <row r="15" spans="1:9" s="223" customFormat="1" ht="12.75" customHeight="1" x14ac:dyDescent="0.25">
      <c r="A15" s="230" t="s">
        <v>1315</v>
      </c>
      <c r="B15" s="177">
        <v>46225</v>
      </c>
      <c r="C15" s="231" t="s">
        <v>1286</v>
      </c>
      <c r="D15" s="232">
        <v>0</v>
      </c>
      <c r="E15" s="233">
        <f t="shared" si="0"/>
        <v>25378.59</v>
      </c>
      <c r="F15" s="238"/>
      <c r="G15" s="234">
        <f t="shared" si="1"/>
        <v>20719.419999999998</v>
      </c>
      <c r="H15" s="234">
        <f t="shared" si="2"/>
        <v>4659.17</v>
      </c>
      <c r="I15" s="235"/>
    </row>
    <row r="16" spans="1:9" s="223" customFormat="1" ht="12.75" customHeight="1" x14ac:dyDescent="0.25">
      <c r="A16" s="230" t="s">
        <v>1315</v>
      </c>
      <c r="B16" s="177">
        <v>46226</v>
      </c>
      <c r="C16" s="231" t="s">
        <v>468</v>
      </c>
      <c r="D16" s="232">
        <v>7167.47</v>
      </c>
      <c r="E16" s="233">
        <f t="shared" si="0"/>
        <v>32546.06</v>
      </c>
      <c r="F16" s="238"/>
      <c r="G16" s="234">
        <f t="shared" si="1"/>
        <v>20719.419999999998</v>
      </c>
      <c r="H16" s="234">
        <f t="shared" si="2"/>
        <v>11826.64</v>
      </c>
      <c r="I16" s="235"/>
    </row>
    <row r="17" spans="1:9" s="223" customFormat="1" ht="12.75" customHeight="1" x14ac:dyDescent="0.25">
      <c r="A17" s="230" t="s">
        <v>1578</v>
      </c>
      <c r="B17" s="177">
        <v>46286</v>
      </c>
      <c r="C17" s="231" t="s">
        <v>1579</v>
      </c>
      <c r="D17" s="233"/>
      <c r="E17" s="233">
        <f t="shared" si="0"/>
        <v>32546.06</v>
      </c>
      <c r="F17" s="237">
        <v>3651.49</v>
      </c>
      <c r="G17" s="234">
        <f t="shared" si="1"/>
        <v>24370.909999999996</v>
      </c>
      <c r="H17" s="234">
        <f t="shared" si="2"/>
        <v>8175.15</v>
      </c>
      <c r="I17" s="235"/>
    </row>
    <row r="18" spans="1:9" s="223" customFormat="1" ht="12.75" customHeight="1" x14ac:dyDescent="0.25">
      <c r="A18" s="230"/>
      <c r="B18" s="177"/>
      <c r="C18" s="231"/>
      <c r="D18" s="233"/>
      <c r="E18" s="233">
        <f t="shared" si="0"/>
        <v>32546.06</v>
      </c>
      <c r="F18" s="238"/>
      <c r="G18" s="234">
        <f t="shared" si="1"/>
        <v>24370.909999999996</v>
      </c>
      <c r="H18" s="234">
        <f t="shared" si="2"/>
        <v>8175.15</v>
      </c>
      <c r="I18" s="235"/>
    </row>
    <row r="19" spans="1:9" s="223" customFormat="1" ht="12.75" customHeight="1" x14ac:dyDescent="0.25">
      <c r="A19" s="230"/>
      <c r="B19" s="177"/>
      <c r="C19" s="231"/>
      <c r="D19" s="233"/>
      <c r="E19" s="233">
        <f t="shared" si="0"/>
        <v>32546.06</v>
      </c>
      <c r="F19" s="234"/>
      <c r="G19" s="234">
        <f t="shared" si="1"/>
        <v>24370.909999999996</v>
      </c>
      <c r="H19" s="234">
        <f t="shared" si="2"/>
        <v>8175.15</v>
      </c>
      <c r="I19" s="235"/>
    </row>
    <row r="20" spans="1:9" s="223" customFormat="1" ht="12.75" customHeight="1" x14ac:dyDescent="0.25">
      <c r="A20" s="230"/>
      <c r="B20" s="177"/>
      <c r="C20" s="231"/>
      <c r="D20" s="233"/>
      <c r="E20" s="233">
        <f t="shared" si="0"/>
        <v>32546.06</v>
      </c>
      <c r="F20" s="234"/>
      <c r="G20" s="234">
        <f t="shared" si="1"/>
        <v>24370.909999999996</v>
      </c>
      <c r="H20" s="234">
        <f t="shared" si="2"/>
        <v>8175.15</v>
      </c>
      <c r="I20" s="235"/>
    </row>
    <row r="21" spans="1:9" s="223" customFormat="1" ht="12.75" customHeight="1" x14ac:dyDescent="0.25">
      <c r="A21" s="230"/>
      <c r="B21" s="177"/>
      <c r="C21" s="239"/>
      <c r="D21" s="233"/>
      <c r="E21" s="233">
        <f t="shared" si="0"/>
        <v>32546.06</v>
      </c>
      <c r="F21" s="234"/>
      <c r="G21" s="234">
        <f t="shared" si="1"/>
        <v>24370.909999999996</v>
      </c>
      <c r="H21" s="234">
        <f t="shared" si="2"/>
        <v>8175.15</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32546.06</v>
      </c>
      <c r="E23" s="245"/>
      <c r="F23" s="245">
        <f>SUM(F9:F22)</f>
        <v>24370.909999999996</v>
      </c>
      <c r="G23" s="245"/>
      <c r="H23" s="245">
        <f>D23-F23</f>
        <v>8175.1500000000051</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25260.59</v>
      </c>
      <c r="E26" s="254"/>
      <c r="F26" s="254">
        <f>1588.62+7527.84+5939.68+3498.46+2105.82+3621.99</f>
        <v>24282.409999999996</v>
      </c>
      <c r="G26" s="254"/>
      <c r="H26" s="254">
        <f>D26-F26</f>
        <v>978.18000000000393</v>
      </c>
      <c r="I26" s="235"/>
    </row>
    <row r="27" spans="1:9" s="223" customFormat="1" ht="12.75" customHeight="1" x14ac:dyDescent="0.25">
      <c r="A27" s="230"/>
      <c r="B27" s="231"/>
      <c r="C27" s="253" t="s">
        <v>111</v>
      </c>
      <c r="D27" s="254">
        <v>118</v>
      </c>
      <c r="E27" s="254"/>
      <c r="F27" s="254">
        <f>29.5+29.5+29.5</f>
        <v>88.5</v>
      </c>
      <c r="G27" s="254"/>
      <c r="H27" s="254">
        <f>D27-F27</f>
        <v>29.5</v>
      </c>
      <c r="I27" s="235"/>
    </row>
    <row r="28" spans="1:9" s="223" customFormat="1" ht="12.75" customHeight="1" x14ac:dyDescent="0.25">
      <c r="A28" s="230"/>
      <c r="B28" s="231"/>
      <c r="C28" s="253" t="s">
        <v>468</v>
      </c>
      <c r="D28" s="254">
        <v>7167.47</v>
      </c>
      <c r="E28" s="254"/>
      <c r="F28" s="254"/>
      <c r="G28" s="254"/>
      <c r="H28" s="254">
        <f>D28-F28</f>
        <v>7167.47</v>
      </c>
      <c r="I28" s="235"/>
    </row>
    <row r="29" spans="1:9" s="223" customFormat="1" ht="12.75" customHeight="1" thickBot="1" x14ac:dyDescent="0.3">
      <c r="A29" s="230"/>
      <c r="B29" s="231"/>
      <c r="C29" s="255" t="s">
        <v>67</v>
      </c>
      <c r="D29" s="256">
        <f>SUM(D26:D28)</f>
        <v>32546.06</v>
      </c>
      <c r="E29" s="257"/>
      <c r="F29" s="256">
        <f>SUM(F26:F28)</f>
        <v>24370.909999999996</v>
      </c>
      <c r="G29" s="257"/>
      <c r="H29" s="256">
        <f>SUM(H26:H28)</f>
        <v>8175.1500000000042</v>
      </c>
      <c r="I29" s="235"/>
    </row>
    <row r="30" spans="1:9" s="223" customFormat="1" ht="12.75" customHeight="1" thickTop="1" x14ac:dyDescent="0.25"/>
  </sheetData>
  <conditionalFormatting sqref="I8:I13 I15:I23">
    <cfRule type="cellIs" dxfId="34"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DC197-66BE-4602-92DC-64DDAA685C37}">
  <sheetPr>
    <pageSetUpPr fitToPage="1"/>
  </sheetPr>
  <dimension ref="A1:J37"/>
  <sheetViews>
    <sheetView topLeftCell="A3" zoomScaleNormal="100" workbookViewId="0">
      <selection activeCell="L28" sqref="L28"/>
    </sheetView>
  </sheetViews>
  <sheetFormatPr defaultColWidth="11.42578125" defaultRowHeight="15" customHeight="1" x14ac:dyDescent="0.25"/>
  <cols>
    <col min="1" max="1" width="24.5703125" customWidth="1"/>
    <col min="2" max="3" width="9.42578125" customWidth="1"/>
    <col min="4" max="4" width="41.4257812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#9503.00'!B1</f>
        <v>HHS WRC CDC Freezer Repair</v>
      </c>
      <c r="B1" s="3"/>
      <c r="C1" s="3"/>
      <c r="D1" s="4"/>
      <c r="E1" s="4"/>
      <c r="F1" s="4"/>
      <c r="G1" s="28"/>
      <c r="H1" s="28"/>
      <c r="I1" s="29"/>
      <c r="J1" s="29"/>
    </row>
    <row r="2" spans="1:10" ht="15.75" x14ac:dyDescent="0.25">
      <c r="A2" s="6" t="str">
        <f>'RECAP #9503.00'!B2</f>
        <v>Project # 9503.00</v>
      </c>
      <c r="B2" s="5"/>
      <c r="C2" s="5"/>
      <c r="D2" s="4"/>
      <c r="E2" s="4"/>
      <c r="F2" s="4"/>
      <c r="G2" s="28"/>
      <c r="H2" s="28"/>
      <c r="I2" s="29"/>
      <c r="J2" s="29"/>
    </row>
    <row r="3" spans="1:10" ht="15.75" x14ac:dyDescent="0.25">
      <c r="A3" s="7" t="str">
        <f>'RECAP #9503.00'!B3</f>
        <v>Program code 950300</v>
      </c>
      <c r="B3" s="5"/>
      <c r="C3" s="5"/>
      <c r="D3" s="4"/>
      <c r="E3" s="8" t="str">
        <f>'RECAP #9503.00'!E3</f>
        <v>Major Program 4E19</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239</v>
      </c>
      <c r="F6" s="42"/>
      <c r="G6" s="43"/>
      <c r="H6" s="39"/>
      <c r="I6" s="35"/>
      <c r="J6" s="29"/>
    </row>
    <row r="7" spans="1:10" ht="15.75" x14ac:dyDescent="0.25">
      <c r="A7" s="11" t="str">
        <f>'RECAP #9503.00'!B6</f>
        <v>Project Manager - Jennifer K.</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f>8500+4000</f>
        <v>12500</v>
      </c>
      <c r="F9" s="233">
        <f>E9</f>
        <v>12500</v>
      </c>
      <c r="G9" s="234"/>
      <c r="H9" s="234"/>
      <c r="I9" s="234">
        <f>F9</f>
        <v>12500</v>
      </c>
      <c r="J9" s="235"/>
    </row>
    <row r="10" spans="1:10" s="223" customFormat="1" ht="12.75" customHeight="1" x14ac:dyDescent="0.25">
      <c r="A10" s="176" t="s">
        <v>314</v>
      </c>
      <c r="B10" s="177">
        <v>45968</v>
      </c>
      <c r="C10" s="241" t="s">
        <v>261</v>
      </c>
      <c r="D10" s="148" t="s">
        <v>315</v>
      </c>
      <c r="E10" s="233"/>
      <c r="F10" s="233">
        <f t="shared" ref="F10:F33" si="0">F9+E10</f>
        <v>12500</v>
      </c>
      <c r="G10" s="237">
        <v>63.24</v>
      </c>
      <c r="H10" s="234">
        <f t="shared" ref="H10:H33" si="1">H9+G10</f>
        <v>63.24</v>
      </c>
      <c r="I10" s="234">
        <f t="shared" ref="I10:I33" si="2">I9-G10+E10</f>
        <v>12436.76</v>
      </c>
      <c r="J10" s="235"/>
    </row>
    <row r="11" spans="1:10" s="223" customFormat="1" ht="12.75" customHeight="1" x14ac:dyDescent="0.25">
      <c r="A11" s="176" t="s">
        <v>314</v>
      </c>
      <c r="B11" s="177">
        <v>45968</v>
      </c>
      <c r="C11" s="241">
        <v>9500</v>
      </c>
      <c r="D11" s="149" t="s">
        <v>316</v>
      </c>
      <c r="E11" s="233"/>
      <c r="F11" s="233">
        <f t="shared" si="0"/>
        <v>12500</v>
      </c>
      <c r="G11" s="237">
        <v>625.70000000000005</v>
      </c>
      <c r="H11" s="234">
        <f t="shared" si="1"/>
        <v>688.94</v>
      </c>
      <c r="I11" s="234">
        <f t="shared" si="2"/>
        <v>11811.06</v>
      </c>
      <c r="J11" s="235"/>
    </row>
    <row r="12" spans="1:10" s="223" customFormat="1" ht="12.75" customHeight="1" x14ac:dyDescent="0.2">
      <c r="A12" s="70" t="s">
        <v>364</v>
      </c>
      <c r="B12" s="50">
        <v>45996</v>
      </c>
      <c r="C12" s="53" t="s">
        <v>261</v>
      </c>
      <c r="D12" s="144" t="s">
        <v>365</v>
      </c>
      <c r="E12" s="233"/>
      <c r="F12" s="233">
        <f t="shared" si="0"/>
        <v>12500</v>
      </c>
      <c r="G12" s="237">
        <v>44.83</v>
      </c>
      <c r="H12" s="234">
        <f t="shared" si="1"/>
        <v>733.7700000000001</v>
      </c>
      <c r="I12" s="234">
        <f t="shared" si="2"/>
        <v>11766.23</v>
      </c>
      <c r="J12" s="235"/>
    </row>
    <row r="13" spans="1:10" s="223" customFormat="1" ht="12.75" customHeight="1" x14ac:dyDescent="0.2">
      <c r="A13" s="70" t="s">
        <v>364</v>
      </c>
      <c r="B13" s="50">
        <v>45996</v>
      </c>
      <c r="C13" s="268">
        <v>9500</v>
      </c>
      <c r="D13" s="66" t="s">
        <v>366</v>
      </c>
      <c r="E13" s="233"/>
      <c r="F13" s="233">
        <f t="shared" si="0"/>
        <v>12500</v>
      </c>
      <c r="G13" s="237">
        <v>288.7</v>
      </c>
      <c r="H13" s="234">
        <f t="shared" si="1"/>
        <v>1022.47</v>
      </c>
      <c r="I13" s="234">
        <f t="shared" si="2"/>
        <v>11477.529999999999</v>
      </c>
      <c r="J13" s="235"/>
    </row>
    <row r="14" spans="1:10" s="223" customFormat="1" ht="12.75" customHeight="1" x14ac:dyDescent="0.2">
      <c r="A14" s="70" t="s">
        <v>548</v>
      </c>
      <c r="B14" s="50">
        <v>46062</v>
      </c>
      <c r="C14" s="53" t="s">
        <v>261</v>
      </c>
      <c r="D14" s="144" t="s">
        <v>549</v>
      </c>
      <c r="E14" s="233"/>
      <c r="F14" s="233">
        <f t="shared" si="0"/>
        <v>12500</v>
      </c>
      <c r="G14" s="237">
        <v>21.39</v>
      </c>
      <c r="H14" s="234">
        <f t="shared" si="1"/>
        <v>1043.8600000000001</v>
      </c>
      <c r="I14" s="234">
        <f t="shared" si="2"/>
        <v>11456.14</v>
      </c>
      <c r="J14" s="235"/>
    </row>
    <row r="15" spans="1:10" s="223" customFormat="1" ht="12.75" customHeight="1" x14ac:dyDescent="0.2">
      <c r="A15" s="70" t="s">
        <v>548</v>
      </c>
      <c r="B15" s="50">
        <v>46062</v>
      </c>
      <c r="C15" s="268">
        <v>9500</v>
      </c>
      <c r="D15" s="66" t="s">
        <v>550</v>
      </c>
      <c r="E15" s="233"/>
      <c r="F15" s="233">
        <f t="shared" si="0"/>
        <v>12500</v>
      </c>
      <c r="G15" s="237">
        <v>270.10000000000002</v>
      </c>
      <c r="H15" s="234">
        <f t="shared" si="1"/>
        <v>1313.96</v>
      </c>
      <c r="I15" s="234">
        <f t="shared" si="2"/>
        <v>11186.039999999999</v>
      </c>
      <c r="J15" s="235"/>
    </row>
    <row r="16" spans="1:10" s="223" customFormat="1" ht="12.75" customHeight="1" x14ac:dyDescent="0.2">
      <c r="A16" s="70" t="s">
        <v>644</v>
      </c>
      <c r="B16" s="50">
        <v>46090</v>
      </c>
      <c r="C16" s="53" t="s">
        <v>261</v>
      </c>
      <c r="D16" s="144" t="s">
        <v>645</v>
      </c>
      <c r="E16" s="233"/>
      <c r="F16" s="233">
        <f t="shared" si="0"/>
        <v>12500</v>
      </c>
      <c r="G16" s="237">
        <v>63.67</v>
      </c>
      <c r="H16" s="234">
        <f t="shared" si="1"/>
        <v>1377.63</v>
      </c>
      <c r="I16" s="234">
        <f t="shared" si="2"/>
        <v>11122.369999999999</v>
      </c>
      <c r="J16" s="235"/>
    </row>
    <row r="17" spans="1:10" s="223" customFormat="1" ht="12.75" customHeight="1" x14ac:dyDescent="0.2">
      <c r="A17" s="70" t="s">
        <v>644</v>
      </c>
      <c r="B17" s="50">
        <v>46090</v>
      </c>
      <c r="C17" s="268">
        <v>9500</v>
      </c>
      <c r="D17" s="66" t="s">
        <v>646</v>
      </c>
      <c r="E17" s="233"/>
      <c r="F17" s="233">
        <f t="shared" si="0"/>
        <v>12500</v>
      </c>
      <c r="G17" s="237">
        <v>732.1</v>
      </c>
      <c r="H17" s="234">
        <f t="shared" si="1"/>
        <v>2109.73</v>
      </c>
      <c r="I17" s="234">
        <f t="shared" si="2"/>
        <v>10390.269999999999</v>
      </c>
      <c r="J17" s="235"/>
    </row>
    <row r="18" spans="1:10" s="223" customFormat="1" ht="12.75" customHeight="1" x14ac:dyDescent="0.2">
      <c r="A18" s="70" t="s">
        <v>744</v>
      </c>
      <c r="B18" s="50">
        <v>46118</v>
      </c>
      <c r="C18" s="53" t="s">
        <v>261</v>
      </c>
      <c r="D18" s="144" t="s">
        <v>745</v>
      </c>
      <c r="E18" s="233"/>
      <c r="F18" s="233">
        <f t="shared" si="0"/>
        <v>12500</v>
      </c>
      <c r="G18" s="237">
        <v>197.88</v>
      </c>
      <c r="H18" s="234">
        <f t="shared" si="1"/>
        <v>2307.61</v>
      </c>
      <c r="I18" s="234">
        <f t="shared" si="2"/>
        <v>10192.39</v>
      </c>
      <c r="J18" s="235"/>
    </row>
    <row r="19" spans="1:10" s="223" customFormat="1" ht="12.75" customHeight="1" x14ac:dyDescent="0.2">
      <c r="A19" s="70" t="s">
        <v>744</v>
      </c>
      <c r="B19" s="50">
        <v>46118</v>
      </c>
      <c r="C19" s="268">
        <v>9500</v>
      </c>
      <c r="D19" s="66" t="s">
        <v>746</v>
      </c>
      <c r="E19" s="233"/>
      <c r="F19" s="233">
        <f t="shared" si="0"/>
        <v>12500</v>
      </c>
      <c r="G19" s="237">
        <v>1613.2</v>
      </c>
      <c r="H19" s="234">
        <f t="shared" si="1"/>
        <v>3920.8100000000004</v>
      </c>
      <c r="I19" s="234">
        <f t="shared" si="2"/>
        <v>8579.1899999999987</v>
      </c>
      <c r="J19" s="235"/>
    </row>
    <row r="20" spans="1:10" s="223" customFormat="1" ht="12.75" customHeight="1" x14ac:dyDescent="0.25">
      <c r="A20" s="70" t="s">
        <v>869</v>
      </c>
      <c r="B20" s="50">
        <v>46149</v>
      </c>
      <c r="C20" s="53" t="s">
        <v>261</v>
      </c>
      <c r="D20" s="144" t="s">
        <v>870</v>
      </c>
      <c r="E20"/>
      <c r="F20" s="233">
        <f t="shared" si="0"/>
        <v>12500</v>
      </c>
      <c r="G20" s="237">
        <v>85.13</v>
      </c>
      <c r="H20" s="234">
        <f t="shared" si="1"/>
        <v>4005.9400000000005</v>
      </c>
      <c r="I20" s="234">
        <f t="shared" si="2"/>
        <v>8494.06</v>
      </c>
      <c r="J20" s="235"/>
    </row>
    <row r="21" spans="1:10" s="223" customFormat="1" ht="12.75" customHeight="1" x14ac:dyDescent="0.25">
      <c r="A21" s="70" t="s">
        <v>869</v>
      </c>
      <c r="B21" s="50">
        <v>46149</v>
      </c>
      <c r="C21" s="268">
        <v>9500</v>
      </c>
      <c r="D21" s="66" t="s">
        <v>871</v>
      </c>
      <c r="E21"/>
      <c r="F21" s="233">
        <f t="shared" si="0"/>
        <v>12500</v>
      </c>
      <c r="G21" s="237">
        <v>890.8</v>
      </c>
      <c r="H21" s="234">
        <f t="shared" si="1"/>
        <v>4896.7400000000007</v>
      </c>
      <c r="I21" s="234">
        <f t="shared" si="2"/>
        <v>7603.2599999999993</v>
      </c>
      <c r="J21" s="235"/>
    </row>
    <row r="22" spans="1:10" s="223" customFormat="1" ht="12.75" customHeight="1" x14ac:dyDescent="0.2">
      <c r="A22" s="70" t="s">
        <v>984</v>
      </c>
      <c r="B22" s="50">
        <v>46181</v>
      </c>
      <c r="C22" s="53" t="s">
        <v>261</v>
      </c>
      <c r="D22" s="144" t="s">
        <v>985</v>
      </c>
      <c r="E22" s="233"/>
      <c r="F22" s="233">
        <f t="shared" si="0"/>
        <v>12500</v>
      </c>
      <c r="G22" s="237">
        <v>67.23</v>
      </c>
      <c r="H22" s="234">
        <f t="shared" si="1"/>
        <v>4963.97</v>
      </c>
      <c r="I22" s="234">
        <f t="shared" si="2"/>
        <v>7536.03</v>
      </c>
      <c r="J22" s="235"/>
    </row>
    <row r="23" spans="1:10" s="223" customFormat="1" ht="12.75" customHeight="1" x14ac:dyDescent="0.2">
      <c r="A23" s="70" t="s">
        <v>984</v>
      </c>
      <c r="B23" s="50">
        <v>46181</v>
      </c>
      <c r="C23" s="268">
        <v>9500</v>
      </c>
      <c r="D23" s="66" t="s">
        <v>986</v>
      </c>
      <c r="E23" s="233"/>
      <c r="F23" s="233">
        <f t="shared" si="0"/>
        <v>12500</v>
      </c>
      <c r="G23" s="237">
        <v>820.5</v>
      </c>
      <c r="H23" s="234">
        <f t="shared" si="1"/>
        <v>5784.47</v>
      </c>
      <c r="I23" s="234">
        <f t="shared" si="2"/>
        <v>6715.53</v>
      </c>
      <c r="J23" s="235"/>
    </row>
    <row r="24" spans="1:10" s="223" customFormat="1" ht="12.75" customHeight="1" x14ac:dyDescent="0.2">
      <c r="A24" s="70" t="s">
        <v>1186</v>
      </c>
      <c r="B24" s="50">
        <v>46211</v>
      </c>
      <c r="C24" s="53" t="s">
        <v>261</v>
      </c>
      <c r="D24" s="144" t="s">
        <v>1187</v>
      </c>
      <c r="E24" s="233"/>
      <c r="F24" s="233">
        <f t="shared" si="0"/>
        <v>12500</v>
      </c>
      <c r="G24" s="237">
        <v>20.95</v>
      </c>
      <c r="H24" s="234">
        <f t="shared" si="1"/>
        <v>5805.42</v>
      </c>
      <c r="I24" s="234">
        <f t="shared" si="2"/>
        <v>6694.58</v>
      </c>
      <c r="J24" s="235"/>
    </row>
    <row r="25" spans="1:10" s="223" customFormat="1" ht="12.75" customHeight="1" x14ac:dyDescent="0.2">
      <c r="A25" s="70" t="s">
        <v>1186</v>
      </c>
      <c r="B25" s="50">
        <v>46211</v>
      </c>
      <c r="C25" s="268">
        <v>9500</v>
      </c>
      <c r="D25" s="66" t="s">
        <v>1188</v>
      </c>
      <c r="E25" s="233"/>
      <c r="F25" s="233">
        <f t="shared" si="0"/>
        <v>12500</v>
      </c>
      <c r="G25" s="237">
        <v>240.7</v>
      </c>
      <c r="H25" s="234">
        <f t="shared" si="1"/>
        <v>6046.12</v>
      </c>
      <c r="I25" s="234">
        <f t="shared" si="2"/>
        <v>6453.88</v>
      </c>
      <c r="J25" s="235"/>
    </row>
    <row r="26" spans="1:10" s="223" customFormat="1" ht="12.75" customHeight="1" x14ac:dyDescent="0.2">
      <c r="A26" s="70" t="s">
        <v>1265</v>
      </c>
      <c r="B26" s="50">
        <v>46218</v>
      </c>
      <c r="C26" s="53" t="s">
        <v>261</v>
      </c>
      <c r="D26" s="144" t="s">
        <v>1266</v>
      </c>
      <c r="E26" s="233"/>
      <c r="F26" s="233">
        <f t="shared" si="0"/>
        <v>12500</v>
      </c>
      <c r="G26" s="237">
        <v>7.96</v>
      </c>
      <c r="H26" s="234">
        <f t="shared" si="1"/>
        <v>6054.08</v>
      </c>
      <c r="I26" s="234">
        <f t="shared" si="2"/>
        <v>6445.92</v>
      </c>
      <c r="J26" s="235"/>
    </row>
    <row r="27" spans="1:10" s="223" customFormat="1" ht="12.75" customHeight="1" x14ac:dyDescent="0.2">
      <c r="A27" s="70" t="s">
        <v>1436</v>
      </c>
      <c r="B27" s="365">
        <v>46241</v>
      </c>
      <c r="C27" s="53" t="s">
        <v>261</v>
      </c>
      <c r="D27" s="144" t="s">
        <v>1437</v>
      </c>
      <c r="E27" s="233"/>
      <c r="F27" s="233">
        <f t="shared" si="0"/>
        <v>12500</v>
      </c>
      <c r="G27" s="237">
        <v>57.42</v>
      </c>
      <c r="H27" s="234">
        <f t="shared" si="1"/>
        <v>6111.5</v>
      </c>
      <c r="I27" s="234">
        <f t="shared" si="2"/>
        <v>6388.5</v>
      </c>
      <c r="J27" s="235"/>
    </row>
    <row r="28" spans="1:10" s="223" customFormat="1" ht="12.75" customHeight="1" x14ac:dyDescent="0.2">
      <c r="A28" s="70" t="s">
        <v>1436</v>
      </c>
      <c r="B28" s="365">
        <v>46241</v>
      </c>
      <c r="C28" s="268">
        <v>9500</v>
      </c>
      <c r="D28" s="66" t="s">
        <v>1438</v>
      </c>
      <c r="E28" s="233"/>
      <c r="F28" s="233">
        <f t="shared" si="0"/>
        <v>12500</v>
      </c>
      <c r="G28" s="237">
        <v>615.4</v>
      </c>
      <c r="H28" s="234">
        <f t="shared" si="1"/>
        <v>6726.9</v>
      </c>
      <c r="I28" s="234">
        <f t="shared" si="2"/>
        <v>5773.1</v>
      </c>
      <c r="J28" s="235"/>
    </row>
    <row r="29" spans="1:10" s="223" customFormat="1" ht="12.75" customHeight="1" x14ac:dyDescent="0.2">
      <c r="A29" s="70" t="s">
        <v>1531</v>
      </c>
      <c r="B29" s="365">
        <v>46272</v>
      </c>
      <c r="C29" s="53" t="s">
        <v>261</v>
      </c>
      <c r="D29" s="144" t="s">
        <v>1532</v>
      </c>
      <c r="E29" s="233"/>
      <c r="F29" s="233">
        <f t="shared" si="0"/>
        <v>12500</v>
      </c>
      <c r="G29" s="237">
        <v>102.47</v>
      </c>
      <c r="H29" s="234">
        <f t="shared" si="1"/>
        <v>6829.37</v>
      </c>
      <c r="I29" s="234">
        <f t="shared" si="2"/>
        <v>5670.63</v>
      </c>
      <c r="J29" s="235"/>
    </row>
    <row r="30" spans="1:10" s="223" customFormat="1" ht="12.75" customHeight="1" x14ac:dyDescent="0.2">
      <c r="A30" s="70" t="s">
        <v>1531</v>
      </c>
      <c r="B30" s="365">
        <v>46272</v>
      </c>
      <c r="C30" s="268">
        <v>9500</v>
      </c>
      <c r="D30" s="66" t="s">
        <v>1533</v>
      </c>
      <c r="E30" s="233"/>
      <c r="F30" s="233">
        <f t="shared" si="0"/>
        <v>12500</v>
      </c>
      <c r="G30" s="237">
        <v>997.2</v>
      </c>
      <c r="H30" s="234">
        <f t="shared" si="1"/>
        <v>7826.57</v>
      </c>
      <c r="I30" s="234">
        <f t="shared" si="2"/>
        <v>4673.43</v>
      </c>
      <c r="J30" s="235"/>
    </row>
    <row r="31" spans="1:10" s="223" customFormat="1" ht="12.75" customHeight="1" x14ac:dyDescent="0.2">
      <c r="A31" s="70"/>
      <c r="B31" s="365"/>
      <c r="C31" s="268"/>
      <c r="D31" s="66"/>
      <c r="E31" s="233"/>
      <c r="F31" s="233">
        <f t="shared" si="0"/>
        <v>12500</v>
      </c>
      <c r="G31" s="238"/>
      <c r="H31" s="234">
        <f t="shared" si="1"/>
        <v>7826.57</v>
      </c>
      <c r="I31" s="234">
        <f t="shared" si="2"/>
        <v>4673.43</v>
      </c>
      <c r="J31" s="235"/>
    </row>
    <row r="32" spans="1:10" s="223" customFormat="1" ht="12.75" customHeight="1" x14ac:dyDescent="0.2">
      <c r="A32" s="70"/>
      <c r="B32" s="365"/>
      <c r="C32" s="268"/>
      <c r="D32" s="66"/>
      <c r="E32" s="233"/>
      <c r="F32" s="233">
        <f t="shared" si="0"/>
        <v>12500</v>
      </c>
      <c r="G32" s="238"/>
      <c r="H32" s="234">
        <f t="shared" si="1"/>
        <v>7826.57</v>
      </c>
      <c r="I32" s="234">
        <f t="shared" si="2"/>
        <v>4673.43</v>
      </c>
      <c r="J32" s="235"/>
    </row>
    <row r="33" spans="1:10" s="223" customFormat="1" ht="12.75" customHeight="1" x14ac:dyDescent="0.2">
      <c r="A33" s="70"/>
      <c r="B33" s="50"/>
      <c r="C33" s="53"/>
      <c r="D33" s="144"/>
      <c r="E33" s="233"/>
      <c r="F33" s="233">
        <f t="shared" si="0"/>
        <v>12500</v>
      </c>
      <c r="G33" s="237"/>
      <c r="H33" s="234">
        <f t="shared" si="1"/>
        <v>7826.57</v>
      </c>
      <c r="I33" s="234">
        <f t="shared" si="2"/>
        <v>4673.43</v>
      </c>
      <c r="J33" s="235"/>
    </row>
    <row r="34" spans="1:10" s="223" customFormat="1" ht="12.75" customHeight="1" x14ac:dyDescent="0.25">
      <c r="A34" s="230"/>
      <c r="B34" s="231"/>
      <c r="C34" s="241"/>
      <c r="D34" s="240"/>
      <c r="E34" s="234"/>
      <c r="F34" s="234"/>
      <c r="G34" s="234"/>
      <c r="H34" s="234"/>
      <c r="I34" s="234"/>
      <c r="J34" s="235"/>
    </row>
    <row r="35" spans="1:10" s="223" customFormat="1" ht="12.75" customHeight="1" thickBot="1" x14ac:dyDescent="0.3">
      <c r="A35" s="230"/>
      <c r="B35" s="243"/>
      <c r="C35" s="241"/>
      <c r="D35" s="244" t="s">
        <v>24</v>
      </c>
      <c r="E35" s="245">
        <f>SUM(E9:E34)</f>
        <v>12500</v>
      </c>
      <c r="F35" s="245"/>
      <c r="G35" s="245">
        <f>SUM(G9:G34)</f>
        <v>7826.57</v>
      </c>
      <c r="H35" s="245"/>
      <c r="I35" s="245">
        <f>E35-G35</f>
        <v>4673.43</v>
      </c>
      <c r="J35" s="235"/>
    </row>
    <row r="36" spans="1:10" s="223" customFormat="1" ht="12.75" customHeight="1" thickTop="1" x14ac:dyDescent="0.25"/>
    <row r="37" spans="1:10" s="223" customFormat="1" ht="12.75" customHeight="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B6A4A-D2DB-4BF9-86F9-56499D737205}">
  <sheetPr>
    <tabColor indexed="30"/>
    <pageSetUpPr fitToPage="1"/>
  </sheetPr>
  <dimension ref="A1:H24"/>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#9503.00'!B1</f>
        <v>HHS WRC CDC Freezer Repair</v>
      </c>
      <c r="B1" s="3"/>
      <c r="C1" s="3"/>
      <c r="D1" s="3"/>
      <c r="E1" s="4"/>
      <c r="F1" s="4"/>
      <c r="G1" s="4"/>
      <c r="H1" s="28"/>
    </row>
    <row r="2" spans="1:8" ht="15.75" x14ac:dyDescent="0.25">
      <c r="A2" s="6" t="str">
        <f>'RECAP #9503.00'!B2</f>
        <v>Project # 9503.00</v>
      </c>
      <c r="B2" s="5"/>
      <c r="C2" s="5"/>
      <c r="D2" s="5"/>
      <c r="E2" s="4"/>
      <c r="F2" s="4"/>
      <c r="G2" s="4"/>
      <c r="H2" s="28"/>
    </row>
    <row r="3" spans="1:8" ht="15.75" x14ac:dyDescent="0.25">
      <c r="A3" s="7" t="str">
        <f>'RECAP #9503.00'!B3</f>
        <v>Program code 950300</v>
      </c>
      <c r="B3" s="5"/>
      <c r="C3" s="5"/>
      <c r="D3" s="5"/>
      <c r="E3" s="8" t="str">
        <f>'RECAP #9503.00'!E3</f>
        <v>Major Program 4E19</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289</v>
      </c>
      <c r="F6" s="35"/>
      <c r="G6" s="38"/>
      <c r="H6" s="39"/>
    </row>
    <row r="7" spans="1:8" ht="15.75" x14ac:dyDescent="0.25">
      <c r="A7" s="11" t="str">
        <f>'RECAP #9503.00'!B6</f>
        <v>Project Manager - Jennifer K.</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ht="12.75" customHeight="1" x14ac:dyDescent="0.25">
      <c r="A9" s="58"/>
      <c r="B9" s="50"/>
      <c r="C9" s="49"/>
      <c r="D9" s="49"/>
      <c r="E9" s="70"/>
      <c r="F9" s="71"/>
      <c r="G9" s="63"/>
      <c r="H9" s="63">
        <f>G9</f>
        <v>0</v>
      </c>
    </row>
    <row r="10" spans="1:8" ht="12.75" customHeight="1" x14ac:dyDescent="0.25">
      <c r="A10" s="65"/>
      <c r="B10" s="50"/>
      <c r="C10" s="59"/>
      <c r="D10" s="59"/>
      <c r="E10" s="38"/>
      <c r="F10" s="24"/>
      <c r="G10" s="63"/>
      <c r="H10" s="63">
        <f>H9+G10</f>
        <v>0</v>
      </c>
    </row>
    <row r="11" spans="1:8" ht="12.75" customHeight="1" x14ac:dyDescent="0.25">
      <c r="A11" s="65"/>
      <c r="B11" s="50"/>
      <c r="C11" s="50"/>
      <c r="D11" s="50"/>
      <c r="E11" s="38"/>
      <c r="F11" s="24"/>
      <c r="G11" s="63"/>
      <c r="H11" s="63">
        <f t="shared" ref="H11:H20" si="0">H10+G11</f>
        <v>0</v>
      </c>
    </row>
    <row r="12" spans="1:8" ht="12.75" customHeight="1" x14ac:dyDescent="0.25">
      <c r="A12" s="65" t="s">
        <v>2</v>
      </c>
      <c r="B12" s="50" t="s">
        <v>2</v>
      </c>
      <c r="C12" s="50"/>
      <c r="D12" s="50"/>
      <c r="E12" s="38" t="s">
        <v>2</v>
      </c>
      <c r="F12" s="24"/>
      <c r="G12" s="63"/>
      <c r="H12" s="63">
        <f t="shared" si="0"/>
        <v>0</v>
      </c>
    </row>
    <row r="13" spans="1:8" ht="12.75" customHeight="1" x14ac:dyDescent="0.25">
      <c r="A13" s="65" t="s">
        <v>2</v>
      </c>
      <c r="B13" s="50" t="s">
        <v>2</v>
      </c>
      <c r="C13" s="50"/>
      <c r="D13" s="50"/>
      <c r="E13" s="38" t="s">
        <v>2</v>
      </c>
      <c r="F13" s="24"/>
      <c r="G13" s="63"/>
      <c r="H13" s="63">
        <f t="shared" si="0"/>
        <v>0</v>
      </c>
    </row>
    <row r="14" spans="1:8" ht="12.75" customHeight="1" x14ac:dyDescent="0.25">
      <c r="A14" s="65"/>
      <c r="B14" s="50"/>
      <c r="C14" s="50"/>
      <c r="D14" s="50"/>
      <c r="E14" s="38"/>
      <c r="F14" s="24"/>
      <c r="G14" s="63"/>
      <c r="H14" s="63">
        <f t="shared" si="0"/>
        <v>0</v>
      </c>
    </row>
    <row r="15" spans="1:8" ht="12.75" customHeight="1" x14ac:dyDescent="0.25">
      <c r="A15" s="65"/>
      <c r="B15" s="50"/>
      <c r="C15" s="50"/>
      <c r="D15" s="50"/>
      <c r="E15" s="72"/>
      <c r="F15" s="24"/>
      <c r="G15" s="63"/>
      <c r="H15" s="63">
        <f t="shared" si="0"/>
        <v>0</v>
      </c>
    </row>
    <row r="16" spans="1:8" ht="12.75" customHeight="1" x14ac:dyDescent="0.25">
      <c r="A16" s="65"/>
      <c r="B16" s="50"/>
      <c r="C16" s="50"/>
      <c r="D16" s="50"/>
      <c r="E16" s="38"/>
      <c r="F16" s="24"/>
      <c r="G16" s="63"/>
      <c r="H16" s="63">
        <f t="shared" si="0"/>
        <v>0</v>
      </c>
    </row>
    <row r="17" spans="1:8" ht="12.75" customHeight="1" x14ac:dyDescent="0.25">
      <c r="A17" s="49"/>
      <c r="B17" s="50"/>
      <c r="C17" s="50"/>
      <c r="D17" s="50"/>
      <c r="E17" s="38"/>
      <c r="F17" s="24"/>
      <c r="G17" s="63"/>
      <c r="H17" s="63">
        <f t="shared" si="0"/>
        <v>0</v>
      </c>
    </row>
    <row r="18" spans="1:8" ht="12.75" customHeight="1" x14ac:dyDescent="0.25">
      <c r="A18" s="49"/>
      <c r="B18" s="50"/>
      <c r="C18" s="50"/>
      <c r="D18" s="50"/>
      <c r="E18" s="38"/>
      <c r="F18" s="24"/>
      <c r="G18" s="63"/>
      <c r="H18" s="63">
        <f t="shared" si="0"/>
        <v>0</v>
      </c>
    </row>
    <row r="19" spans="1:8" ht="12.75" customHeight="1" x14ac:dyDescent="0.25">
      <c r="A19" s="49"/>
      <c r="B19" s="50"/>
      <c r="C19" s="50"/>
      <c r="D19" s="50"/>
      <c r="E19" s="38"/>
      <c r="F19" s="24"/>
      <c r="G19" s="63"/>
      <c r="H19" s="63">
        <f t="shared" si="0"/>
        <v>0</v>
      </c>
    </row>
    <row r="20" spans="1:8" ht="12.75" customHeight="1" x14ac:dyDescent="0.25">
      <c r="A20" s="49"/>
      <c r="B20" s="50"/>
      <c r="C20" s="50"/>
      <c r="D20" s="50"/>
      <c r="E20" s="38"/>
      <c r="F20" s="24"/>
      <c r="G20" s="63"/>
      <c r="H20" s="63">
        <f t="shared" si="0"/>
        <v>0</v>
      </c>
    </row>
    <row r="21" spans="1:8" ht="12.75" customHeight="1" x14ac:dyDescent="0.25">
      <c r="A21" s="49"/>
      <c r="B21" s="59"/>
      <c r="C21" s="59"/>
      <c r="D21" s="59"/>
      <c r="E21" s="38"/>
      <c r="F21" s="63"/>
      <c r="G21" s="38"/>
      <c r="H21" s="63"/>
    </row>
    <row r="22" spans="1:8" ht="12.75" customHeight="1" thickBot="1" x14ac:dyDescent="0.3">
      <c r="A22" s="73"/>
      <c r="B22" s="74"/>
      <c r="C22" s="74"/>
      <c r="D22" s="74"/>
      <c r="E22" s="75" t="s">
        <v>24</v>
      </c>
      <c r="F22" s="76"/>
      <c r="G22" s="62">
        <f>SUM(G9:G21)</f>
        <v>0</v>
      </c>
      <c r="H22" s="76"/>
    </row>
    <row r="23" spans="1:8" ht="12.75" customHeight="1" thickTop="1" x14ac:dyDescent="0.25"/>
    <row r="24" spans="1:8" ht="12.75" customHeight="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AC687-A74F-4A88-95D5-724BD8258E96}">
  <sheetPr>
    <tabColor rgb="FF0070C0"/>
    <pageSetUpPr fitToPage="1"/>
  </sheetPr>
  <dimension ref="A1:I26"/>
  <sheetViews>
    <sheetView zoomScaleNormal="100" workbookViewId="0">
      <selection activeCell="M27" sqref="M27"/>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1.42578125" style="274" customWidth="1"/>
    <col min="9" max="9" width="6.42578125" style="274" bestFit="1"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#9503.00'!B1</f>
        <v>HHS WRC CDC Freezer Repair</v>
      </c>
      <c r="B1" s="30"/>
      <c r="C1" s="153"/>
      <c r="D1" s="153"/>
      <c r="E1" s="153"/>
      <c r="F1" s="156"/>
      <c r="G1" s="156"/>
      <c r="H1" s="179"/>
      <c r="I1" s="179"/>
    </row>
    <row r="2" spans="1:9" ht="15.75" x14ac:dyDescent="0.25">
      <c r="A2" s="31" t="str">
        <f>'RECAP #9503.00'!B2</f>
        <v>Project # 9503.00</v>
      </c>
      <c r="B2" s="150"/>
      <c r="C2" s="153"/>
      <c r="D2" s="153"/>
      <c r="E2" s="153"/>
      <c r="F2" s="156"/>
      <c r="G2" s="156"/>
      <c r="H2" s="179"/>
      <c r="I2" s="179"/>
    </row>
    <row r="3" spans="1:9" ht="15.75" x14ac:dyDescent="0.25">
      <c r="A3" s="154" t="str">
        <f>'RECAP #9503.00'!B3</f>
        <v>Program code 950300</v>
      </c>
      <c r="B3" s="150"/>
      <c r="C3" s="153"/>
      <c r="D3" s="155" t="str">
        <f>'RECAP #9503.00'!E3</f>
        <v>Major Program 4E19</v>
      </c>
      <c r="E3" s="153"/>
      <c r="F3" s="156"/>
      <c r="G3" s="156"/>
      <c r="H3" s="179"/>
      <c r="I3" s="179"/>
    </row>
    <row r="4" spans="1:9" ht="15.75" x14ac:dyDescent="0.25">
      <c r="A4" s="30" t="s">
        <v>284</v>
      </c>
      <c r="B4" s="31"/>
      <c r="C4" s="179"/>
      <c r="D4" s="180" t="s">
        <v>285</v>
      </c>
      <c r="E4" s="156"/>
      <c r="F4" s="156"/>
      <c r="G4" s="156"/>
      <c r="H4" s="179"/>
      <c r="I4" s="179"/>
    </row>
    <row r="5" spans="1:9" ht="15.75" x14ac:dyDescent="0.25">
      <c r="A5" s="181" t="s">
        <v>104</v>
      </c>
      <c r="B5" s="179"/>
      <c r="C5" s="182"/>
      <c r="D5" s="37" t="s">
        <v>286</v>
      </c>
      <c r="E5" s="42"/>
      <c r="F5" s="156"/>
      <c r="G5" s="156"/>
      <c r="H5" s="179"/>
      <c r="I5" s="179"/>
    </row>
    <row r="6" spans="1:9" ht="15.75" x14ac:dyDescent="0.25">
      <c r="A6" s="31" t="str">
        <f>'RECAP #9503.00'!B6</f>
        <v>Project Manager - Jennifer K.</v>
      </c>
      <c r="B6" s="31"/>
      <c r="C6" s="183"/>
      <c r="D6" s="184" t="s">
        <v>287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288</v>
      </c>
      <c r="B9" s="276">
        <v>45947</v>
      </c>
      <c r="C9" s="277" t="s">
        <v>109</v>
      </c>
      <c r="D9" s="278">
        <v>6050</v>
      </c>
      <c r="E9" s="279">
        <f>D9</f>
        <v>6050</v>
      </c>
      <c r="F9" s="280"/>
      <c r="G9" s="280"/>
      <c r="H9" s="280">
        <f>E9</f>
        <v>6050</v>
      </c>
      <c r="I9" s="281"/>
    </row>
    <row r="10" spans="1:9" s="282" customFormat="1" ht="12.75" customHeight="1" x14ac:dyDescent="0.25">
      <c r="A10" s="275" t="s">
        <v>288</v>
      </c>
      <c r="B10" s="283">
        <v>46063</v>
      </c>
      <c r="C10" s="277" t="s">
        <v>468</v>
      </c>
      <c r="D10" s="278">
        <v>840</v>
      </c>
      <c r="E10" s="279">
        <f t="shared" ref="E10:E21" si="0">E9+D10</f>
        <v>6890</v>
      </c>
      <c r="F10" s="284"/>
      <c r="G10" s="280">
        <f t="shared" ref="G10:G21" si="1">G9+F10</f>
        <v>0</v>
      </c>
      <c r="H10" s="280">
        <f t="shared" ref="H10:H21" si="2">H9-F10+D10</f>
        <v>6890</v>
      </c>
      <c r="I10" s="281"/>
    </row>
    <row r="11" spans="1:9" s="282" customFormat="1" ht="12.75" customHeight="1" x14ac:dyDescent="0.25">
      <c r="A11" s="275" t="s">
        <v>631</v>
      </c>
      <c r="B11" s="276">
        <v>46090</v>
      </c>
      <c r="C11" s="277" t="s">
        <v>632</v>
      </c>
      <c r="D11" s="279"/>
      <c r="E11" s="279">
        <f t="shared" si="0"/>
        <v>6890</v>
      </c>
      <c r="F11" s="284">
        <v>6890</v>
      </c>
      <c r="G11" s="280">
        <f t="shared" si="1"/>
        <v>6890</v>
      </c>
      <c r="H11" s="280">
        <f t="shared" si="2"/>
        <v>0</v>
      </c>
      <c r="I11" s="281"/>
    </row>
    <row r="12" spans="1:9" s="282" customFormat="1" ht="12.75" customHeight="1" x14ac:dyDescent="0.25">
      <c r="A12" s="275"/>
      <c r="B12" s="276"/>
      <c r="C12" s="277"/>
      <c r="D12" s="279"/>
      <c r="E12" s="279">
        <f t="shared" si="0"/>
        <v>6890</v>
      </c>
      <c r="F12" s="284"/>
      <c r="G12" s="280">
        <f t="shared" si="1"/>
        <v>6890</v>
      </c>
      <c r="H12" s="280">
        <f t="shared" si="2"/>
        <v>0</v>
      </c>
      <c r="I12" s="281"/>
    </row>
    <row r="13" spans="1:9" s="282" customFormat="1" ht="12.75" customHeight="1" x14ac:dyDescent="0.25">
      <c r="A13" s="275"/>
      <c r="B13" s="276"/>
      <c r="C13" s="277"/>
      <c r="D13" s="279"/>
      <c r="E13" s="279">
        <f t="shared" si="0"/>
        <v>6890</v>
      </c>
      <c r="F13" s="284"/>
      <c r="G13" s="280">
        <f t="shared" si="1"/>
        <v>6890</v>
      </c>
      <c r="H13" s="280">
        <f t="shared" si="2"/>
        <v>0</v>
      </c>
      <c r="I13" s="281"/>
    </row>
    <row r="14" spans="1:9" s="282" customFormat="1" ht="12.75" customHeight="1" x14ac:dyDescent="0.25">
      <c r="A14" s="275"/>
      <c r="B14" s="276"/>
      <c r="C14" s="277"/>
      <c r="D14" s="279"/>
      <c r="E14" s="279">
        <f t="shared" si="0"/>
        <v>6890</v>
      </c>
      <c r="F14" s="280"/>
      <c r="G14" s="280">
        <f t="shared" si="1"/>
        <v>6890</v>
      </c>
      <c r="H14" s="280">
        <f t="shared" si="2"/>
        <v>0</v>
      </c>
      <c r="I14" s="281"/>
    </row>
    <row r="15" spans="1:9" s="282" customFormat="1" ht="12.75" customHeight="1" x14ac:dyDescent="0.25">
      <c r="A15" s="275"/>
      <c r="B15" s="276"/>
      <c r="C15" s="277"/>
      <c r="D15" s="279"/>
      <c r="E15" s="279">
        <f t="shared" si="0"/>
        <v>6890</v>
      </c>
      <c r="F15" s="284"/>
      <c r="G15" s="280">
        <f t="shared" si="1"/>
        <v>6890</v>
      </c>
      <c r="H15" s="280">
        <f t="shared" si="2"/>
        <v>0</v>
      </c>
      <c r="I15" s="281"/>
    </row>
    <row r="16" spans="1:9" s="282" customFormat="1" ht="12.75" customHeight="1" x14ac:dyDescent="0.25">
      <c r="A16" s="275"/>
      <c r="B16" s="276"/>
      <c r="C16" s="277"/>
      <c r="D16" s="279"/>
      <c r="E16" s="279">
        <f t="shared" si="0"/>
        <v>6890</v>
      </c>
      <c r="F16" s="284"/>
      <c r="G16" s="280">
        <f t="shared" si="1"/>
        <v>6890</v>
      </c>
      <c r="H16" s="280">
        <f t="shared" si="2"/>
        <v>0</v>
      </c>
      <c r="I16" s="281"/>
    </row>
    <row r="17" spans="1:9" s="282" customFormat="1" ht="12.75" customHeight="1" x14ac:dyDescent="0.25">
      <c r="A17" s="275"/>
      <c r="B17" s="276"/>
      <c r="C17" s="277"/>
      <c r="D17" s="279"/>
      <c r="E17" s="279">
        <f t="shared" si="0"/>
        <v>6890</v>
      </c>
      <c r="F17" s="284"/>
      <c r="G17" s="280">
        <f t="shared" si="1"/>
        <v>6890</v>
      </c>
      <c r="H17" s="280">
        <f t="shared" si="2"/>
        <v>0</v>
      </c>
      <c r="I17" s="281"/>
    </row>
    <row r="18" spans="1:9" s="282" customFormat="1" ht="12.75" customHeight="1" x14ac:dyDescent="0.25">
      <c r="A18" s="275"/>
      <c r="B18" s="276"/>
      <c r="C18" s="277"/>
      <c r="D18" s="279"/>
      <c r="E18" s="279">
        <f t="shared" si="0"/>
        <v>6890</v>
      </c>
      <c r="F18" s="284"/>
      <c r="G18" s="280">
        <f t="shared" si="1"/>
        <v>6890</v>
      </c>
      <c r="H18" s="280">
        <f t="shared" si="2"/>
        <v>0</v>
      </c>
      <c r="I18" s="281"/>
    </row>
    <row r="19" spans="1:9" s="282" customFormat="1" ht="12.75" customHeight="1" x14ac:dyDescent="0.25">
      <c r="A19" s="275"/>
      <c r="B19" s="276"/>
      <c r="C19" s="277"/>
      <c r="D19" s="279"/>
      <c r="E19" s="279">
        <f t="shared" si="0"/>
        <v>6890</v>
      </c>
      <c r="F19" s="280"/>
      <c r="G19" s="280">
        <f t="shared" si="1"/>
        <v>6890</v>
      </c>
      <c r="H19" s="280">
        <f t="shared" si="2"/>
        <v>0</v>
      </c>
      <c r="I19" s="281"/>
    </row>
    <row r="20" spans="1:9" s="282" customFormat="1" ht="12.75" customHeight="1" x14ac:dyDescent="0.25">
      <c r="A20" s="275"/>
      <c r="B20" s="276"/>
      <c r="C20" s="277"/>
      <c r="D20" s="279"/>
      <c r="E20" s="279">
        <f t="shared" si="0"/>
        <v>6890</v>
      </c>
      <c r="F20" s="280"/>
      <c r="G20" s="280">
        <f t="shared" si="1"/>
        <v>6890</v>
      </c>
      <c r="H20" s="280">
        <f t="shared" si="2"/>
        <v>0</v>
      </c>
      <c r="I20" s="281"/>
    </row>
    <row r="21" spans="1:9" s="282" customFormat="1" ht="12.75" customHeight="1" x14ac:dyDescent="0.25">
      <c r="A21" s="275"/>
      <c r="B21" s="276"/>
      <c r="C21" s="286"/>
      <c r="D21" s="279"/>
      <c r="E21" s="279">
        <f t="shared" si="0"/>
        <v>6890</v>
      </c>
      <c r="F21" s="280"/>
      <c r="G21" s="280">
        <f t="shared" si="1"/>
        <v>6890</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6890</v>
      </c>
      <c r="E23" s="290"/>
      <c r="F23" s="290">
        <f>SUM(F9:F22)</f>
        <v>6890</v>
      </c>
      <c r="G23" s="290"/>
      <c r="H23" s="290">
        <f>D23-F23</f>
        <v>0</v>
      </c>
      <c r="I23" s="291" t="s">
        <v>444</v>
      </c>
    </row>
    <row r="24" spans="1:9" s="282" customFormat="1" ht="12.75" customHeight="1" thickTop="1" x14ac:dyDescent="0.25"/>
    <row r="25" spans="1:9" s="282" customFormat="1" ht="12.75" customHeight="1" x14ac:dyDescent="0.25"/>
    <row r="26" spans="1:9" s="282" customFormat="1" ht="12.75" customHeight="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4E68C-5AEE-4C16-9EDF-62A6CB928E01}">
  <sheetPr>
    <pageSetUpPr fitToPage="1"/>
  </sheetPr>
  <dimension ref="A1:I33"/>
  <sheetViews>
    <sheetView topLeftCell="A3" zoomScaleNormal="100" workbookViewId="0">
      <selection activeCell="L24" sqref="L2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425781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#9503.00'!B1</f>
        <v>HHS WRC CDC Freezer Repair</v>
      </c>
      <c r="B1" s="3"/>
      <c r="C1" s="4"/>
      <c r="D1" s="4"/>
      <c r="E1" s="4"/>
      <c r="F1" s="28"/>
      <c r="G1" s="28"/>
      <c r="H1" s="29"/>
      <c r="I1" s="29"/>
    </row>
    <row r="2" spans="1:9" ht="15.75" x14ac:dyDescent="0.25">
      <c r="A2" s="6" t="str">
        <f>'RECAP #9503.00'!B2</f>
        <v>Project # 9503.00</v>
      </c>
      <c r="B2" s="5"/>
      <c r="C2" s="4"/>
      <c r="D2" s="4"/>
      <c r="E2" s="4"/>
      <c r="F2" s="28"/>
      <c r="G2" s="28"/>
      <c r="H2" s="29"/>
      <c r="I2" s="29"/>
    </row>
    <row r="3" spans="1:9" ht="15.75" x14ac:dyDescent="0.25">
      <c r="A3" s="7" t="str">
        <f>'RECAP #9503.00'!B3</f>
        <v>Program code 950300</v>
      </c>
      <c r="B3" s="5"/>
      <c r="C3" s="4"/>
      <c r="D3" s="8" t="str">
        <f>'RECAP #9503.00'!E3</f>
        <v>Major Program 4E19</v>
      </c>
      <c r="E3" s="4"/>
      <c r="F3" s="28"/>
      <c r="G3" s="28"/>
      <c r="H3" s="29"/>
      <c r="I3" s="29"/>
    </row>
    <row r="4" spans="1:9" ht="15.75" x14ac:dyDescent="0.25">
      <c r="A4" s="30" t="s">
        <v>736</v>
      </c>
      <c r="B4" s="31"/>
      <c r="C4" s="32"/>
      <c r="D4" s="33" t="s">
        <v>737</v>
      </c>
      <c r="E4" s="28"/>
      <c r="F4" s="28"/>
      <c r="G4" s="28"/>
      <c r="H4" s="29"/>
      <c r="I4" s="29"/>
    </row>
    <row r="5" spans="1:9" ht="15.75" x14ac:dyDescent="0.25">
      <c r="A5" s="34" t="s">
        <v>115</v>
      </c>
      <c r="B5" s="35"/>
      <c r="C5" s="36"/>
      <c r="D5" s="37" t="s">
        <v>738</v>
      </c>
      <c r="E5" s="38"/>
      <c r="F5" s="39"/>
      <c r="G5" s="39"/>
      <c r="H5" s="35"/>
      <c r="I5" s="29"/>
    </row>
    <row r="6" spans="1:9" ht="15.75" x14ac:dyDescent="0.25">
      <c r="A6" s="11" t="str">
        <f>'RECAP #9503.00'!B6</f>
        <v>Project Manager - Jennifer K.</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739</v>
      </c>
      <c r="B9" s="177">
        <v>46115</v>
      </c>
      <c r="C9" s="231" t="s">
        <v>109</v>
      </c>
      <c r="D9" s="232">
        <v>38000</v>
      </c>
      <c r="E9" s="233">
        <f>D9</f>
        <v>38000</v>
      </c>
      <c r="F9" s="234"/>
      <c r="G9" s="234"/>
      <c r="H9" s="234">
        <f>E9</f>
        <v>38000</v>
      </c>
      <c r="I9" s="235"/>
    </row>
    <row r="10" spans="1:9" s="223" customFormat="1" ht="12.75" customHeight="1" x14ac:dyDescent="0.25">
      <c r="A10" s="230" t="s">
        <v>739</v>
      </c>
      <c r="B10" s="236">
        <v>46134</v>
      </c>
      <c r="C10" s="231" t="s">
        <v>468</v>
      </c>
      <c r="D10" s="232">
        <v>1500</v>
      </c>
      <c r="E10" s="233">
        <f t="shared" ref="E10:E21" si="0">E9+D10</f>
        <v>39500</v>
      </c>
      <c r="F10" s="237"/>
      <c r="G10" s="234">
        <f t="shared" ref="G10:G21" si="1">G9+F10</f>
        <v>0</v>
      </c>
      <c r="H10" s="234">
        <f t="shared" ref="H10:H21" si="2">H9-F10+D10</f>
        <v>39500</v>
      </c>
      <c r="I10" s="235"/>
    </row>
    <row r="11" spans="1:9" s="223" customFormat="1" ht="12.75" customHeight="1" x14ac:dyDescent="0.25">
      <c r="A11" s="230" t="s">
        <v>888</v>
      </c>
      <c r="B11" s="177">
        <v>46161</v>
      </c>
      <c r="C11" s="231" t="s">
        <v>889</v>
      </c>
      <c r="D11" s="233"/>
      <c r="E11" s="233">
        <f t="shared" si="0"/>
        <v>39500</v>
      </c>
      <c r="F11" s="237">
        <v>5005</v>
      </c>
      <c r="G11" s="234">
        <f t="shared" si="1"/>
        <v>5005</v>
      </c>
      <c r="H11" s="234">
        <f t="shared" si="2"/>
        <v>34495</v>
      </c>
      <c r="I11" s="235"/>
    </row>
    <row r="12" spans="1:9" s="223" customFormat="1" ht="12.75" customHeight="1" x14ac:dyDescent="0.25">
      <c r="A12" s="230" t="s">
        <v>982</v>
      </c>
      <c r="B12" s="177">
        <v>46181</v>
      </c>
      <c r="C12" s="231" t="s">
        <v>983</v>
      </c>
      <c r="D12" s="233"/>
      <c r="E12" s="233">
        <f t="shared" si="0"/>
        <v>39500</v>
      </c>
      <c r="F12" s="237">
        <v>4095</v>
      </c>
      <c r="G12" s="234">
        <f t="shared" si="1"/>
        <v>9100</v>
      </c>
      <c r="H12" s="234">
        <f t="shared" si="2"/>
        <v>30400</v>
      </c>
      <c r="I12" s="235"/>
    </row>
    <row r="13" spans="1:9" s="223" customFormat="1" ht="12.75" customHeight="1" x14ac:dyDescent="0.25">
      <c r="A13" s="230" t="s">
        <v>739</v>
      </c>
      <c r="B13" s="177">
        <v>46224</v>
      </c>
      <c r="C13" s="231" t="s">
        <v>825</v>
      </c>
      <c r="D13" s="232">
        <v>6990</v>
      </c>
      <c r="E13" s="233">
        <f t="shared" si="0"/>
        <v>46490</v>
      </c>
      <c r="F13" s="238"/>
      <c r="G13" s="234">
        <f t="shared" si="1"/>
        <v>9100</v>
      </c>
      <c r="H13" s="234">
        <f t="shared" si="2"/>
        <v>37390</v>
      </c>
      <c r="I13" s="235"/>
    </row>
    <row r="14" spans="1:9" s="223" customFormat="1" ht="12.75" customHeight="1" x14ac:dyDescent="0.25">
      <c r="A14" s="328" t="s">
        <v>1354</v>
      </c>
      <c r="B14" s="329">
        <v>46226</v>
      </c>
      <c r="C14" s="330" t="s">
        <v>1355</v>
      </c>
      <c r="D14" s="331"/>
      <c r="E14" s="331">
        <f t="shared" si="0"/>
        <v>46490</v>
      </c>
      <c r="F14" s="338">
        <v>6990</v>
      </c>
      <c r="G14" s="332">
        <f t="shared" si="1"/>
        <v>16090</v>
      </c>
      <c r="H14" s="332">
        <f t="shared" si="2"/>
        <v>30400</v>
      </c>
      <c r="I14" s="333" t="s">
        <v>1285</v>
      </c>
    </row>
    <row r="15" spans="1:9" s="223" customFormat="1" ht="12.75" customHeight="1" x14ac:dyDescent="0.25">
      <c r="A15" s="230" t="s">
        <v>1380</v>
      </c>
      <c r="B15" s="177">
        <v>46233</v>
      </c>
      <c r="C15" s="231" t="s">
        <v>1286</v>
      </c>
      <c r="D15" s="232">
        <v>0</v>
      </c>
      <c r="E15" s="233">
        <f t="shared" si="0"/>
        <v>46490</v>
      </c>
      <c r="F15" s="238"/>
      <c r="G15" s="234">
        <f t="shared" si="1"/>
        <v>16090</v>
      </c>
      <c r="H15" s="234">
        <f t="shared" si="2"/>
        <v>30400</v>
      </c>
      <c r="I15" s="235"/>
    </row>
    <row r="16" spans="1:9" s="223" customFormat="1" ht="12.75" customHeight="1" x14ac:dyDescent="0.25">
      <c r="A16" s="230" t="s">
        <v>1453</v>
      </c>
      <c r="B16" s="177">
        <v>46251</v>
      </c>
      <c r="C16" s="231" t="s">
        <v>1454</v>
      </c>
      <c r="D16" s="233"/>
      <c r="E16" s="233">
        <f t="shared" si="0"/>
        <v>46490</v>
      </c>
      <c r="F16" s="237">
        <v>5540</v>
      </c>
      <c r="G16" s="234">
        <f t="shared" si="1"/>
        <v>21630</v>
      </c>
      <c r="H16" s="234">
        <f t="shared" si="2"/>
        <v>24860</v>
      </c>
      <c r="I16" s="235"/>
    </row>
    <row r="17" spans="1:9" s="223" customFormat="1" ht="12.75" customHeight="1" x14ac:dyDescent="0.25">
      <c r="A17" s="230" t="s">
        <v>1527</v>
      </c>
      <c r="B17" s="177">
        <v>46274</v>
      </c>
      <c r="C17" s="231" t="s">
        <v>1528</v>
      </c>
      <c r="D17" s="233"/>
      <c r="E17" s="233">
        <f t="shared" si="0"/>
        <v>46490</v>
      </c>
      <c r="F17" s="237">
        <v>6260</v>
      </c>
      <c r="G17" s="234">
        <f t="shared" si="1"/>
        <v>27890</v>
      </c>
      <c r="H17" s="234">
        <f t="shared" si="2"/>
        <v>18600</v>
      </c>
      <c r="I17" s="235"/>
    </row>
    <row r="18" spans="1:9" s="223" customFormat="1" ht="12.75" customHeight="1" x14ac:dyDescent="0.25">
      <c r="A18" s="230"/>
      <c r="B18" s="177"/>
      <c r="C18" s="231"/>
      <c r="D18" s="233"/>
      <c r="E18" s="233">
        <f t="shared" si="0"/>
        <v>46490</v>
      </c>
      <c r="F18" s="238"/>
      <c r="G18" s="234">
        <f t="shared" si="1"/>
        <v>27890</v>
      </c>
      <c r="H18" s="234">
        <f t="shared" si="2"/>
        <v>18600</v>
      </c>
      <c r="I18" s="235"/>
    </row>
    <row r="19" spans="1:9" s="223" customFormat="1" ht="12.75" customHeight="1" x14ac:dyDescent="0.25">
      <c r="A19" s="230"/>
      <c r="B19" s="177"/>
      <c r="C19" s="231"/>
      <c r="D19" s="233"/>
      <c r="E19" s="233">
        <f t="shared" si="0"/>
        <v>46490</v>
      </c>
      <c r="F19" s="234"/>
      <c r="G19" s="234">
        <f t="shared" si="1"/>
        <v>27890</v>
      </c>
      <c r="H19" s="234">
        <f t="shared" si="2"/>
        <v>18600</v>
      </c>
      <c r="I19" s="235"/>
    </row>
    <row r="20" spans="1:9" s="223" customFormat="1" ht="12.75" customHeight="1" x14ac:dyDescent="0.25">
      <c r="A20" s="230"/>
      <c r="B20" s="177"/>
      <c r="C20" s="231"/>
      <c r="D20" s="233"/>
      <c r="E20" s="233">
        <f t="shared" si="0"/>
        <v>46490</v>
      </c>
      <c r="F20" s="234"/>
      <c r="G20" s="234">
        <f t="shared" si="1"/>
        <v>27890</v>
      </c>
      <c r="H20" s="234">
        <f t="shared" si="2"/>
        <v>18600</v>
      </c>
      <c r="I20" s="235"/>
    </row>
    <row r="21" spans="1:9" s="223" customFormat="1" ht="12.75" customHeight="1" x14ac:dyDescent="0.25">
      <c r="A21" s="230"/>
      <c r="B21" s="177"/>
      <c r="C21" s="239"/>
      <c r="D21" s="233"/>
      <c r="E21" s="233">
        <f t="shared" si="0"/>
        <v>46490</v>
      </c>
      <c r="F21" s="234"/>
      <c r="G21" s="234">
        <f t="shared" si="1"/>
        <v>27890</v>
      </c>
      <c r="H21" s="234">
        <f t="shared" si="2"/>
        <v>18600</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46490</v>
      </c>
      <c r="E23" s="245"/>
      <c r="F23" s="245">
        <f>SUM(F9:F22)</f>
        <v>27890</v>
      </c>
      <c r="G23" s="245"/>
      <c r="H23" s="245">
        <f>D23-F23</f>
        <v>18600</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t="s">
        <v>299</v>
      </c>
      <c r="D26" s="234">
        <v>7600</v>
      </c>
      <c r="E26" s="234"/>
      <c r="F26" s="234">
        <f>4180+3420</f>
        <v>7600</v>
      </c>
      <c r="G26" s="234"/>
      <c r="H26" s="234">
        <f t="shared" ref="H26:H31" si="3">D26-F26</f>
        <v>0</v>
      </c>
      <c r="I26" s="235"/>
    </row>
    <row r="27" spans="1:9" s="223" customFormat="1" ht="12.75" customHeight="1" x14ac:dyDescent="0.25">
      <c r="A27" s="230"/>
      <c r="B27" s="231"/>
      <c r="C27" s="240" t="s">
        <v>121</v>
      </c>
      <c r="D27" s="234">
        <v>17100</v>
      </c>
      <c r="E27" s="234"/>
      <c r="F27" s="234">
        <f>5540+6260</f>
        <v>11800</v>
      </c>
      <c r="G27" s="234"/>
      <c r="H27" s="234">
        <f t="shared" si="3"/>
        <v>5300</v>
      </c>
      <c r="I27" s="235"/>
    </row>
    <row r="28" spans="1:9" s="223" customFormat="1" ht="12.75" customHeight="1" x14ac:dyDescent="0.25">
      <c r="A28" s="230"/>
      <c r="B28" s="231"/>
      <c r="C28" s="253" t="s">
        <v>400</v>
      </c>
      <c r="D28" s="254">
        <v>3040</v>
      </c>
      <c r="E28" s="254"/>
      <c r="F28" s="254"/>
      <c r="G28" s="254"/>
      <c r="H28" s="234">
        <f t="shared" si="3"/>
        <v>3040</v>
      </c>
      <c r="I28" s="235"/>
    </row>
    <row r="29" spans="1:9" s="223" customFormat="1" ht="12.75" customHeight="1" x14ac:dyDescent="0.25">
      <c r="A29" s="230"/>
      <c r="B29" s="231"/>
      <c r="C29" s="253" t="s">
        <v>122</v>
      </c>
      <c r="D29" s="254">
        <v>10260</v>
      </c>
      <c r="E29" s="254"/>
      <c r="F29" s="254"/>
      <c r="G29" s="254"/>
      <c r="H29" s="234">
        <f t="shared" si="3"/>
        <v>10260</v>
      </c>
      <c r="I29" s="235"/>
    </row>
    <row r="30" spans="1:9" s="223" customFormat="1" ht="12.75" customHeight="1" x14ac:dyDescent="0.25">
      <c r="A30" s="230"/>
      <c r="B30" s="231"/>
      <c r="C30" s="253" t="s">
        <v>468</v>
      </c>
      <c r="D30" s="254">
        <v>1500</v>
      </c>
      <c r="E30" s="254"/>
      <c r="F30" s="254">
        <f>825+675</f>
        <v>1500</v>
      </c>
      <c r="G30" s="254"/>
      <c r="H30" s="234">
        <f t="shared" si="3"/>
        <v>0</v>
      </c>
      <c r="I30" s="235"/>
    </row>
    <row r="31" spans="1:9" s="223" customFormat="1" ht="12.75" customHeight="1" x14ac:dyDescent="0.25">
      <c r="A31" s="230"/>
      <c r="B31" s="231"/>
      <c r="C31" s="253" t="s">
        <v>825</v>
      </c>
      <c r="D31" s="254">
        <v>6990</v>
      </c>
      <c r="E31" s="254"/>
      <c r="F31" s="254">
        <f>6990</f>
        <v>6990</v>
      </c>
      <c r="G31" s="254"/>
      <c r="H31" s="234">
        <f t="shared" si="3"/>
        <v>0</v>
      </c>
      <c r="I31" s="235"/>
    </row>
    <row r="32" spans="1:9" s="223" customFormat="1" ht="12.75" customHeight="1" thickBot="1" x14ac:dyDescent="0.3">
      <c r="A32" s="230"/>
      <c r="B32" s="231"/>
      <c r="C32" s="255" t="s">
        <v>67</v>
      </c>
      <c r="D32" s="256">
        <f>SUM(D26:D31)</f>
        <v>46490</v>
      </c>
      <c r="E32" s="257"/>
      <c r="F32" s="256">
        <f>SUM(F26:F31)</f>
        <v>27890</v>
      </c>
      <c r="G32" s="257"/>
      <c r="H32" s="256">
        <f>SUM(H26:H31)</f>
        <v>18600</v>
      </c>
      <c r="I32" s="235"/>
    </row>
    <row r="33" s="223" customFormat="1" ht="12.75" customHeight="1" thickTop="1" x14ac:dyDescent="0.25"/>
  </sheetData>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890C1-DFA3-434E-A5A1-4EEB79C09EF6}">
  <sheetPr>
    <tabColor rgb="FF0070C0"/>
    <pageSetUpPr fitToPage="1"/>
  </sheetPr>
  <dimension ref="A1:I30"/>
  <sheetViews>
    <sheetView zoomScaleNormal="100" workbookViewId="0">
      <selection activeCell="K26" sqref="K26"/>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1.42578125" style="274"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#9503.00'!B1</f>
        <v>HHS WRC CDC Freezer Repair</v>
      </c>
      <c r="B1" s="30"/>
      <c r="C1" s="153"/>
      <c r="D1" s="153"/>
      <c r="E1" s="153"/>
      <c r="F1" s="156"/>
      <c r="G1" s="156"/>
      <c r="H1" s="179"/>
      <c r="I1" s="179"/>
    </row>
    <row r="2" spans="1:9" ht="15.75" x14ac:dyDescent="0.25">
      <c r="A2" s="31" t="str">
        <f>'RECAP #9503.00'!B2</f>
        <v>Project # 9503.00</v>
      </c>
      <c r="B2" s="150"/>
      <c r="C2" s="153"/>
      <c r="D2" s="153"/>
      <c r="E2" s="153"/>
      <c r="F2" s="156"/>
      <c r="G2" s="156"/>
      <c r="H2" s="179"/>
      <c r="I2" s="179"/>
    </row>
    <row r="3" spans="1:9" ht="15.75" x14ac:dyDescent="0.25">
      <c r="A3" s="154" t="str">
        <f>'RECAP #9503.00'!B3</f>
        <v>Program code 950300</v>
      </c>
      <c r="B3" s="150"/>
      <c r="C3" s="153"/>
      <c r="D3" s="155" t="str">
        <f>'RECAP #9503.00'!E3</f>
        <v>Major Program 4E19</v>
      </c>
      <c r="E3" s="153"/>
      <c r="F3" s="156"/>
      <c r="G3" s="156"/>
      <c r="H3" s="179"/>
      <c r="I3" s="179"/>
    </row>
    <row r="4" spans="1:9" ht="15.75" x14ac:dyDescent="0.25">
      <c r="A4" s="30" t="s">
        <v>826</v>
      </c>
      <c r="B4" s="31"/>
      <c r="C4" s="179"/>
      <c r="D4" s="180" t="s">
        <v>279</v>
      </c>
      <c r="E4" s="156"/>
      <c r="F4" s="156"/>
      <c r="G4" s="156"/>
      <c r="H4" s="179"/>
      <c r="I4" s="179"/>
    </row>
    <row r="5" spans="1:9" ht="15.75" x14ac:dyDescent="0.25">
      <c r="A5" s="181" t="s">
        <v>104</v>
      </c>
      <c r="B5" s="179"/>
      <c r="C5" s="182"/>
      <c r="D5" s="37" t="s">
        <v>276</v>
      </c>
      <c r="E5" s="42"/>
      <c r="F5" s="156"/>
      <c r="G5" s="156"/>
      <c r="H5" s="179"/>
      <c r="I5" s="179"/>
    </row>
    <row r="6" spans="1:9" ht="15.75" x14ac:dyDescent="0.25">
      <c r="A6" s="31" t="str">
        <f>'RECAP #9503.00'!B6</f>
        <v>Project Manager - Jennifer K.</v>
      </c>
      <c r="B6" s="31"/>
      <c r="C6" s="183"/>
      <c r="D6" s="184" t="s">
        <v>386</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992</v>
      </c>
      <c r="B9" s="276">
        <v>46182</v>
      </c>
      <c r="C9" s="277" t="s">
        <v>109</v>
      </c>
      <c r="D9" s="278">
        <v>6344</v>
      </c>
      <c r="E9" s="279">
        <f>D9</f>
        <v>6344</v>
      </c>
      <c r="F9" s="280"/>
      <c r="G9" s="280"/>
      <c r="H9" s="280">
        <f>E9</f>
        <v>6344</v>
      </c>
      <c r="I9" s="281"/>
    </row>
    <row r="10" spans="1:9" s="282" customFormat="1" ht="12.75" customHeight="1" x14ac:dyDescent="0.25">
      <c r="A10" s="275" t="s">
        <v>1269</v>
      </c>
      <c r="B10" s="283">
        <v>46220</v>
      </c>
      <c r="C10" s="277" t="s">
        <v>1270</v>
      </c>
      <c r="D10" s="279"/>
      <c r="E10" s="279">
        <f t="shared" ref="E10:E21" si="0">E9+D10</f>
        <v>6344</v>
      </c>
      <c r="F10" s="284">
        <v>6344</v>
      </c>
      <c r="G10" s="280">
        <f t="shared" ref="G10:G21" si="1">G9+F10</f>
        <v>6344</v>
      </c>
      <c r="H10" s="280">
        <f t="shared" ref="H10:H21" si="2">H9-F10+D10</f>
        <v>0</v>
      </c>
      <c r="I10" s="281"/>
    </row>
    <row r="11" spans="1:9" s="282" customFormat="1" ht="12.75" customHeight="1" x14ac:dyDescent="0.25">
      <c r="A11" s="275"/>
      <c r="B11" s="276"/>
      <c r="C11" s="277"/>
      <c r="D11" s="279"/>
      <c r="E11" s="279">
        <f t="shared" si="0"/>
        <v>6344</v>
      </c>
      <c r="F11" s="284"/>
      <c r="G11" s="280">
        <f t="shared" si="1"/>
        <v>6344</v>
      </c>
      <c r="H11" s="280">
        <f t="shared" si="2"/>
        <v>0</v>
      </c>
      <c r="I11" s="281"/>
    </row>
    <row r="12" spans="1:9" s="282" customFormat="1" ht="12.75" customHeight="1" x14ac:dyDescent="0.25">
      <c r="A12" s="275"/>
      <c r="B12" s="276"/>
      <c r="C12" s="277"/>
      <c r="D12" s="279"/>
      <c r="E12" s="279">
        <f t="shared" si="0"/>
        <v>6344</v>
      </c>
      <c r="F12" s="284"/>
      <c r="G12" s="280">
        <f t="shared" si="1"/>
        <v>6344</v>
      </c>
      <c r="H12" s="280">
        <f t="shared" si="2"/>
        <v>0</v>
      </c>
      <c r="I12" s="281"/>
    </row>
    <row r="13" spans="1:9" s="282" customFormat="1" ht="12.75" customHeight="1" x14ac:dyDescent="0.25">
      <c r="A13" s="275"/>
      <c r="B13" s="276"/>
      <c r="C13" s="277"/>
      <c r="D13" s="279"/>
      <c r="E13" s="279">
        <f t="shared" si="0"/>
        <v>6344</v>
      </c>
      <c r="F13" s="284"/>
      <c r="G13" s="280">
        <f t="shared" si="1"/>
        <v>6344</v>
      </c>
      <c r="H13" s="280">
        <f t="shared" si="2"/>
        <v>0</v>
      </c>
      <c r="I13" s="281"/>
    </row>
    <row r="14" spans="1:9" s="282" customFormat="1" ht="12.75" customHeight="1" x14ac:dyDescent="0.25">
      <c r="A14" s="275"/>
      <c r="B14" s="276"/>
      <c r="C14" s="277"/>
      <c r="D14" s="279"/>
      <c r="E14" s="279">
        <f t="shared" si="0"/>
        <v>6344</v>
      </c>
      <c r="F14" s="280"/>
      <c r="G14" s="280">
        <f t="shared" si="1"/>
        <v>6344</v>
      </c>
      <c r="H14" s="280">
        <f t="shared" si="2"/>
        <v>0</v>
      </c>
      <c r="I14" s="281"/>
    </row>
    <row r="15" spans="1:9" s="282" customFormat="1" ht="12.75" customHeight="1" x14ac:dyDescent="0.25">
      <c r="A15" s="275"/>
      <c r="B15" s="276"/>
      <c r="C15" s="277"/>
      <c r="D15" s="279"/>
      <c r="E15" s="279">
        <f t="shared" si="0"/>
        <v>6344</v>
      </c>
      <c r="F15" s="284"/>
      <c r="G15" s="280">
        <f t="shared" si="1"/>
        <v>6344</v>
      </c>
      <c r="H15" s="280">
        <f t="shared" si="2"/>
        <v>0</v>
      </c>
      <c r="I15" s="281"/>
    </row>
    <row r="16" spans="1:9" s="282" customFormat="1" ht="12.75" customHeight="1" x14ac:dyDescent="0.25">
      <c r="A16" s="275"/>
      <c r="B16" s="276"/>
      <c r="C16" s="277"/>
      <c r="D16" s="279"/>
      <c r="E16" s="279">
        <f t="shared" si="0"/>
        <v>6344</v>
      </c>
      <c r="F16" s="284"/>
      <c r="G16" s="280">
        <f t="shared" si="1"/>
        <v>6344</v>
      </c>
      <c r="H16" s="280">
        <f t="shared" si="2"/>
        <v>0</v>
      </c>
      <c r="I16" s="281"/>
    </row>
    <row r="17" spans="1:9" s="282" customFormat="1" ht="12.75" customHeight="1" x14ac:dyDescent="0.25">
      <c r="A17" s="275"/>
      <c r="B17" s="276"/>
      <c r="C17" s="277"/>
      <c r="D17" s="279"/>
      <c r="E17" s="279">
        <f t="shared" si="0"/>
        <v>6344</v>
      </c>
      <c r="F17" s="284"/>
      <c r="G17" s="280">
        <f t="shared" si="1"/>
        <v>6344</v>
      </c>
      <c r="H17" s="280">
        <f t="shared" si="2"/>
        <v>0</v>
      </c>
      <c r="I17" s="281"/>
    </row>
    <row r="18" spans="1:9" s="282" customFormat="1" ht="12.75" customHeight="1" x14ac:dyDescent="0.25">
      <c r="A18" s="275"/>
      <c r="B18" s="276"/>
      <c r="C18" s="277"/>
      <c r="D18" s="279"/>
      <c r="E18" s="279">
        <f t="shared" si="0"/>
        <v>6344</v>
      </c>
      <c r="F18" s="284"/>
      <c r="G18" s="280">
        <f t="shared" si="1"/>
        <v>6344</v>
      </c>
      <c r="H18" s="280">
        <f t="shared" si="2"/>
        <v>0</v>
      </c>
      <c r="I18" s="281"/>
    </row>
    <row r="19" spans="1:9" s="282" customFormat="1" ht="12.75" customHeight="1" x14ac:dyDescent="0.25">
      <c r="A19" s="275"/>
      <c r="B19" s="276"/>
      <c r="C19" s="277"/>
      <c r="D19" s="279"/>
      <c r="E19" s="279">
        <f t="shared" si="0"/>
        <v>6344</v>
      </c>
      <c r="F19" s="280"/>
      <c r="G19" s="280">
        <f t="shared" si="1"/>
        <v>6344</v>
      </c>
      <c r="H19" s="280">
        <f t="shared" si="2"/>
        <v>0</v>
      </c>
      <c r="I19" s="281"/>
    </row>
    <row r="20" spans="1:9" s="282" customFormat="1" ht="12.75" customHeight="1" x14ac:dyDescent="0.25">
      <c r="A20" s="275"/>
      <c r="B20" s="276"/>
      <c r="C20" s="277"/>
      <c r="D20" s="279"/>
      <c r="E20" s="279">
        <f t="shared" si="0"/>
        <v>6344</v>
      </c>
      <c r="F20" s="280"/>
      <c r="G20" s="280">
        <f t="shared" si="1"/>
        <v>6344</v>
      </c>
      <c r="H20" s="280">
        <f t="shared" si="2"/>
        <v>0</v>
      </c>
      <c r="I20" s="281"/>
    </row>
    <row r="21" spans="1:9" s="282" customFormat="1" ht="12.75" customHeight="1" x14ac:dyDescent="0.25">
      <c r="A21" s="275"/>
      <c r="B21" s="276"/>
      <c r="C21" s="286"/>
      <c r="D21" s="279"/>
      <c r="E21" s="279">
        <f t="shared" si="0"/>
        <v>6344</v>
      </c>
      <c r="F21" s="280"/>
      <c r="G21" s="280">
        <f t="shared" si="1"/>
        <v>6344</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6344</v>
      </c>
      <c r="E23" s="290"/>
      <c r="F23" s="290">
        <f>SUM(F9:F22)</f>
        <v>6344</v>
      </c>
      <c r="G23" s="290"/>
      <c r="H23" s="290">
        <f>D23-F23</f>
        <v>0</v>
      </c>
      <c r="I23" s="281"/>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993</v>
      </c>
      <c r="D26" s="280">
        <v>4351</v>
      </c>
      <c r="E26" s="280"/>
      <c r="F26" s="280">
        <f>4351</f>
        <v>4351</v>
      </c>
      <c r="G26" s="280"/>
      <c r="H26" s="280">
        <f>D26-F26</f>
        <v>0</v>
      </c>
      <c r="I26" s="281"/>
    </row>
    <row r="27" spans="1:9" s="282" customFormat="1" ht="12.75" customHeight="1" x14ac:dyDescent="0.25">
      <c r="A27" s="275"/>
      <c r="B27" s="277"/>
      <c r="C27" s="287" t="s">
        <v>994</v>
      </c>
      <c r="D27" s="280">
        <v>1224</v>
      </c>
      <c r="E27" s="292"/>
      <c r="F27" s="292">
        <f>1224</f>
        <v>1224</v>
      </c>
      <c r="G27" s="292"/>
      <c r="H27" s="280">
        <f>D27-F27</f>
        <v>0</v>
      </c>
      <c r="I27" s="281"/>
    </row>
    <row r="28" spans="1:9" s="282" customFormat="1" ht="12.75" customHeight="1" x14ac:dyDescent="0.25">
      <c r="A28" s="275"/>
      <c r="B28" s="277"/>
      <c r="C28" s="287" t="s">
        <v>995</v>
      </c>
      <c r="D28" s="280">
        <v>769</v>
      </c>
      <c r="E28" s="292"/>
      <c r="F28" s="292">
        <f>769</f>
        <v>769</v>
      </c>
      <c r="G28" s="292"/>
      <c r="H28" s="280">
        <f>D28-F28</f>
        <v>0</v>
      </c>
      <c r="I28" s="281"/>
    </row>
    <row r="29" spans="1:9" s="282" customFormat="1" ht="12.75" customHeight="1" thickBot="1" x14ac:dyDescent="0.3">
      <c r="A29" s="275"/>
      <c r="B29" s="277"/>
      <c r="C29" s="293" t="s">
        <v>67</v>
      </c>
      <c r="D29" s="290">
        <f>SUM(D26:D28)</f>
        <v>6344</v>
      </c>
      <c r="E29" s="294"/>
      <c r="F29" s="290">
        <f>SUM(F26:F28)</f>
        <v>6344</v>
      </c>
      <c r="G29" s="294"/>
      <c r="H29" s="290">
        <f>SUM(H26:H28)</f>
        <v>0</v>
      </c>
      <c r="I29" s="281"/>
    </row>
    <row r="30" spans="1:9" s="282" customFormat="1" ht="12.75" customHeight="1" thickTop="1" x14ac:dyDescent="0.25"/>
  </sheetData>
  <conditionalFormatting sqref="I8:I23">
    <cfRule type="cellIs" dxfId="33" priority="1" operator="greaterThan">
      <formula>$H$23</formula>
    </cfRule>
  </conditionalFormatting>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0016B-B1C7-4CE0-9363-492CC5DBE7D0}">
  <sheetPr>
    <pageSetUpPr fitToPage="1"/>
  </sheetPr>
  <dimension ref="A1:I25"/>
  <sheetViews>
    <sheetView zoomScaleNormal="100" workbookViewId="0">
      <selection activeCell="A14" sqref="A1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425781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#9503.00'!B1</f>
        <v>HHS WRC CDC Freezer Repair</v>
      </c>
      <c r="B1" s="3"/>
      <c r="C1" s="4"/>
      <c r="D1" s="4"/>
      <c r="E1" s="4"/>
      <c r="F1" s="28"/>
      <c r="G1" s="28"/>
      <c r="H1" s="29"/>
      <c r="I1" s="29"/>
    </row>
    <row r="2" spans="1:9" ht="15.75" x14ac:dyDescent="0.25">
      <c r="A2" s="6" t="str">
        <f>'RECAP #9503.00'!B2</f>
        <v>Project # 9503.00</v>
      </c>
      <c r="B2" s="5"/>
      <c r="C2" s="4"/>
      <c r="D2" s="4"/>
      <c r="E2" s="4"/>
      <c r="F2" s="28"/>
      <c r="G2" s="28"/>
      <c r="H2" s="29"/>
      <c r="I2" s="29"/>
    </row>
    <row r="3" spans="1:9" ht="15.75" x14ac:dyDescent="0.25">
      <c r="A3" s="7" t="str">
        <f>'RECAP #9503.00'!B3</f>
        <v>Program code 950300</v>
      </c>
      <c r="B3" s="5"/>
      <c r="C3" s="4"/>
      <c r="D3" s="8" t="str">
        <f>'RECAP #9503.00'!E3</f>
        <v>Major Program 4E19</v>
      </c>
      <c r="E3" s="4"/>
      <c r="F3" s="28"/>
      <c r="G3" s="28"/>
      <c r="H3" s="29"/>
      <c r="I3" s="29"/>
    </row>
    <row r="4" spans="1:9" ht="15.75" x14ac:dyDescent="0.25">
      <c r="A4" s="30" t="s">
        <v>1503</v>
      </c>
      <c r="B4" s="31"/>
      <c r="C4" s="32"/>
      <c r="D4" s="33" t="s">
        <v>1504</v>
      </c>
      <c r="E4" s="28"/>
      <c r="F4" s="28"/>
      <c r="G4" s="28"/>
      <c r="H4" s="29"/>
      <c r="I4" s="29"/>
    </row>
    <row r="5" spans="1:9" ht="15.75" x14ac:dyDescent="0.25">
      <c r="A5" s="34" t="s">
        <v>104</v>
      </c>
      <c r="B5" s="35"/>
      <c r="C5" s="36"/>
      <c r="D5" s="37" t="s">
        <v>276</v>
      </c>
      <c r="E5" s="38"/>
      <c r="F5" s="39"/>
      <c r="G5" s="39"/>
      <c r="H5" s="35"/>
      <c r="I5" s="29"/>
    </row>
    <row r="6" spans="1:9" ht="15.75" x14ac:dyDescent="0.25">
      <c r="A6" s="11" t="str">
        <f>'RECAP #9503.00'!B6</f>
        <v>Project Manager - Jennifer K.</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1505</v>
      </c>
      <c r="B9" s="177">
        <v>46268</v>
      </c>
      <c r="C9" s="231" t="s">
        <v>619</v>
      </c>
      <c r="D9" s="232">
        <v>920</v>
      </c>
      <c r="E9" s="233">
        <f>D9</f>
        <v>920</v>
      </c>
      <c r="F9" s="234"/>
      <c r="G9" s="234"/>
      <c r="H9" s="234">
        <f>E9</f>
        <v>920</v>
      </c>
      <c r="I9" s="235"/>
    </row>
    <row r="10" spans="1:9" s="223" customFormat="1" ht="12.75" customHeight="1" x14ac:dyDescent="0.25">
      <c r="A10" s="230"/>
      <c r="B10" s="236"/>
      <c r="C10" s="231"/>
      <c r="D10" s="232"/>
      <c r="E10" s="233">
        <f t="shared" ref="E10:E21" si="0">E9+D10</f>
        <v>920</v>
      </c>
      <c r="F10" s="237"/>
      <c r="G10" s="234">
        <f t="shared" ref="G10:G21" si="1">G9+F10</f>
        <v>0</v>
      </c>
      <c r="H10" s="234">
        <f t="shared" ref="H10:H21" si="2">H9-F10+D10</f>
        <v>920</v>
      </c>
      <c r="I10" s="235"/>
    </row>
    <row r="11" spans="1:9" s="223" customFormat="1" ht="12.75" customHeight="1" x14ac:dyDescent="0.25">
      <c r="A11" s="230"/>
      <c r="B11" s="177"/>
      <c r="C11" s="231"/>
      <c r="D11" s="233"/>
      <c r="E11" s="233">
        <f t="shared" si="0"/>
        <v>920</v>
      </c>
      <c r="F11" s="237"/>
      <c r="G11" s="234">
        <f t="shared" si="1"/>
        <v>0</v>
      </c>
      <c r="H11" s="234">
        <f t="shared" si="2"/>
        <v>920</v>
      </c>
      <c r="I11" s="235"/>
    </row>
    <row r="12" spans="1:9" s="223" customFormat="1" ht="12.75" customHeight="1" x14ac:dyDescent="0.25">
      <c r="A12" s="230"/>
      <c r="B12" s="177"/>
      <c r="C12" s="231"/>
      <c r="D12" s="233"/>
      <c r="E12" s="233">
        <f t="shared" si="0"/>
        <v>920</v>
      </c>
      <c r="F12" s="237"/>
      <c r="G12" s="234">
        <f t="shared" si="1"/>
        <v>0</v>
      </c>
      <c r="H12" s="234">
        <f t="shared" si="2"/>
        <v>920</v>
      </c>
      <c r="I12" s="235"/>
    </row>
    <row r="13" spans="1:9" s="223" customFormat="1" ht="12.75" customHeight="1" x14ac:dyDescent="0.25">
      <c r="A13" s="230"/>
      <c r="B13" s="177"/>
      <c r="C13" s="231"/>
      <c r="D13" s="232"/>
      <c r="E13" s="233">
        <f t="shared" si="0"/>
        <v>920</v>
      </c>
      <c r="F13" s="238"/>
      <c r="G13" s="234">
        <f t="shared" si="1"/>
        <v>0</v>
      </c>
      <c r="H13" s="234">
        <f t="shared" si="2"/>
        <v>920</v>
      </c>
      <c r="I13" s="235"/>
    </row>
    <row r="14" spans="1:9" s="223" customFormat="1" ht="12.75" customHeight="1" x14ac:dyDescent="0.25">
      <c r="A14" s="230"/>
      <c r="B14" s="177"/>
      <c r="C14" s="231"/>
      <c r="D14" s="233"/>
      <c r="E14" s="233">
        <f t="shared" si="0"/>
        <v>920</v>
      </c>
      <c r="F14" s="237"/>
      <c r="G14" s="234">
        <f t="shared" si="1"/>
        <v>0</v>
      </c>
      <c r="H14" s="234">
        <f t="shared" si="2"/>
        <v>920</v>
      </c>
      <c r="I14" s="298"/>
    </row>
    <row r="15" spans="1:9" s="223" customFormat="1" ht="12.75" customHeight="1" x14ac:dyDescent="0.25">
      <c r="A15" s="230"/>
      <c r="B15" s="177"/>
      <c r="C15" s="231"/>
      <c r="D15" s="232"/>
      <c r="E15" s="233">
        <f t="shared" si="0"/>
        <v>920</v>
      </c>
      <c r="F15" s="238"/>
      <c r="G15" s="234">
        <f t="shared" si="1"/>
        <v>0</v>
      </c>
      <c r="H15" s="234">
        <f t="shared" si="2"/>
        <v>920</v>
      </c>
      <c r="I15" s="235"/>
    </row>
    <row r="16" spans="1:9" s="223" customFormat="1" ht="12.75" customHeight="1" x14ac:dyDescent="0.25">
      <c r="A16" s="230"/>
      <c r="B16" s="177"/>
      <c r="C16" s="231"/>
      <c r="D16" s="233"/>
      <c r="E16" s="233">
        <f t="shared" si="0"/>
        <v>920</v>
      </c>
      <c r="F16" s="237"/>
      <c r="G16" s="234">
        <f t="shared" si="1"/>
        <v>0</v>
      </c>
      <c r="H16" s="234">
        <f t="shared" si="2"/>
        <v>920</v>
      </c>
      <c r="I16" s="235"/>
    </row>
    <row r="17" spans="1:9" s="223" customFormat="1" ht="12.75" customHeight="1" x14ac:dyDescent="0.25">
      <c r="A17" s="230"/>
      <c r="B17" s="177"/>
      <c r="C17" s="231"/>
      <c r="D17" s="233"/>
      <c r="E17" s="233">
        <f t="shared" si="0"/>
        <v>920</v>
      </c>
      <c r="F17" s="238"/>
      <c r="G17" s="234">
        <f t="shared" si="1"/>
        <v>0</v>
      </c>
      <c r="H17" s="234">
        <f t="shared" si="2"/>
        <v>920</v>
      </c>
      <c r="I17" s="235"/>
    </row>
    <row r="18" spans="1:9" s="223" customFormat="1" ht="12.75" customHeight="1" x14ac:dyDescent="0.25">
      <c r="A18" s="230"/>
      <c r="B18" s="177"/>
      <c r="C18" s="231"/>
      <c r="D18" s="233"/>
      <c r="E18" s="233">
        <f t="shared" si="0"/>
        <v>920</v>
      </c>
      <c r="F18" s="238"/>
      <c r="G18" s="234">
        <f t="shared" si="1"/>
        <v>0</v>
      </c>
      <c r="H18" s="234">
        <f t="shared" si="2"/>
        <v>920</v>
      </c>
      <c r="I18" s="235"/>
    </row>
    <row r="19" spans="1:9" s="223" customFormat="1" ht="12.75" customHeight="1" x14ac:dyDescent="0.25">
      <c r="A19" s="230"/>
      <c r="B19" s="177"/>
      <c r="C19" s="231"/>
      <c r="D19" s="233"/>
      <c r="E19" s="233">
        <f t="shared" si="0"/>
        <v>920</v>
      </c>
      <c r="F19" s="234"/>
      <c r="G19" s="234">
        <f t="shared" si="1"/>
        <v>0</v>
      </c>
      <c r="H19" s="234">
        <f t="shared" si="2"/>
        <v>920</v>
      </c>
      <c r="I19" s="235"/>
    </row>
    <row r="20" spans="1:9" s="223" customFormat="1" ht="12.75" customHeight="1" x14ac:dyDescent="0.25">
      <c r="A20" s="230"/>
      <c r="B20" s="177"/>
      <c r="C20" s="231"/>
      <c r="D20" s="233"/>
      <c r="E20" s="233">
        <f t="shared" si="0"/>
        <v>920</v>
      </c>
      <c r="F20" s="234"/>
      <c r="G20" s="234">
        <f t="shared" si="1"/>
        <v>0</v>
      </c>
      <c r="H20" s="234">
        <f t="shared" si="2"/>
        <v>920</v>
      </c>
      <c r="I20" s="235"/>
    </row>
    <row r="21" spans="1:9" s="223" customFormat="1" ht="12.75" customHeight="1" x14ac:dyDescent="0.25">
      <c r="A21" s="230"/>
      <c r="B21" s="177"/>
      <c r="C21" s="239"/>
      <c r="D21" s="233"/>
      <c r="E21" s="233">
        <f t="shared" si="0"/>
        <v>920</v>
      </c>
      <c r="F21" s="234"/>
      <c r="G21" s="234">
        <f t="shared" si="1"/>
        <v>0</v>
      </c>
      <c r="H21" s="234">
        <f t="shared" si="2"/>
        <v>920</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920</v>
      </c>
      <c r="E23" s="245"/>
      <c r="F23" s="245">
        <f>SUM(F9:F22)</f>
        <v>0</v>
      </c>
      <c r="G23" s="245"/>
      <c r="H23" s="245">
        <f>D23-F23</f>
        <v>920</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sheetData>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11791-E134-4AD6-A671-09B9C4DEDBE0}">
  <sheetPr>
    <pageSetUpPr fitToPage="1"/>
  </sheetPr>
  <dimension ref="A1:G18"/>
  <sheetViews>
    <sheetView zoomScaleNormal="100" workbookViewId="0">
      <selection activeCell="D21" sqref="D21"/>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156</v>
      </c>
      <c r="C1" s="3"/>
      <c r="D1" s="4"/>
      <c r="E1" s="4"/>
      <c r="F1" s="4"/>
      <c r="G1" s="4"/>
    </row>
    <row r="2" spans="1:7" ht="15.75" x14ac:dyDescent="0.25">
      <c r="A2" s="1"/>
      <c r="B2" s="6" t="s">
        <v>205</v>
      </c>
      <c r="C2" s="5"/>
      <c r="D2" s="4"/>
      <c r="E2" s="4"/>
      <c r="F2" s="4"/>
      <c r="G2" s="4"/>
    </row>
    <row r="3" spans="1:7" ht="15.75" x14ac:dyDescent="0.25">
      <c r="A3" s="1"/>
      <c r="B3" s="7" t="s">
        <v>206</v>
      </c>
      <c r="C3" s="5"/>
      <c r="D3" s="4"/>
      <c r="E3" s="8" t="s">
        <v>181</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204</v>
      </c>
      <c r="C6" s="12"/>
      <c r="D6" s="13" t="s">
        <v>2</v>
      </c>
      <c r="E6" s="4"/>
      <c r="F6" s="4"/>
      <c r="G6" s="4"/>
    </row>
    <row r="7" spans="1:7" ht="37.5" customHeight="1" thickBot="1" x14ac:dyDescent="0.3">
      <c r="A7" s="1"/>
      <c r="B7" s="14" t="s">
        <v>2</v>
      </c>
      <c r="C7" s="15" t="s">
        <v>3</v>
      </c>
      <c r="D7" s="16" t="s">
        <v>4</v>
      </c>
      <c r="E7" s="17" t="s">
        <v>5</v>
      </c>
      <c r="F7" s="18" t="s">
        <v>6</v>
      </c>
      <c r="G7" s="18" t="s">
        <v>7</v>
      </c>
    </row>
    <row r="8" spans="1:7" ht="28.35" customHeight="1" x14ac:dyDescent="0.25">
      <c r="A8" s="1"/>
      <c r="B8" s="1" t="s">
        <v>8</v>
      </c>
      <c r="C8" s="19">
        <f>FINANCIAL!G27</f>
        <v>400000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46"/>
      <c r="B10" s="247" t="s">
        <v>278</v>
      </c>
      <c r="C10" s="248"/>
      <c r="D10" s="251">
        <f>'#9504.00 Story Construction'!D23</f>
        <v>27863.69</v>
      </c>
      <c r="E10" s="251">
        <f>'#9504.00 Story Construction'!F23</f>
        <v>21186.260000000002</v>
      </c>
      <c r="F10" s="251">
        <f>'#9504.00 Story Construction'!H23</f>
        <v>6677.4299999999967</v>
      </c>
      <c r="G10" s="250"/>
    </row>
    <row r="11" spans="1:7" s="223" customFormat="1" ht="12.75" customHeight="1" x14ac:dyDescent="0.25">
      <c r="A11" s="246"/>
      <c r="B11" s="247" t="s">
        <v>10</v>
      </c>
      <c r="C11" s="248"/>
      <c r="D11" s="251">
        <f>'#9504.00 PM TIME'!E35</f>
        <v>11000</v>
      </c>
      <c r="E11" s="251">
        <f>'#9504.00 PM TIME'!G35</f>
        <v>6708.47</v>
      </c>
      <c r="F11" s="251">
        <f>'#9504.00 PM TIME'!I35</f>
        <v>4291.53</v>
      </c>
      <c r="G11" s="250"/>
    </row>
    <row r="12" spans="1:7" s="223" customFormat="1" ht="12.75" customHeight="1" x14ac:dyDescent="0.25">
      <c r="A12" s="246"/>
      <c r="B12" s="247" t="s">
        <v>11</v>
      </c>
      <c r="C12" s="249"/>
      <c r="D12" s="252">
        <f>'#9504.00 Misc'!G22</f>
        <v>1356.46</v>
      </c>
      <c r="E12" s="252">
        <f>'#9504.00 Misc'!G22</f>
        <v>1356.46</v>
      </c>
      <c r="F12" s="251">
        <f>D12-E12</f>
        <v>0</v>
      </c>
      <c r="G12" s="250"/>
    </row>
    <row r="13" spans="1:7" s="223" customFormat="1" ht="12.75" customHeight="1" x14ac:dyDescent="0.25">
      <c r="A13" s="246"/>
      <c r="B13" s="247" t="s">
        <v>114</v>
      </c>
      <c r="C13" s="249"/>
      <c r="D13" s="252">
        <f>'#9504.00 OPN Architects'!D23</f>
        <v>82800</v>
      </c>
      <c r="E13" s="252">
        <f>'#9504.00 OPN Architects'!F23</f>
        <v>58400</v>
      </c>
      <c r="F13" s="251">
        <f>'#9504.00 OPN Architects'!H23</f>
        <v>24400</v>
      </c>
      <c r="G13" s="250"/>
    </row>
    <row r="14" spans="1:7" s="223" customFormat="1" ht="12.75" customHeight="1" x14ac:dyDescent="0.25">
      <c r="A14" s="246"/>
      <c r="B14" s="247" t="s">
        <v>826</v>
      </c>
      <c r="C14" s="249"/>
      <c r="D14" s="252">
        <f>'#9504.00 Story Construction (2)'!D23</f>
        <v>37181.32</v>
      </c>
      <c r="E14" s="252">
        <f>'#9504.00 Story Construction (2)'!F23</f>
        <v>0</v>
      </c>
      <c r="F14" s="251">
        <f>'#9504.00 Story Construction (2)'!H23</f>
        <v>37181.32</v>
      </c>
      <c r="G14" s="250"/>
    </row>
    <row r="15" spans="1:7" s="223" customFormat="1" ht="12.75" customHeight="1" x14ac:dyDescent="0.25">
      <c r="A15" s="246"/>
      <c r="B15" s="247" t="s">
        <v>412</v>
      </c>
      <c r="C15" s="249"/>
      <c r="D15" s="252">
        <f>'#9504.00 Schumacher Elevator'!D23</f>
        <v>147336</v>
      </c>
      <c r="E15" s="252">
        <f>'#9504.00 Schumacher Elevator'!F23</f>
        <v>0</v>
      </c>
      <c r="F15" s="251">
        <f>'#9504.00 Schumacher Elevator'!H23</f>
        <v>147336</v>
      </c>
      <c r="G15" s="250"/>
    </row>
    <row r="16" spans="1:7" s="223" customFormat="1" ht="12.75" customHeight="1" x14ac:dyDescent="0.25">
      <c r="A16" s="246"/>
      <c r="B16" s="247"/>
      <c r="C16" s="249"/>
      <c r="D16" s="252"/>
      <c r="E16" s="252"/>
      <c r="F16" s="251"/>
      <c r="G16" s="250"/>
    </row>
    <row r="17" spans="1:7" ht="24" customHeight="1" thickBot="1" x14ac:dyDescent="0.3">
      <c r="A17" s="25"/>
      <c r="B17" s="26" t="s">
        <v>12</v>
      </c>
      <c r="C17" s="27">
        <f>SUM(C8:C16)</f>
        <v>400000</v>
      </c>
      <c r="D17" s="27">
        <f>SUM(D8:D16)</f>
        <v>307537.46999999997</v>
      </c>
      <c r="E17" s="27">
        <f>SUM(E8:E16)</f>
        <v>87651.19</v>
      </c>
      <c r="F17" s="27">
        <f>SUM(D17-E17)</f>
        <v>219886.27999999997</v>
      </c>
      <c r="G17" s="27">
        <f>C8-D17</f>
        <v>92462.530000000028</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6070-98E0-41B4-A770-C12C8C2C07A6}">
  <sheetPr>
    <pageSetUpPr fitToPage="1"/>
  </sheetPr>
  <dimension ref="A1:I31"/>
  <sheetViews>
    <sheetView topLeftCell="A7" zoomScaleNormal="100" workbookViewId="0">
      <selection activeCell="D35" sqref="D3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#9504.00'!B1</f>
        <v>HHS WRC Food Service Elevator Replacement</v>
      </c>
      <c r="B1" s="3"/>
      <c r="C1" s="4"/>
      <c r="D1" s="4"/>
      <c r="E1" s="4"/>
      <c r="F1" s="28"/>
      <c r="G1" s="28"/>
      <c r="H1" s="29"/>
      <c r="I1" s="29"/>
    </row>
    <row r="2" spans="1:9" ht="15.75" x14ac:dyDescent="0.25">
      <c r="A2" s="6" t="str">
        <f>'RECAP #9504.00'!B2</f>
        <v>Project # 9504.00</v>
      </c>
      <c r="B2" s="5"/>
      <c r="C2" s="4"/>
      <c r="D2" s="4"/>
      <c r="E2" s="4"/>
      <c r="F2" s="28"/>
      <c r="G2" s="28"/>
      <c r="H2" s="29"/>
      <c r="I2" s="29"/>
    </row>
    <row r="3" spans="1:9" ht="15.75" x14ac:dyDescent="0.25">
      <c r="A3" s="7" t="str">
        <f>'RECAP #9504.00'!B3</f>
        <v>Program code 950400</v>
      </c>
      <c r="B3" s="5"/>
      <c r="C3" s="4"/>
      <c r="D3" s="8" t="str">
        <f>'RECAP #9504.00'!E3</f>
        <v>Major Program 4E19</v>
      </c>
      <c r="E3" s="4"/>
      <c r="F3" s="28"/>
      <c r="G3" s="28"/>
      <c r="H3" s="29"/>
      <c r="I3" s="29"/>
    </row>
    <row r="4" spans="1:9" ht="15.75" x14ac:dyDescent="0.25">
      <c r="A4" s="30" t="s">
        <v>278</v>
      </c>
      <c r="B4" s="31"/>
      <c r="C4" s="32"/>
      <c r="D4" s="33" t="s">
        <v>279</v>
      </c>
      <c r="E4" s="28"/>
      <c r="F4" s="28"/>
      <c r="G4" s="28"/>
      <c r="H4" s="29"/>
      <c r="I4" s="29"/>
    </row>
    <row r="5" spans="1:9" ht="15.75" x14ac:dyDescent="0.25">
      <c r="A5" s="34" t="s">
        <v>321</v>
      </c>
      <c r="B5" s="35"/>
      <c r="C5" s="36"/>
      <c r="D5" s="37" t="s">
        <v>280</v>
      </c>
      <c r="E5" s="38"/>
      <c r="F5" s="39"/>
      <c r="G5" s="39"/>
      <c r="H5" s="35"/>
      <c r="I5" s="29"/>
    </row>
    <row r="6" spans="1:9" ht="15.75" x14ac:dyDescent="0.25">
      <c r="A6" s="11" t="str">
        <f>'RECAP #9504.00'!B6</f>
        <v>Project Manager - Jennifer K.</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484</v>
      </c>
      <c r="B9" s="177">
        <v>46052</v>
      </c>
      <c r="C9" s="231" t="s">
        <v>109</v>
      </c>
      <c r="D9" s="232">
        <v>26309.62</v>
      </c>
      <c r="E9" s="233">
        <f>D9</f>
        <v>26309.62</v>
      </c>
      <c r="F9" s="234"/>
      <c r="G9" s="234"/>
      <c r="H9" s="234">
        <f>E9</f>
        <v>26309.62</v>
      </c>
      <c r="I9" s="235"/>
    </row>
    <row r="10" spans="1:9" s="223" customFormat="1" ht="12.75" customHeight="1" x14ac:dyDescent="0.25">
      <c r="A10" s="230" t="s">
        <v>657</v>
      </c>
      <c r="B10" s="236">
        <v>46099</v>
      </c>
      <c r="C10" s="231" t="s">
        <v>658</v>
      </c>
      <c r="D10" s="233"/>
      <c r="E10" s="233">
        <f t="shared" ref="E10:E21" si="0">E9+D10</f>
        <v>26309.62</v>
      </c>
      <c r="F10" s="237">
        <v>3615.78</v>
      </c>
      <c r="G10" s="234">
        <f t="shared" ref="G10:G21" si="1">G9+F10</f>
        <v>3615.78</v>
      </c>
      <c r="H10" s="234">
        <f t="shared" ref="H10:H21" si="2">H9-F10+D10</f>
        <v>22693.84</v>
      </c>
      <c r="I10" s="235"/>
    </row>
    <row r="11" spans="1:9" s="223" customFormat="1" ht="12.75" customHeight="1" x14ac:dyDescent="0.25">
      <c r="A11" s="230" t="s">
        <v>801</v>
      </c>
      <c r="B11" s="177">
        <v>46129</v>
      </c>
      <c r="C11" s="231" t="s">
        <v>802</v>
      </c>
      <c r="D11" s="233"/>
      <c r="E11" s="233">
        <f t="shared" si="0"/>
        <v>26309.62</v>
      </c>
      <c r="F11" s="237">
        <v>2829.56</v>
      </c>
      <c r="G11" s="234">
        <f t="shared" si="1"/>
        <v>6445.34</v>
      </c>
      <c r="H11" s="234">
        <f t="shared" si="2"/>
        <v>19864.28</v>
      </c>
      <c r="I11" s="235"/>
    </row>
    <row r="12" spans="1:9" s="223" customFormat="1" ht="12.75" customHeight="1" x14ac:dyDescent="0.25">
      <c r="A12" s="230" t="s">
        <v>934</v>
      </c>
      <c r="B12" s="177">
        <v>46168</v>
      </c>
      <c r="C12" s="231" t="s">
        <v>935</v>
      </c>
      <c r="D12" s="233"/>
      <c r="E12" s="233">
        <f t="shared" si="0"/>
        <v>26309.62</v>
      </c>
      <c r="F12" s="237">
        <v>2384.19</v>
      </c>
      <c r="G12" s="234">
        <f t="shared" si="1"/>
        <v>8829.5300000000007</v>
      </c>
      <c r="H12" s="234">
        <f t="shared" si="2"/>
        <v>17480.09</v>
      </c>
      <c r="I12" s="235"/>
    </row>
    <row r="13" spans="1:9" s="223" customFormat="1" ht="12.75" customHeight="1" x14ac:dyDescent="0.25">
      <c r="A13" s="230" t="s">
        <v>1086</v>
      </c>
      <c r="B13" s="177">
        <v>46192</v>
      </c>
      <c r="C13" s="231" t="s">
        <v>1087</v>
      </c>
      <c r="D13" s="233"/>
      <c r="E13" s="233">
        <f t="shared" si="0"/>
        <v>26309.62</v>
      </c>
      <c r="F13" s="237">
        <v>3015.68</v>
      </c>
      <c r="G13" s="234">
        <f t="shared" si="1"/>
        <v>11845.210000000001</v>
      </c>
      <c r="H13" s="234">
        <f t="shared" si="2"/>
        <v>14464.41</v>
      </c>
      <c r="I13" s="235"/>
    </row>
    <row r="14" spans="1:9" s="223" customFormat="1" ht="12.75" customHeight="1" x14ac:dyDescent="0.25">
      <c r="A14" s="328" t="s">
        <v>1250</v>
      </c>
      <c r="B14" s="329">
        <v>46218</v>
      </c>
      <c r="C14" s="330" t="s">
        <v>1251</v>
      </c>
      <c r="D14" s="331"/>
      <c r="E14" s="331">
        <f t="shared" si="0"/>
        <v>26309.62</v>
      </c>
      <c r="F14" s="338">
        <v>4490.79</v>
      </c>
      <c r="G14" s="332">
        <f t="shared" si="1"/>
        <v>16336</v>
      </c>
      <c r="H14" s="332">
        <f t="shared" si="2"/>
        <v>9973.619999999999</v>
      </c>
      <c r="I14" s="333" t="s">
        <v>1285</v>
      </c>
    </row>
    <row r="15" spans="1:9" s="223" customFormat="1" ht="12.75" customHeight="1" x14ac:dyDescent="0.25">
      <c r="A15" s="230" t="s">
        <v>1316</v>
      </c>
      <c r="B15" s="177">
        <v>46225</v>
      </c>
      <c r="C15" s="231" t="s">
        <v>1286</v>
      </c>
      <c r="D15" s="232">
        <v>0</v>
      </c>
      <c r="E15" s="233">
        <f t="shared" si="0"/>
        <v>26309.62</v>
      </c>
      <c r="F15" s="238"/>
      <c r="G15" s="234">
        <f t="shared" si="1"/>
        <v>16336</v>
      </c>
      <c r="H15" s="234">
        <f t="shared" si="2"/>
        <v>9973.619999999999</v>
      </c>
      <c r="I15" s="235"/>
    </row>
    <row r="16" spans="1:9" s="223" customFormat="1" ht="12.75" customHeight="1" x14ac:dyDescent="0.25">
      <c r="A16" s="230" t="s">
        <v>1451</v>
      </c>
      <c r="B16" s="177">
        <v>46251</v>
      </c>
      <c r="C16" s="231" t="s">
        <v>1452</v>
      </c>
      <c r="D16" s="233"/>
      <c r="E16" s="233">
        <f t="shared" si="0"/>
        <v>26309.62</v>
      </c>
      <c r="F16" s="237">
        <v>4850.26</v>
      </c>
      <c r="G16" s="234">
        <f t="shared" si="1"/>
        <v>21186.260000000002</v>
      </c>
      <c r="H16" s="234">
        <f t="shared" si="2"/>
        <v>5123.3599999999988</v>
      </c>
      <c r="I16" s="235"/>
    </row>
    <row r="17" spans="1:9" s="223" customFormat="1" ht="12.75" customHeight="1" x14ac:dyDescent="0.25">
      <c r="A17" s="230" t="s">
        <v>1316</v>
      </c>
      <c r="B17" s="177">
        <v>46289</v>
      </c>
      <c r="C17" s="231" t="s">
        <v>468</v>
      </c>
      <c r="D17" s="232">
        <v>1554.07</v>
      </c>
      <c r="E17" s="233">
        <f t="shared" si="0"/>
        <v>27863.69</v>
      </c>
      <c r="F17" s="238"/>
      <c r="G17" s="234">
        <f t="shared" si="1"/>
        <v>21186.260000000002</v>
      </c>
      <c r="H17" s="234">
        <f t="shared" si="2"/>
        <v>6677.4299999999985</v>
      </c>
      <c r="I17" s="235"/>
    </row>
    <row r="18" spans="1:9" s="223" customFormat="1" ht="12.75" customHeight="1" x14ac:dyDescent="0.25">
      <c r="A18" s="230"/>
      <c r="B18" s="177"/>
      <c r="C18" s="231"/>
      <c r="D18" s="233"/>
      <c r="E18" s="233">
        <f t="shared" si="0"/>
        <v>27863.69</v>
      </c>
      <c r="F18" s="238"/>
      <c r="G18" s="234">
        <f t="shared" si="1"/>
        <v>21186.260000000002</v>
      </c>
      <c r="H18" s="234">
        <f t="shared" si="2"/>
        <v>6677.4299999999985</v>
      </c>
      <c r="I18" s="235"/>
    </row>
    <row r="19" spans="1:9" s="223" customFormat="1" ht="12.75" customHeight="1" x14ac:dyDescent="0.25">
      <c r="A19" s="230"/>
      <c r="B19" s="177"/>
      <c r="C19" s="231"/>
      <c r="D19" s="233"/>
      <c r="E19" s="233">
        <f t="shared" si="0"/>
        <v>27863.69</v>
      </c>
      <c r="F19" s="234"/>
      <c r="G19" s="234">
        <f t="shared" si="1"/>
        <v>21186.260000000002</v>
      </c>
      <c r="H19" s="234">
        <f t="shared" si="2"/>
        <v>6677.4299999999985</v>
      </c>
      <c r="I19" s="235"/>
    </row>
    <row r="20" spans="1:9" s="223" customFormat="1" ht="12.75" customHeight="1" x14ac:dyDescent="0.25">
      <c r="A20" s="230"/>
      <c r="B20" s="177"/>
      <c r="C20" s="231"/>
      <c r="D20" s="233"/>
      <c r="E20" s="233">
        <f t="shared" si="0"/>
        <v>27863.69</v>
      </c>
      <c r="F20" s="234"/>
      <c r="G20" s="234">
        <f t="shared" si="1"/>
        <v>21186.260000000002</v>
      </c>
      <c r="H20" s="234">
        <f t="shared" si="2"/>
        <v>6677.4299999999985</v>
      </c>
      <c r="I20" s="235"/>
    </row>
    <row r="21" spans="1:9" s="223" customFormat="1" ht="12.75" customHeight="1" x14ac:dyDescent="0.25">
      <c r="A21" s="230"/>
      <c r="B21" s="177"/>
      <c r="C21" s="239"/>
      <c r="D21" s="233"/>
      <c r="E21" s="233">
        <f t="shared" si="0"/>
        <v>27863.69</v>
      </c>
      <c r="F21" s="234"/>
      <c r="G21" s="234">
        <f t="shared" si="1"/>
        <v>21186.260000000002</v>
      </c>
      <c r="H21" s="234">
        <f t="shared" si="2"/>
        <v>6677.4299999999985</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27863.69</v>
      </c>
      <c r="E23" s="245"/>
      <c r="F23" s="245">
        <f>SUM(F9:F22)</f>
        <v>21186.260000000002</v>
      </c>
      <c r="G23" s="245"/>
      <c r="H23" s="245">
        <f>D23-F23</f>
        <v>6677.4299999999967</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26191.62</v>
      </c>
      <c r="E26" s="254"/>
      <c r="F26" s="254">
        <f>3586.28+2800.06+2354.69+3015.68+4490.79+4820.76</f>
        <v>21068.260000000002</v>
      </c>
      <c r="G26" s="254"/>
      <c r="H26" s="254">
        <f>D26-F26</f>
        <v>5123.3599999999969</v>
      </c>
      <c r="I26" s="235"/>
    </row>
    <row r="27" spans="1:9" s="223" customFormat="1" ht="12.75" customHeight="1" x14ac:dyDescent="0.25">
      <c r="A27" s="230"/>
      <c r="B27" s="231"/>
      <c r="C27" s="253" t="s">
        <v>111</v>
      </c>
      <c r="D27" s="254">
        <v>118</v>
      </c>
      <c r="E27" s="254"/>
      <c r="F27" s="254">
        <f>29.5+29.5+29.5+29.5</f>
        <v>118</v>
      </c>
      <c r="G27" s="254"/>
      <c r="H27" s="254">
        <f t="shared" ref="H27:H28" si="3">D27-F27</f>
        <v>0</v>
      </c>
      <c r="I27" s="235"/>
    </row>
    <row r="28" spans="1:9" s="223" customFormat="1" ht="12.75" customHeight="1" x14ac:dyDescent="0.25">
      <c r="A28" s="230"/>
      <c r="B28" s="231"/>
      <c r="C28" s="253" t="s">
        <v>468</v>
      </c>
      <c r="D28" s="254">
        <v>1554.07</v>
      </c>
      <c r="E28" s="254"/>
      <c r="F28" s="254"/>
      <c r="G28" s="254"/>
      <c r="H28" s="254">
        <f t="shared" si="3"/>
        <v>1554.07</v>
      </c>
      <c r="I28" s="235"/>
    </row>
    <row r="29" spans="1:9" s="223" customFormat="1" ht="13.5" customHeight="1" thickBot="1" x14ac:dyDescent="0.3">
      <c r="A29" s="230"/>
      <c r="B29" s="231"/>
      <c r="C29" s="255" t="s">
        <v>67</v>
      </c>
      <c r="D29" s="256">
        <f>SUM(D26:D28)</f>
        <v>27863.69</v>
      </c>
      <c r="E29" s="257"/>
      <c r="F29" s="256">
        <f>SUM(F26:F28)</f>
        <v>21186.260000000002</v>
      </c>
      <c r="G29" s="257"/>
      <c r="H29" s="256">
        <f>SUM(H26:H28)</f>
        <v>6677.4299999999967</v>
      </c>
      <c r="I29" s="235"/>
    </row>
    <row r="30" spans="1:9" s="223" customFormat="1" ht="12.75" customHeight="1" thickTop="1" x14ac:dyDescent="0.25"/>
    <row r="31" spans="1:9" s="223" customFormat="1" ht="12.75" customHeight="1" x14ac:dyDescent="0.25"/>
  </sheetData>
  <conditionalFormatting sqref="I8:I13 I15:I23">
    <cfRule type="cellIs" dxfId="32"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FDFC2-77A7-4354-80B1-C124650F3140}">
  <sheetPr>
    <pageSetUpPr fitToPage="1"/>
  </sheetPr>
  <dimension ref="A1:J41"/>
  <sheetViews>
    <sheetView topLeftCell="A11" zoomScaleNormal="100" workbookViewId="0">
      <selection activeCell="G29" sqref="G29:G30"/>
    </sheetView>
  </sheetViews>
  <sheetFormatPr defaultColWidth="11.42578125" defaultRowHeight="15" customHeight="1" x14ac:dyDescent="0.25"/>
  <cols>
    <col min="1" max="1" width="24.5703125" customWidth="1"/>
    <col min="2" max="3" width="9.42578125" customWidth="1"/>
    <col min="4" max="4" width="41.4257812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#9504.00'!B1</f>
        <v>HHS WRC Food Service Elevator Replacement</v>
      </c>
      <c r="B1" s="3"/>
      <c r="C1" s="3"/>
      <c r="D1" s="4"/>
      <c r="E1" s="4"/>
      <c r="F1" s="4"/>
      <c r="G1" s="28"/>
      <c r="H1" s="28"/>
      <c r="I1" s="29"/>
      <c r="J1" s="29"/>
    </row>
    <row r="2" spans="1:10" ht="15.75" x14ac:dyDescent="0.25">
      <c r="A2" s="6" t="str">
        <f>'RECAP #9504.00'!B2</f>
        <v>Project # 9504.00</v>
      </c>
      <c r="B2" s="5"/>
      <c r="C2" s="5"/>
      <c r="D2" s="4"/>
      <c r="E2" s="4"/>
      <c r="F2" s="4"/>
      <c r="G2" s="28"/>
      <c r="H2" s="28"/>
      <c r="I2" s="29"/>
      <c r="J2" s="29"/>
    </row>
    <row r="3" spans="1:10" ht="15.75" x14ac:dyDescent="0.25">
      <c r="A3" s="7" t="str">
        <f>'RECAP #9504.00'!B3</f>
        <v>Program code 950400</v>
      </c>
      <c r="B3" s="5"/>
      <c r="C3" s="5"/>
      <c r="D3" s="4"/>
      <c r="E3" s="8" t="str">
        <f>'RECAP #9504.00'!E3</f>
        <v>Major Program 4E19</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240</v>
      </c>
      <c r="F6" s="42"/>
      <c r="G6" s="43"/>
      <c r="H6" s="39"/>
      <c r="I6" s="35"/>
      <c r="J6" s="29"/>
    </row>
    <row r="7" spans="1:10" ht="15.75" x14ac:dyDescent="0.25">
      <c r="A7" s="11" t="str">
        <f>'RECAP #9504.00'!B6</f>
        <v>Project Manager - Jennifer K.</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f>8000+3000</f>
        <v>11000</v>
      </c>
      <c r="F9" s="233">
        <f>E9</f>
        <v>11000</v>
      </c>
      <c r="G9" s="234"/>
      <c r="H9" s="234"/>
      <c r="I9" s="234">
        <f>F9</f>
        <v>11000</v>
      </c>
      <c r="J9" s="235"/>
    </row>
    <row r="10" spans="1:10" s="223" customFormat="1" ht="12.75" customHeight="1" x14ac:dyDescent="0.25">
      <c r="A10" s="176" t="s">
        <v>314</v>
      </c>
      <c r="B10" s="177">
        <v>45968</v>
      </c>
      <c r="C10" s="241" t="s">
        <v>261</v>
      </c>
      <c r="D10" s="148" t="s">
        <v>315</v>
      </c>
      <c r="E10" s="233"/>
      <c r="F10" s="233">
        <f t="shared" ref="F10:F33" si="0">F9+E10</f>
        <v>11000</v>
      </c>
      <c r="G10" s="237">
        <v>35.92</v>
      </c>
      <c r="H10" s="234">
        <f t="shared" ref="H10:H33" si="1">H9+G10</f>
        <v>35.92</v>
      </c>
      <c r="I10" s="234">
        <f t="shared" ref="I10:I33" si="2">I9-G10+E10</f>
        <v>10964.08</v>
      </c>
      <c r="J10" s="235"/>
    </row>
    <row r="11" spans="1:10" s="223" customFormat="1" ht="12.75" customHeight="1" x14ac:dyDescent="0.25">
      <c r="A11" s="176" t="s">
        <v>314</v>
      </c>
      <c r="B11" s="177">
        <v>45968</v>
      </c>
      <c r="C11" s="241">
        <v>9500</v>
      </c>
      <c r="D11" s="149" t="s">
        <v>316</v>
      </c>
      <c r="E11" s="233"/>
      <c r="F11" s="233">
        <f t="shared" si="0"/>
        <v>11000</v>
      </c>
      <c r="G11" s="237">
        <v>357.7</v>
      </c>
      <c r="H11" s="234">
        <f t="shared" si="1"/>
        <v>393.62</v>
      </c>
      <c r="I11" s="234">
        <f t="shared" si="2"/>
        <v>10606.38</v>
      </c>
      <c r="J11" s="235"/>
    </row>
    <row r="12" spans="1:10" s="223" customFormat="1" ht="12.75" customHeight="1" x14ac:dyDescent="0.2">
      <c r="A12" s="70" t="s">
        <v>364</v>
      </c>
      <c r="B12" s="50">
        <v>45996</v>
      </c>
      <c r="C12" s="53" t="s">
        <v>261</v>
      </c>
      <c r="D12" s="144" t="s">
        <v>365</v>
      </c>
      <c r="E12" s="233"/>
      <c r="F12" s="233">
        <f t="shared" si="0"/>
        <v>11000</v>
      </c>
      <c r="G12" s="237">
        <v>6.5</v>
      </c>
      <c r="H12" s="234">
        <f t="shared" si="1"/>
        <v>400.12</v>
      </c>
      <c r="I12" s="234">
        <f t="shared" si="2"/>
        <v>10599.88</v>
      </c>
      <c r="J12" s="235"/>
    </row>
    <row r="13" spans="1:10" s="223" customFormat="1" ht="12.75" customHeight="1" x14ac:dyDescent="0.2">
      <c r="A13" s="70" t="s">
        <v>364</v>
      </c>
      <c r="B13" s="50">
        <v>45996</v>
      </c>
      <c r="C13" s="268">
        <v>9500</v>
      </c>
      <c r="D13" s="66" t="s">
        <v>366</v>
      </c>
      <c r="E13" s="233"/>
      <c r="F13" s="233">
        <f t="shared" si="0"/>
        <v>11000</v>
      </c>
      <c r="G13" s="237">
        <v>41</v>
      </c>
      <c r="H13" s="234">
        <f t="shared" si="1"/>
        <v>441.12</v>
      </c>
      <c r="I13" s="234">
        <f t="shared" si="2"/>
        <v>10558.88</v>
      </c>
      <c r="J13" s="235"/>
    </row>
    <row r="14" spans="1:10" s="223" customFormat="1" ht="12.75" customHeight="1" x14ac:dyDescent="0.2">
      <c r="A14" s="70" t="s">
        <v>548</v>
      </c>
      <c r="B14" s="50">
        <v>46062</v>
      </c>
      <c r="C14" s="53" t="s">
        <v>261</v>
      </c>
      <c r="D14" s="144" t="s">
        <v>549</v>
      </c>
      <c r="E14" s="233"/>
      <c r="F14" s="233">
        <f t="shared" si="0"/>
        <v>11000</v>
      </c>
      <c r="G14" s="237">
        <v>25.47</v>
      </c>
      <c r="H14" s="234">
        <f t="shared" si="1"/>
        <v>466.59000000000003</v>
      </c>
      <c r="I14" s="234">
        <f t="shared" si="2"/>
        <v>10533.41</v>
      </c>
      <c r="J14" s="235"/>
    </row>
    <row r="15" spans="1:10" s="223" customFormat="1" ht="12.75" customHeight="1" x14ac:dyDescent="0.2">
      <c r="A15" s="70" t="s">
        <v>548</v>
      </c>
      <c r="B15" s="50">
        <v>46062</v>
      </c>
      <c r="C15" s="268">
        <v>9500</v>
      </c>
      <c r="D15" s="66" t="s">
        <v>550</v>
      </c>
      <c r="E15" s="233"/>
      <c r="F15" s="233">
        <f t="shared" si="0"/>
        <v>11000</v>
      </c>
      <c r="G15" s="237">
        <v>314.39999999999998</v>
      </c>
      <c r="H15" s="234">
        <f t="shared" si="1"/>
        <v>780.99</v>
      </c>
      <c r="I15" s="234">
        <f t="shared" si="2"/>
        <v>10219.01</v>
      </c>
      <c r="J15" s="235"/>
    </row>
    <row r="16" spans="1:10" s="223" customFormat="1" ht="12.75" customHeight="1" x14ac:dyDescent="0.2">
      <c r="A16" s="70" t="s">
        <v>644</v>
      </c>
      <c r="B16" s="50">
        <v>46090</v>
      </c>
      <c r="C16" s="53" t="s">
        <v>261</v>
      </c>
      <c r="D16" s="144" t="s">
        <v>645</v>
      </c>
      <c r="E16" s="233"/>
      <c r="F16" s="233">
        <f t="shared" si="0"/>
        <v>11000</v>
      </c>
      <c r="G16" s="237">
        <v>90.61</v>
      </c>
      <c r="H16" s="234">
        <f t="shared" si="1"/>
        <v>871.6</v>
      </c>
      <c r="I16" s="234">
        <f t="shared" si="2"/>
        <v>10128.4</v>
      </c>
      <c r="J16" s="235"/>
    </row>
    <row r="17" spans="1:10" s="223" customFormat="1" ht="12.75" customHeight="1" x14ac:dyDescent="0.2">
      <c r="A17" s="70" t="s">
        <v>644</v>
      </c>
      <c r="B17" s="50">
        <v>46090</v>
      </c>
      <c r="C17" s="268">
        <v>9500</v>
      </c>
      <c r="D17" s="66" t="s">
        <v>646</v>
      </c>
      <c r="E17" s="233"/>
      <c r="F17" s="233">
        <f t="shared" si="0"/>
        <v>11000</v>
      </c>
      <c r="G17" s="237">
        <v>1047</v>
      </c>
      <c r="H17" s="234">
        <f t="shared" si="1"/>
        <v>1918.6</v>
      </c>
      <c r="I17" s="234">
        <f t="shared" si="2"/>
        <v>9081.4</v>
      </c>
      <c r="J17" s="235"/>
    </row>
    <row r="18" spans="1:10" s="223" customFormat="1" ht="12.75" customHeight="1" x14ac:dyDescent="0.2">
      <c r="A18" s="70" t="s">
        <v>744</v>
      </c>
      <c r="B18" s="50">
        <v>46118</v>
      </c>
      <c r="C18" s="53" t="s">
        <v>261</v>
      </c>
      <c r="D18" s="144" t="s">
        <v>745</v>
      </c>
      <c r="E18" s="233"/>
      <c r="F18" s="233">
        <f t="shared" si="0"/>
        <v>11000</v>
      </c>
      <c r="G18" s="237">
        <v>126.71</v>
      </c>
      <c r="H18" s="234">
        <f t="shared" si="1"/>
        <v>2045.31</v>
      </c>
      <c r="I18" s="234">
        <f t="shared" si="2"/>
        <v>8954.69</v>
      </c>
      <c r="J18" s="235"/>
    </row>
    <row r="19" spans="1:10" s="223" customFormat="1" ht="12.75" customHeight="1" x14ac:dyDescent="0.2">
      <c r="A19" s="70" t="s">
        <v>744</v>
      </c>
      <c r="B19" s="50">
        <v>46118</v>
      </c>
      <c r="C19" s="268">
        <v>9500</v>
      </c>
      <c r="D19" s="66" t="s">
        <v>746</v>
      </c>
      <c r="E19" s="233"/>
      <c r="F19" s="233">
        <f t="shared" si="0"/>
        <v>11000</v>
      </c>
      <c r="G19" s="237">
        <v>1031</v>
      </c>
      <c r="H19" s="234">
        <f t="shared" si="1"/>
        <v>3076.31</v>
      </c>
      <c r="I19" s="234">
        <f t="shared" si="2"/>
        <v>7923.6900000000005</v>
      </c>
      <c r="J19" s="235"/>
    </row>
    <row r="20" spans="1:10" s="223" customFormat="1" ht="12.75" customHeight="1" x14ac:dyDescent="0.25">
      <c r="A20" s="70" t="s">
        <v>869</v>
      </c>
      <c r="B20" s="50">
        <v>46149</v>
      </c>
      <c r="C20" s="53" t="s">
        <v>261</v>
      </c>
      <c r="D20" s="144" t="s">
        <v>870</v>
      </c>
      <c r="E20"/>
      <c r="F20" s="233">
        <f t="shared" si="0"/>
        <v>11000</v>
      </c>
      <c r="G20" s="237">
        <v>81.38</v>
      </c>
      <c r="H20" s="234">
        <f t="shared" si="1"/>
        <v>3157.69</v>
      </c>
      <c r="I20" s="234">
        <f t="shared" si="2"/>
        <v>7842.31</v>
      </c>
      <c r="J20" s="235"/>
    </row>
    <row r="21" spans="1:10" s="223" customFormat="1" ht="12.75" customHeight="1" x14ac:dyDescent="0.25">
      <c r="A21" s="70" t="s">
        <v>869</v>
      </c>
      <c r="B21" s="50">
        <v>46149</v>
      </c>
      <c r="C21" s="268">
        <v>9500</v>
      </c>
      <c r="D21" s="66" t="s">
        <v>871</v>
      </c>
      <c r="E21"/>
      <c r="F21" s="233">
        <f t="shared" si="0"/>
        <v>11000</v>
      </c>
      <c r="G21" s="237">
        <v>846.5</v>
      </c>
      <c r="H21" s="234">
        <f t="shared" si="1"/>
        <v>4004.19</v>
      </c>
      <c r="I21" s="234">
        <f t="shared" si="2"/>
        <v>6995.81</v>
      </c>
      <c r="J21" s="235"/>
    </row>
    <row r="22" spans="1:10" s="223" customFormat="1" ht="12.75" customHeight="1" x14ac:dyDescent="0.25">
      <c r="A22" s="70" t="s">
        <v>984</v>
      </c>
      <c r="B22" s="50">
        <v>46181</v>
      </c>
      <c r="C22" s="53" t="s">
        <v>261</v>
      </c>
      <c r="D22" s="144" t="s">
        <v>985</v>
      </c>
      <c r="E22"/>
      <c r="F22" s="233">
        <f t="shared" si="0"/>
        <v>11000</v>
      </c>
      <c r="G22" s="237">
        <v>18.66</v>
      </c>
      <c r="H22" s="234">
        <f t="shared" si="1"/>
        <v>4022.85</v>
      </c>
      <c r="I22" s="234">
        <f t="shared" si="2"/>
        <v>6977.1500000000005</v>
      </c>
      <c r="J22" s="235"/>
    </row>
    <row r="23" spans="1:10" s="223" customFormat="1" ht="12.75" customHeight="1" x14ac:dyDescent="0.25">
      <c r="A23" s="70" t="s">
        <v>984</v>
      </c>
      <c r="B23" s="50">
        <v>46181</v>
      </c>
      <c r="C23" s="268">
        <v>9500</v>
      </c>
      <c r="D23" s="66" t="s">
        <v>986</v>
      </c>
      <c r="E23"/>
      <c r="F23" s="233">
        <f t="shared" si="0"/>
        <v>11000</v>
      </c>
      <c r="G23" s="237">
        <v>227.4</v>
      </c>
      <c r="H23" s="234">
        <f t="shared" si="1"/>
        <v>4250.25</v>
      </c>
      <c r="I23" s="234">
        <f t="shared" si="2"/>
        <v>6749.7500000000009</v>
      </c>
      <c r="J23" s="235"/>
    </row>
    <row r="24" spans="1:10" s="223" customFormat="1" ht="12.75" customHeight="1" x14ac:dyDescent="0.25">
      <c r="A24" s="70" t="s">
        <v>1186</v>
      </c>
      <c r="B24" s="50">
        <v>46211</v>
      </c>
      <c r="C24" s="53" t="s">
        <v>261</v>
      </c>
      <c r="D24" s="144" t="s">
        <v>1187</v>
      </c>
      <c r="E24"/>
      <c r="F24" s="233">
        <f t="shared" si="0"/>
        <v>11000</v>
      </c>
      <c r="G24" s="237">
        <v>31.65</v>
      </c>
      <c r="H24" s="234">
        <f t="shared" si="1"/>
        <v>4281.8999999999996</v>
      </c>
      <c r="I24" s="234">
        <f t="shared" si="2"/>
        <v>6718.1000000000013</v>
      </c>
      <c r="J24" s="235"/>
    </row>
    <row r="25" spans="1:10" s="223" customFormat="1" ht="12.75" customHeight="1" x14ac:dyDescent="0.25">
      <c r="A25" s="70" t="s">
        <v>1186</v>
      </c>
      <c r="B25" s="50">
        <v>46211</v>
      </c>
      <c r="C25" s="268">
        <v>9500</v>
      </c>
      <c r="D25" s="66" t="s">
        <v>1188</v>
      </c>
      <c r="E25"/>
      <c r="F25" s="233">
        <f t="shared" si="0"/>
        <v>11000</v>
      </c>
      <c r="G25" s="237">
        <v>362.1</v>
      </c>
      <c r="H25" s="234">
        <f t="shared" si="1"/>
        <v>4644</v>
      </c>
      <c r="I25" s="234">
        <f t="shared" si="2"/>
        <v>6356.0000000000009</v>
      </c>
      <c r="J25" s="235"/>
    </row>
    <row r="26" spans="1:10" s="223" customFormat="1" ht="12.75" customHeight="1" x14ac:dyDescent="0.25">
      <c r="A26" s="70" t="s">
        <v>1265</v>
      </c>
      <c r="B26" s="50">
        <v>46218</v>
      </c>
      <c r="C26" s="53" t="s">
        <v>261</v>
      </c>
      <c r="D26" s="144" t="s">
        <v>1266</v>
      </c>
      <c r="E26"/>
      <c r="F26" s="233">
        <f t="shared" si="0"/>
        <v>11000</v>
      </c>
      <c r="G26" s="237">
        <v>12.93</v>
      </c>
      <c r="H26" s="234">
        <f t="shared" si="1"/>
        <v>4656.93</v>
      </c>
      <c r="I26" s="234">
        <f t="shared" si="2"/>
        <v>6343.0700000000006</v>
      </c>
      <c r="J26" s="235"/>
    </row>
    <row r="27" spans="1:10" s="223" customFormat="1" ht="12.75" customHeight="1" x14ac:dyDescent="0.25">
      <c r="A27" s="70" t="s">
        <v>1436</v>
      </c>
      <c r="B27" s="365">
        <v>46241</v>
      </c>
      <c r="C27" s="53" t="s">
        <v>261</v>
      </c>
      <c r="D27" s="144" t="s">
        <v>1437</v>
      </c>
      <c r="E27"/>
      <c r="F27" s="233">
        <f t="shared" si="0"/>
        <v>11000</v>
      </c>
      <c r="G27" s="237">
        <v>81.67</v>
      </c>
      <c r="H27" s="234">
        <f t="shared" si="1"/>
        <v>4738.6000000000004</v>
      </c>
      <c r="I27" s="234">
        <f t="shared" si="2"/>
        <v>6261.4000000000005</v>
      </c>
      <c r="J27" s="235"/>
    </row>
    <row r="28" spans="1:10" s="223" customFormat="1" ht="12.75" customHeight="1" x14ac:dyDescent="0.25">
      <c r="A28" s="70" t="s">
        <v>1436</v>
      </c>
      <c r="B28" s="365">
        <v>46241</v>
      </c>
      <c r="C28" s="268">
        <v>9500</v>
      </c>
      <c r="D28" s="66" t="s">
        <v>1438</v>
      </c>
      <c r="E28"/>
      <c r="F28" s="233">
        <f t="shared" si="0"/>
        <v>11000</v>
      </c>
      <c r="G28" s="237">
        <v>870.2</v>
      </c>
      <c r="H28" s="234">
        <f t="shared" si="1"/>
        <v>5608.8</v>
      </c>
      <c r="I28" s="234">
        <f t="shared" si="2"/>
        <v>5391.2000000000007</v>
      </c>
      <c r="J28" s="235"/>
    </row>
    <row r="29" spans="1:10" s="223" customFormat="1" ht="12.75" customHeight="1" x14ac:dyDescent="0.25">
      <c r="A29" s="70" t="s">
        <v>1531</v>
      </c>
      <c r="B29" s="365">
        <v>46272</v>
      </c>
      <c r="C29" s="53" t="s">
        <v>261</v>
      </c>
      <c r="D29" s="144" t="s">
        <v>1532</v>
      </c>
      <c r="E29"/>
      <c r="F29" s="233">
        <f t="shared" si="0"/>
        <v>11000</v>
      </c>
      <c r="G29" s="237">
        <v>102.47</v>
      </c>
      <c r="H29" s="234">
        <f t="shared" si="1"/>
        <v>5711.27</v>
      </c>
      <c r="I29" s="234">
        <f t="shared" si="2"/>
        <v>5288.7300000000005</v>
      </c>
      <c r="J29" s="235"/>
    </row>
    <row r="30" spans="1:10" s="223" customFormat="1" ht="12.75" customHeight="1" x14ac:dyDescent="0.25">
      <c r="A30" s="70" t="s">
        <v>1531</v>
      </c>
      <c r="B30" s="365">
        <v>46272</v>
      </c>
      <c r="C30" s="268">
        <v>9500</v>
      </c>
      <c r="D30" s="66" t="s">
        <v>1533</v>
      </c>
      <c r="E30"/>
      <c r="F30" s="233">
        <f t="shared" si="0"/>
        <v>11000</v>
      </c>
      <c r="G30" s="237">
        <v>997.2</v>
      </c>
      <c r="H30" s="234">
        <f t="shared" si="1"/>
        <v>6708.47</v>
      </c>
      <c r="I30" s="234">
        <f t="shared" si="2"/>
        <v>4291.5300000000007</v>
      </c>
      <c r="J30" s="235"/>
    </row>
    <row r="31" spans="1:10" s="223" customFormat="1" ht="12.75" customHeight="1" x14ac:dyDescent="0.25">
      <c r="A31" s="70"/>
      <c r="B31" s="365"/>
      <c r="C31" s="268"/>
      <c r="D31" s="66"/>
      <c r="E31"/>
      <c r="F31" s="233">
        <f t="shared" si="0"/>
        <v>11000</v>
      </c>
      <c r="G31" s="237"/>
      <c r="H31" s="234">
        <f t="shared" si="1"/>
        <v>6708.47</v>
      </c>
      <c r="I31" s="234">
        <f t="shared" si="2"/>
        <v>4291.5300000000007</v>
      </c>
      <c r="J31" s="235"/>
    </row>
    <row r="32" spans="1:10" s="223" customFormat="1" ht="12.75" customHeight="1" x14ac:dyDescent="0.25">
      <c r="A32" s="70"/>
      <c r="B32" s="365"/>
      <c r="C32" s="268"/>
      <c r="D32" s="66"/>
      <c r="E32"/>
      <c r="F32" s="233">
        <f t="shared" si="0"/>
        <v>11000</v>
      </c>
      <c r="G32" s="237"/>
      <c r="H32" s="234">
        <f t="shared" si="1"/>
        <v>6708.47</v>
      </c>
      <c r="I32" s="234">
        <f t="shared" si="2"/>
        <v>4291.5300000000007</v>
      </c>
      <c r="J32" s="235"/>
    </row>
    <row r="33" spans="1:10" s="223" customFormat="1" ht="12.75" customHeight="1" x14ac:dyDescent="0.25">
      <c r="A33" s="70"/>
      <c r="B33" s="50"/>
      <c r="C33" s="53"/>
      <c r="D33" s="144"/>
      <c r="E33"/>
      <c r="F33" s="233">
        <f t="shared" si="0"/>
        <v>11000</v>
      </c>
      <c r="G33" s="238"/>
      <c r="H33" s="234">
        <f t="shared" si="1"/>
        <v>6708.47</v>
      </c>
      <c r="I33" s="234">
        <f t="shared" si="2"/>
        <v>4291.5300000000007</v>
      </c>
      <c r="J33" s="235"/>
    </row>
    <row r="34" spans="1:10" s="223" customFormat="1" ht="12.75" customHeight="1" x14ac:dyDescent="0.25">
      <c r="A34" s="230"/>
      <c r="B34" s="231"/>
      <c r="C34" s="241"/>
      <c r="D34" s="240"/>
      <c r="E34" s="234"/>
      <c r="F34" s="234"/>
      <c r="G34" s="234"/>
      <c r="H34" s="234"/>
      <c r="I34" s="234"/>
      <c r="J34" s="235"/>
    </row>
    <row r="35" spans="1:10" s="223" customFormat="1" ht="12.75" customHeight="1" thickBot="1" x14ac:dyDescent="0.3">
      <c r="A35" s="230"/>
      <c r="B35" s="243"/>
      <c r="C35" s="241"/>
      <c r="D35" s="244" t="s">
        <v>24</v>
      </c>
      <c r="E35" s="245">
        <f>SUM(E9:E34)</f>
        <v>11000</v>
      </c>
      <c r="F35" s="245"/>
      <c r="G35" s="245">
        <f>SUM(G9:G34)</f>
        <v>6708.47</v>
      </c>
      <c r="H35" s="245"/>
      <c r="I35" s="245">
        <f>E35-G35</f>
        <v>4291.53</v>
      </c>
      <c r="J35" s="235"/>
    </row>
    <row r="36" spans="1:10" s="223" customFormat="1" ht="12.75" customHeight="1" thickTop="1" x14ac:dyDescent="0.25"/>
    <row r="37" spans="1:10" s="223" customFormat="1" ht="12.75" customHeight="1" x14ac:dyDescent="0.25"/>
    <row r="38" spans="1:10" s="223" customFormat="1" ht="12.75" customHeight="1" x14ac:dyDescent="0.25"/>
    <row r="39" spans="1:10" s="223" customFormat="1" ht="12.75" customHeight="1" x14ac:dyDescent="0.25"/>
    <row r="40" spans="1:10" s="223" customFormat="1" ht="12.75" customHeight="1" x14ac:dyDescent="0.25"/>
    <row r="41" spans="1:10" s="223" customFormat="1" ht="12.75" customHeight="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1F604-48B1-41B3-99CE-4DAAB7DD86ED}">
  <sheetPr>
    <pageSetUpPr fitToPage="1"/>
  </sheetPr>
  <dimension ref="A1:H23"/>
  <sheetViews>
    <sheetView zoomScaleNormal="100" workbookViewId="0">
      <selection activeCell="E15" sqref="E15"/>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85546875" customWidth="1"/>
    <col min="6" max="6" width="16.8554687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#9504.00'!B1</f>
        <v>HHS WRC Food Service Elevator Replacement</v>
      </c>
      <c r="B1" s="3"/>
      <c r="C1" s="3"/>
      <c r="D1" s="3"/>
      <c r="E1" s="4"/>
      <c r="F1" s="4"/>
      <c r="G1" s="4"/>
      <c r="H1" s="28"/>
    </row>
    <row r="2" spans="1:8" ht="15.75" x14ac:dyDescent="0.25">
      <c r="A2" s="6" t="str">
        <f>'RECAP #9504.00'!B2</f>
        <v>Project # 9504.00</v>
      </c>
      <c r="B2" s="5"/>
      <c r="C2" s="5"/>
      <c r="D2" s="5"/>
      <c r="E2" s="4"/>
      <c r="F2" s="4"/>
      <c r="G2" s="4"/>
      <c r="H2" s="28"/>
    </row>
    <row r="3" spans="1:8" ht="15.75" x14ac:dyDescent="0.25">
      <c r="A3" s="7" t="str">
        <f>'RECAP #9504.00'!B3</f>
        <v>Program code 950400</v>
      </c>
      <c r="B3" s="5"/>
      <c r="C3" s="5"/>
      <c r="D3" s="5"/>
      <c r="E3" s="8" t="str">
        <f>'RECAP #9504.00'!E3</f>
        <v>Major Program 4E19</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289</v>
      </c>
      <c r="F6" s="35"/>
      <c r="G6" s="38"/>
      <c r="H6" s="39"/>
    </row>
    <row r="7" spans="1:8" ht="15.75" x14ac:dyDescent="0.25">
      <c r="A7" s="11" t="str">
        <f>'RECAP #9504.00'!B6</f>
        <v>Project Manager - Jennifer K.</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1142</v>
      </c>
      <c r="B9" s="177">
        <v>46203</v>
      </c>
      <c r="C9" s="241" t="s">
        <v>361</v>
      </c>
      <c r="D9" s="241" t="s">
        <v>362</v>
      </c>
      <c r="E9" s="70" t="s">
        <v>652</v>
      </c>
      <c r="F9" s="259" t="s">
        <v>1141</v>
      </c>
      <c r="G9" s="237">
        <v>1071</v>
      </c>
      <c r="H9" s="260">
        <f>G9</f>
        <v>1071</v>
      </c>
    </row>
    <row r="10" spans="1:8" s="223" customFormat="1" ht="12.75" customHeight="1" x14ac:dyDescent="0.2">
      <c r="A10" s="239" t="s">
        <v>1341</v>
      </c>
      <c r="B10" s="177">
        <v>46226</v>
      </c>
      <c r="C10" s="241" t="s">
        <v>361</v>
      </c>
      <c r="D10" s="241" t="s">
        <v>362</v>
      </c>
      <c r="E10" s="38" t="s">
        <v>368</v>
      </c>
      <c r="F10" s="259" t="s">
        <v>1249</v>
      </c>
      <c r="G10" s="237">
        <v>85.46</v>
      </c>
      <c r="H10" s="260">
        <f>H9+G10</f>
        <v>1156.46</v>
      </c>
    </row>
    <row r="11" spans="1:8" s="223" customFormat="1" ht="12.75" customHeight="1" x14ac:dyDescent="0.2">
      <c r="A11" s="176" t="s">
        <v>1406</v>
      </c>
      <c r="B11" s="177">
        <v>46241</v>
      </c>
      <c r="C11" s="241" t="s">
        <v>361</v>
      </c>
      <c r="D11" s="241" t="s">
        <v>362</v>
      </c>
      <c r="E11" s="38" t="s">
        <v>368</v>
      </c>
      <c r="F11" s="272" t="s">
        <v>1405</v>
      </c>
      <c r="G11" s="237">
        <v>200</v>
      </c>
      <c r="H11" s="260">
        <f t="shared" ref="H11:H20" si="0">H10+G11</f>
        <v>1356.46</v>
      </c>
    </row>
    <row r="12" spans="1:8" s="223" customFormat="1" ht="12.75" customHeight="1" x14ac:dyDescent="0.25">
      <c r="A12" s="241" t="s">
        <v>2</v>
      </c>
      <c r="B12" s="177" t="s">
        <v>2</v>
      </c>
      <c r="C12" s="177"/>
      <c r="D12" s="177"/>
      <c r="E12" s="258" t="s">
        <v>2</v>
      </c>
      <c r="F12" s="252"/>
      <c r="G12" s="260"/>
      <c r="H12" s="260">
        <f t="shared" si="0"/>
        <v>1356.46</v>
      </c>
    </row>
    <row r="13" spans="1:8" s="223" customFormat="1" ht="12.75" customHeight="1" x14ac:dyDescent="0.25">
      <c r="A13" s="241" t="s">
        <v>2</v>
      </c>
      <c r="B13" s="177" t="s">
        <v>2</v>
      </c>
      <c r="C13" s="177"/>
      <c r="D13" s="177"/>
      <c r="E13" s="258" t="s">
        <v>2</v>
      </c>
      <c r="F13" s="252"/>
      <c r="G13" s="260"/>
      <c r="H13" s="260">
        <f t="shared" si="0"/>
        <v>1356.46</v>
      </c>
    </row>
    <row r="14" spans="1:8" s="223" customFormat="1" ht="12.75" customHeight="1" x14ac:dyDescent="0.25">
      <c r="A14" s="241"/>
      <c r="B14" s="177"/>
      <c r="C14" s="177"/>
      <c r="D14" s="177"/>
      <c r="E14" s="258"/>
      <c r="F14" s="252"/>
      <c r="G14" s="260"/>
      <c r="H14" s="260">
        <f t="shared" si="0"/>
        <v>1356.46</v>
      </c>
    </row>
    <row r="15" spans="1:8" s="223" customFormat="1" ht="12.75" customHeight="1" x14ac:dyDescent="0.25">
      <c r="A15" s="241"/>
      <c r="B15" s="177"/>
      <c r="C15" s="177"/>
      <c r="D15" s="177"/>
      <c r="E15" s="261"/>
      <c r="F15" s="252"/>
      <c r="G15" s="260"/>
      <c r="H15" s="260">
        <f t="shared" si="0"/>
        <v>1356.46</v>
      </c>
    </row>
    <row r="16" spans="1:8" s="223" customFormat="1" ht="12.75" customHeight="1" x14ac:dyDescent="0.25">
      <c r="A16" s="241"/>
      <c r="B16" s="177"/>
      <c r="C16" s="177"/>
      <c r="D16" s="177"/>
      <c r="E16" s="258"/>
      <c r="F16" s="252"/>
      <c r="G16" s="260"/>
      <c r="H16" s="260">
        <f t="shared" si="0"/>
        <v>1356.46</v>
      </c>
    </row>
    <row r="17" spans="1:8" s="223" customFormat="1" ht="12.75" customHeight="1" x14ac:dyDescent="0.25">
      <c r="A17" s="230"/>
      <c r="B17" s="177"/>
      <c r="C17" s="177"/>
      <c r="D17" s="177"/>
      <c r="E17" s="258"/>
      <c r="F17" s="252"/>
      <c r="G17" s="260"/>
      <c r="H17" s="260">
        <f t="shared" si="0"/>
        <v>1356.46</v>
      </c>
    </row>
    <row r="18" spans="1:8" s="223" customFormat="1" ht="12.75" customHeight="1" x14ac:dyDescent="0.25">
      <c r="A18" s="230"/>
      <c r="B18" s="177"/>
      <c r="C18" s="177"/>
      <c r="D18" s="177"/>
      <c r="E18" s="258"/>
      <c r="F18" s="252"/>
      <c r="G18" s="260"/>
      <c r="H18" s="260">
        <f t="shared" si="0"/>
        <v>1356.46</v>
      </c>
    </row>
    <row r="19" spans="1:8" s="223" customFormat="1" ht="12.75" customHeight="1" x14ac:dyDescent="0.25">
      <c r="A19" s="230"/>
      <c r="B19" s="177"/>
      <c r="C19" s="177"/>
      <c r="D19" s="177"/>
      <c r="E19" s="258"/>
      <c r="F19" s="252"/>
      <c r="G19" s="260"/>
      <c r="H19" s="260">
        <f t="shared" si="0"/>
        <v>1356.46</v>
      </c>
    </row>
    <row r="20" spans="1:8" s="223" customFormat="1" ht="12.75" customHeight="1" x14ac:dyDescent="0.25">
      <c r="A20" s="230"/>
      <c r="B20" s="177"/>
      <c r="C20" s="177"/>
      <c r="D20" s="177"/>
      <c r="E20" s="258"/>
      <c r="F20" s="252"/>
      <c r="G20" s="260"/>
      <c r="H20" s="260">
        <f t="shared" si="0"/>
        <v>1356.46</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1356.46</v>
      </c>
      <c r="H22" s="265"/>
    </row>
    <row r="23" spans="1:8" s="223" customFormat="1" ht="12.75" customHeight="1" thickTop="1" x14ac:dyDescent="0.25"/>
  </sheetData>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CA0F8-FFF7-49FD-A6AB-91D64AA1FA23}">
  <sheetPr>
    <pageSetUpPr fitToPage="1"/>
  </sheetPr>
  <dimension ref="A1:I31"/>
  <sheetViews>
    <sheetView zoomScaleNormal="100" workbookViewId="0">
      <selection activeCell="F13" sqref="F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#9504.00'!B1</f>
        <v>HHS WRC Food Service Elevator Replacement</v>
      </c>
      <c r="B1" s="3"/>
      <c r="C1" s="4"/>
      <c r="D1" s="4"/>
      <c r="E1" s="4"/>
      <c r="F1" s="28"/>
      <c r="G1" s="28"/>
      <c r="H1" s="29"/>
      <c r="I1" s="29"/>
    </row>
    <row r="2" spans="1:9" ht="15.75" x14ac:dyDescent="0.25">
      <c r="A2" s="6" t="str">
        <f>'RECAP #9504.00'!B2</f>
        <v>Project # 9504.00</v>
      </c>
      <c r="B2" s="5"/>
      <c r="C2" s="4"/>
      <c r="D2" s="4"/>
      <c r="E2" s="4"/>
      <c r="F2" s="28"/>
      <c r="G2" s="28"/>
      <c r="H2" s="29"/>
      <c r="I2" s="29"/>
    </row>
    <row r="3" spans="1:9" ht="15.75" x14ac:dyDescent="0.25">
      <c r="A3" s="7" t="str">
        <f>'RECAP #9504.00'!B3</f>
        <v>Program code 950400</v>
      </c>
      <c r="B3" s="5"/>
      <c r="C3" s="4"/>
      <c r="D3" s="8" t="str">
        <f>'RECAP #9504.00'!E3</f>
        <v>Major Program 4E19</v>
      </c>
      <c r="E3" s="4"/>
      <c r="F3" s="28"/>
      <c r="G3" s="28"/>
      <c r="H3" s="29"/>
      <c r="I3" s="29"/>
    </row>
    <row r="4" spans="1:9" ht="15.75" x14ac:dyDescent="0.25">
      <c r="A4" s="30" t="s">
        <v>114</v>
      </c>
      <c r="B4" s="31"/>
      <c r="C4" s="32"/>
      <c r="D4" s="33" t="s">
        <v>116</v>
      </c>
      <c r="E4" s="28"/>
      <c r="F4" s="28"/>
      <c r="G4" s="28"/>
      <c r="H4" s="29"/>
      <c r="I4" s="29"/>
    </row>
    <row r="5" spans="1:9" ht="15.75" x14ac:dyDescent="0.25">
      <c r="A5" s="34" t="s">
        <v>541</v>
      </c>
      <c r="B5" s="35"/>
      <c r="C5" s="36"/>
      <c r="D5" s="37" t="s">
        <v>706</v>
      </c>
      <c r="E5" s="38"/>
      <c r="F5" s="39"/>
      <c r="G5" s="39"/>
      <c r="H5" s="35"/>
      <c r="I5" s="29"/>
    </row>
    <row r="6" spans="1:9" ht="15.75" x14ac:dyDescent="0.25">
      <c r="A6" s="11" t="str">
        <f>'RECAP #9504.00'!B6</f>
        <v>Project Manager - Jennifer K.</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707</v>
      </c>
      <c r="B9" s="177">
        <v>46105</v>
      </c>
      <c r="C9" s="231" t="s">
        <v>109</v>
      </c>
      <c r="D9" s="232">
        <v>82800</v>
      </c>
      <c r="E9" s="233">
        <f>D9</f>
        <v>82800</v>
      </c>
      <c r="F9" s="234"/>
      <c r="G9" s="234"/>
      <c r="H9" s="234">
        <f>E9</f>
        <v>82800</v>
      </c>
      <c r="I9" s="235"/>
    </row>
    <row r="10" spans="1:9" s="223" customFormat="1" ht="12.75" customHeight="1" x14ac:dyDescent="0.25">
      <c r="A10" s="328" t="s">
        <v>1179</v>
      </c>
      <c r="B10" s="335">
        <v>46210</v>
      </c>
      <c r="C10" s="330" t="s">
        <v>1180</v>
      </c>
      <c r="D10" s="331"/>
      <c r="E10" s="331">
        <f t="shared" ref="E10:E21" si="0">E9+D10</f>
        <v>82800</v>
      </c>
      <c r="F10" s="338">
        <v>54970</v>
      </c>
      <c r="G10" s="332">
        <f t="shared" ref="G10:G21" si="1">G9+F10</f>
        <v>54970</v>
      </c>
      <c r="H10" s="332">
        <f t="shared" ref="H10:H21" si="2">H9-F10+D10</f>
        <v>27830</v>
      </c>
      <c r="I10" s="333" t="s">
        <v>1285</v>
      </c>
    </row>
    <row r="11" spans="1:9" s="223" customFormat="1" ht="12.75" customHeight="1" x14ac:dyDescent="0.25">
      <c r="A11" s="230" t="s">
        <v>1317</v>
      </c>
      <c r="B11" s="177">
        <v>46225</v>
      </c>
      <c r="C11" s="231" t="s">
        <v>1286</v>
      </c>
      <c r="D11" s="232">
        <v>0</v>
      </c>
      <c r="E11" s="233">
        <f t="shared" si="0"/>
        <v>82800</v>
      </c>
      <c r="F11" s="238"/>
      <c r="G11" s="234">
        <f t="shared" si="1"/>
        <v>54970</v>
      </c>
      <c r="H11" s="234">
        <f t="shared" si="2"/>
        <v>27830</v>
      </c>
      <c r="I11" s="235"/>
    </row>
    <row r="12" spans="1:9" s="223" customFormat="1" ht="12.75" customHeight="1" x14ac:dyDescent="0.25">
      <c r="A12" s="230" t="s">
        <v>1422</v>
      </c>
      <c r="B12" s="177">
        <v>46246</v>
      </c>
      <c r="C12" s="231" t="s">
        <v>1423</v>
      </c>
      <c r="D12" s="233"/>
      <c r="E12" s="233">
        <f t="shared" si="0"/>
        <v>82800</v>
      </c>
      <c r="F12" s="237">
        <v>1715</v>
      </c>
      <c r="G12" s="234">
        <f t="shared" si="1"/>
        <v>56685</v>
      </c>
      <c r="H12" s="234">
        <f t="shared" si="2"/>
        <v>26115</v>
      </c>
      <c r="I12" s="235"/>
    </row>
    <row r="13" spans="1:9" s="223" customFormat="1" ht="12.75" customHeight="1" x14ac:dyDescent="0.25">
      <c r="A13" s="230" t="s">
        <v>1556</v>
      </c>
      <c r="B13" s="177">
        <v>46281</v>
      </c>
      <c r="C13" s="231" t="s">
        <v>1557</v>
      </c>
      <c r="D13" s="233"/>
      <c r="E13" s="233">
        <f t="shared" si="0"/>
        <v>82800</v>
      </c>
      <c r="F13" s="237">
        <v>1715</v>
      </c>
      <c r="G13" s="234">
        <f t="shared" si="1"/>
        <v>58400</v>
      </c>
      <c r="H13" s="234">
        <f t="shared" si="2"/>
        <v>24400</v>
      </c>
      <c r="I13" s="235"/>
    </row>
    <row r="14" spans="1:9" s="223" customFormat="1" ht="12.75" customHeight="1" x14ac:dyDescent="0.25">
      <c r="A14" s="230"/>
      <c r="B14" s="177"/>
      <c r="C14" s="231"/>
      <c r="D14" s="233"/>
      <c r="E14" s="233">
        <f t="shared" si="0"/>
        <v>82800</v>
      </c>
      <c r="F14" s="234"/>
      <c r="G14" s="234">
        <f t="shared" si="1"/>
        <v>58400</v>
      </c>
      <c r="H14" s="234">
        <f t="shared" si="2"/>
        <v>24400</v>
      </c>
      <c r="I14" s="235"/>
    </row>
    <row r="15" spans="1:9" s="223" customFormat="1" ht="12.75" customHeight="1" x14ac:dyDescent="0.25">
      <c r="A15" s="230"/>
      <c r="B15" s="177"/>
      <c r="C15" s="231"/>
      <c r="D15" s="233"/>
      <c r="E15" s="233">
        <f t="shared" si="0"/>
        <v>82800</v>
      </c>
      <c r="F15" s="238"/>
      <c r="G15" s="234">
        <f t="shared" si="1"/>
        <v>58400</v>
      </c>
      <c r="H15" s="234">
        <f t="shared" si="2"/>
        <v>24400</v>
      </c>
      <c r="I15" s="235"/>
    </row>
    <row r="16" spans="1:9" s="223" customFormat="1" ht="12.75" customHeight="1" x14ac:dyDescent="0.25">
      <c r="A16" s="230"/>
      <c r="B16" s="177"/>
      <c r="C16" s="231"/>
      <c r="D16" s="233"/>
      <c r="E16" s="233">
        <f t="shared" si="0"/>
        <v>82800</v>
      </c>
      <c r="F16" s="238"/>
      <c r="G16" s="234">
        <f t="shared" si="1"/>
        <v>58400</v>
      </c>
      <c r="H16" s="234">
        <f t="shared" si="2"/>
        <v>24400</v>
      </c>
      <c r="I16" s="235"/>
    </row>
    <row r="17" spans="1:9" s="223" customFormat="1" ht="12.75" customHeight="1" x14ac:dyDescent="0.25">
      <c r="A17" s="230"/>
      <c r="B17" s="177"/>
      <c r="C17" s="231"/>
      <c r="D17" s="233"/>
      <c r="E17" s="233">
        <f t="shared" si="0"/>
        <v>82800</v>
      </c>
      <c r="F17" s="238"/>
      <c r="G17" s="234">
        <f t="shared" si="1"/>
        <v>58400</v>
      </c>
      <c r="H17" s="234">
        <f t="shared" si="2"/>
        <v>24400</v>
      </c>
      <c r="I17" s="235"/>
    </row>
    <row r="18" spans="1:9" s="223" customFormat="1" ht="12.75" customHeight="1" x14ac:dyDescent="0.25">
      <c r="A18" s="230"/>
      <c r="B18" s="177"/>
      <c r="C18" s="231"/>
      <c r="D18" s="233"/>
      <c r="E18" s="233">
        <f t="shared" si="0"/>
        <v>82800</v>
      </c>
      <c r="F18" s="238"/>
      <c r="G18" s="234">
        <f t="shared" si="1"/>
        <v>58400</v>
      </c>
      <c r="H18" s="234">
        <f t="shared" si="2"/>
        <v>24400</v>
      </c>
      <c r="I18" s="235"/>
    </row>
    <row r="19" spans="1:9" s="223" customFormat="1" ht="12.75" customHeight="1" x14ac:dyDescent="0.25">
      <c r="A19" s="230"/>
      <c r="B19" s="177"/>
      <c r="C19" s="231"/>
      <c r="D19" s="233"/>
      <c r="E19" s="233">
        <f t="shared" si="0"/>
        <v>82800</v>
      </c>
      <c r="F19" s="234"/>
      <c r="G19" s="234">
        <f t="shared" si="1"/>
        <v>58400</v>
      </c>
      <c r="H19" s="234">
        <f t="shared" si="2"/>
        <v>24400</v>
      </c>
      <c r="I19" s="235"/>
    </row>
    <row r="20" spans="1:9" s="223" customFormat="1" ht="12.75" customHeight="1" x14ac:dyDescent="0.25">
      <c r="A20" s="230"/>
      <c r="B20" s="177"/>
      <c r="C20" s="231"/>
      <c r="D20" s="233"/>
      <c r="E20" s="233">
        <f t="shared" si="0"/>
        <v>82800</v>
      </c>
      <c r="F20" s="234"/>
      <c r="G20" s="234">
        <f t="shared" si="1"/>
        <v>58400</v>
      </c>
      <c r="H20" s="234">
        <f t="shared" si="2"/>
        <v>24400</v>
      </c>
      <c r="I20" s="235"/>
    </row>
    <row r="21" spans="1:9" s="223" customFormat="1" ht="12.75" customHeight="1" x14ac:dyDescent="0.25">
      <c r="A21" s="230"/>
      <c r="B21" s="177"/>
      <c r="C21" s="239"/>
      <c r="D21" s="233"/>
      <c r="E21" s="233">
        <f t="shared" si="0"/>
        <v>82800</v>
      </c>
      <c r="F21" s="234"/>
      <c r="G21" s="234">
        <f t="shared" si="1"/>
        <v>58400</v>
      </c>
      <c r="H21" s="234">
        <f t="shared" si="2"/>
        <v>24400</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82800</v>
      </c>
      <c r="E23" s="245"/>
      <c r="F23" s="245">
        <f>SUM(F9:F22)</f>
        <v>58400</v>
      </c>
      <c r="G23" s="245"/>
      <c r="H23" s="245">
        <f>D23-F23</f>
        <v>24400</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399</v>
      </c>
      <c r="D26" s="254">
        <v>54970</v>
      </c>
      <c r="E26" s="254"/>
      <c r="F26" s="254">
        <f>54970</f>
        <v>54970</v>
      </c>
      <c r="G26" s="254"/>
      <c r="H26" s="254">
        <f>D26-F26</f>
        <v>0</v>
      </c>
      <c r="I26" s="235"/>
    </row>
    <row r="27" spans="1:9" s="223" customFormat="1" ht="12.75" customHeight="1" x14ac:dyDescent="0.25">
      <c r="A27" s="230"/>
      <c r="B27" s="231"/>
      <c r="C27" s="253" t="s">
        <v>400</v>
      </c>
      <c r="D27" s="254">
        <v>3430</v>
      </c>
      <c r="E27" s="254"/>
      <c r="F27" s="254">
        <f>1715+1715</f>
        <v>3430</v>
      </c>
      <c r="G27" s="254"/>
      <c r="H27" s="254">
        <f>D27-F27</f>
        <v>0</v>
      </c>
      <c r="I27" s="235"/>
    </row>
    <row r="28" spans="1:9" s="223" customFormat="1" ht="12.75" customHeight="1" x14ac:dyDescent="0.25">
      <c r="A28" s="230"/>
      <c r="B28" s="231"/>
      <c r="C28" s="253" t="s">
        <v>122</v>
      </c>
      <c r="D28" s="254">
        <v>24400</v>
      </c>
      <c r="E28" s="254"/>
      <c r="F28" s="254"/>
      <c r="G28" s="254"/>
      <c r="H28" s="254">
        <f>D28-F28</f>
        <v>24400</v>
      </c>
      <c r="I28" s="235"/>
    </row>
    <row r="29" spans="1:9" s="223" customFormat="1" ht="13.5" customHeight="1" thickBot="1" x14ac:dyDescent="0.3">
      <c r="A29" s="230"/>
      <c r="B29" s="231"/>
      <c r="C29" s="255" t="s">
        <v>67</v>
      </c>
      <c r="D29" s="256">
        <f>SUM(D26:D28)</f>
        <v>82800</v>
      </c>
      <c r="E29" s="257"/>
      <c r="F29" s="256">
        <f>SUM(F26:F28)</f>
        <v>58400</v>
      </c>
      <c r="G29" s="257"/>
      <c r="H29" s="256">
        <f>SUM(H26:H28)</f>
        <v>24400</v>
      </c>
      <c r="I29" s="235"/>
    </row>
    <row r="30" spans="1:9" s="223" customFormat="1" ht="12.75" customHeight="1" thickTop="1" x14ac:dyDescent="0.25"/>
    <row r="31" spans="1:9" s="223" customFormat="1" ht="12.75" customHeight="1" x14ac:dyDescent="0.25"/>
  </sheetData>
  <conditionalFormatting sqref="I8:I9 I11:I23">
    <cfRule type="cellIs" dxfId="31"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E2458-70DC-4631-8B2C-6B54FFF0B222}">
  <sheetPr>
    <pageSetUpPr fitToPage="1"/>
  </sheetPr>
  <dimension ref="A1:I30"/>
  <sheetViews>
    <sheetView zoomScaleNormal="100" workbookViewId="0">
      <selection activeCell="A22" sqref="A22"/>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#9504.00'!B1</f>
        <v>HHS WRC Food Service Elevator Replacement</v>
      </c>
      <c r="B1" s="3"/>
      <c r="C1" s="4"/>
      <c r="D1" s="4"/>
      <c r="E1" s="4"/>
      <c r="F1" s="28"/>
      <c r="G1" s="28"/>
      <c r="H1" s="29"/>
      <c r="I1" s="29"/>
    </row>
    <row r="2" spans="1:9" ht="15.75" x14ac:dyDescent="0.25">
      <c r="A2" s="6" t="str">
        <f>'RECAP #9504.00'!B2</f>
        <v>Project # 9504.00</v>
      </c>
      <c r="B2" s="5"/>
      <c r="C2" s="4"/>
      <c r="D2" s="4"/>
      <c r="E2" s="4"/>
      <c r="F2" s="28"/>
      <c r="G2" s="28"/>
      <c r="H2" s="29"/>
      <c r="I2" s="29"/>
    </row>
    <row r="3" spans="1:9" ht="15.75" x14ac:dyDescent="0.25">
      <c r="A3" s="7" t="str">
        <f>'RECAP #9504.00'!B3</f>
        <v>Program code 950400</v>
      </c>
      <c r="B3" s="5"/>
      <c r="C3" s="4"/>
      <c r="D3" s="8" t="str">
        <f>'RECAP #9504.00'!E3</f>
        <v>Major Program 4E19</v>
      </c>
      <c r="E3" s="4"/>
      <c r="F3" s="28"/>
      <c r="G3" s="28"/>
      <c r="H3" s="29"/>
      <c r="I3" s="29"/>
    </row>
    <row r="4" spans="1:9" ht="15.75" x14ac:dyDescent="0.25">
      <c r="A4" s="30" t="s">
        <v>930</v>
      </c>
      <c r="B4" s="31"/>
      <c r="C4" s="32"/>
      <c r="D4" s="33" t="s">
        <v>279</v>
      </c>
      <c r="E4" s="28"/>
      <c r="F4" s="28"/>
      <c r="G4" s="28"/>
      <c r="H4" s="29"/>
      <c r="I4" s="29"/>
    </row>
    <row r="5" spans="1:9" ht="15.75" x14ac:dyDescent="0.25">
      <c r="A5" s="34" t="s">
        <v>321</v>
      </c>
      <c r="B5" s="35"/>
      <c r="C5" s="36"/>
      <c r="D5" s="37" t="s">
        <v>280</v>
      </c>
      <c r="E5" s="38"/>
      <c r="F5" s="39"/>
      <c r="G5" s="39"/>
      <c r="H5" s="35"/>
      <c r="I5" s="29"/>
    </row>
    <row r="6" spans="1:9" ht="15.75" x14ac:dyDescent="0.25">
      <c r="A6" s="11" t="str">
        <f>'RECAP #9504.00'!B6</f>
        <v>Project Manager - Jennifer K.</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1470</v>
      </c>
      <c r="B9" s="177">
        <v>46254</v>
      </c>
      <c r="C9" s="231" t="s">
        <v>109</v>
      </c>
      <c r="D9" s="232">
        <v>37181.32</v>
      </c>
      <c r="E9" s="233">
        <f>D9</f>
        <v>37181.32</v>
      </c>
      <c r="F9" s="234"/>
      <c r="G9" s="234"/>
      <c r="H9" s="234">
        <f>E9</f>
        <v>37181.32</v>
      </c>
      <c r="I9" s="235"/>
    </row>
    <row r="10" spans="1:9" s="223" customFormat="1" ht="12.75" customHeight="1" x14ac:dyDescent="0.25">
      <c r="A10" s="230"/>
      <c r="B10" s="236"/>
      <c r="C10" s="231"/>
      <c r="D10" s="233"/>
      <c r="E10" s="233">
        <f t="shared" ref="E10:E21" si="0">E9+D10</f>
        <v>37181.32</v>
      </c>
      <c r="F10" s="237"/>
      <c r="G10" s="234">
        <f t="shared" ref="G10:G21" si="1">G9+F10</f>
        <v>0</v>
      </c>
      <c r="H10" s="234">
        <f t="shared" ref="H10:H21" si="2">H9-F10+D10</f>
        <v>37181.32</v>
      </c>
      <c r="I10" s="235"/>
    </row>
    <row r="11" spans="1:9" s="223" customFormat="1" ht="12.75" customHeight="1" x14ac:dyDescent="0.25">
      <c r="A11" s="230"/>
      <c r="B11" s="177"/>
      <c r="C11" s="231"/>
      <c r="D11" s="233"/>
      <c r="E11" s="233">
        <f t="shared" si="0"/>
        <v>37181.32</v>
      </c>
      <c r="F11" s="237"/>
      <c r="G11" s="234">
        <f t="shared" si="1"/>
        <v>0</v>
      </c>
      <c r="H11" s="234">
        <f t="shared" si="2"/>
        <v>37181.32</v>
      </c>
      <c r="I11" s="235"/>
    </row>
    <row r="12" spans="1:9" s="223" customFormat="1" ht="12.75" customHeight="1" x14ac:dyDescent="0.25">
      <c r="A12" s="230"/>
      <c r="B12" s="177"/>
      <c r="C12" s="231"/>
      <c r="D12" s="233"/>
      <c r="E12" s="233">
        <f t="shared" si="0"/>
        <v>37181.32</v>
      </c>
      <c r="F12" s="237"/>
      <c r="G12" s="234">
        <f t="shared" si="1"/>
        <v>0</v>
      </c>
      <c r="H12" s="234">
        <f t="shared" si="2"/>
        <v>37181.32</v>
      </c>
      <c r="I12" s="235"/>
    </row>
    <row r="13" spans="1:9" s="223" customFormat="1" ht="12.75" customHeight="1" x14ac:dyDescent="0.25">
      <c r="A13" s="230"/>
      <c r="B13" s="177"/>
      <c r="C13" s="231"/>
      <c r="D13" s="233"/>
      <c r="E13" s="233">
        <f t="shared" si="0"/>
        <v>37181.32</v>
      </c>
      <c r="F13" s="237"/>
      <c r="G13" s="234">
        <f t="shared" si="1"/>
        <v>0</v>
      </c>
      <c r="H13" s="234">
        <f t="shared" si="2"/>
        <v>37181.32</v>
      </c>
      <c r="I13" s="235"/>
    </row>
    <row r="14" spans="1:9" s="223" customFormat="1" ht="12.75" customHeight="1" x14ac:dyDescent="0.25">
      <c r="A14" s="230"/>
      <c r="B14" s="177"/>
      <c r="C14" s="231"/>
      <c r="D14" s="233"/>
      <c r="E14" s="233">
        <f t="shared" si="0"/>
        <v>37181.32</v>
      </c>
      <c r="F14" s="237"/>
      <c r="G14" s="234">
        <f t="shared" si="1"/>
        <v>0</v>
      </c>
      <c r="H14" s="234">
        <f t="shared" si="2"/>
        <v>37181.32</v>
      </c>
      <c r="I14" s="298"/>
    </row>
    <row r="15" spans="1:9" s="223" customFormat="1" ht="12.75" customHeight="1" x14ac:dyDescent="0.25">
      <c r="A15" s="230"/>
      <c r="B15" s="177"/>
      <c r="C15" s="231"/>
      <c r="D15" s="232"/>
      <c r="E15" s="233">
        <f t="shared" si="0"/>
        <v>37181.32</v>
      </c>
      <c r="F15" s="238"/>
      <c r="G15" s="234">
        <f t="shared" si="1"/>
        <v>0</v>
      </c>
      <c r="H15" s="234">
        <f t="shared" si="2"/>
        <v>37181.32</v>
      </c>
      <c r="I15" s="235"/>
    </row>
    <row r="16" spans="1:9" s="223" customFormat="1" ht="12.75" customHeight="1" x14ac:dyDescent="0.25">
      <c r="A16" s="230"/>
      <c r="B16" s="177"/>
      <c r="C16" s="231"/>
      <c r="D16" s="233"/>
      <c r="E16" s="233">
        <f t="shared" si="0"/>
        <v>37181.32</v>
      </c>
      <c r="F16" s="238"/>
      <c r="G16" s="234">
        <f t="shared" si="1"/>
        <v>0</v>
      </c>
      <c r="H16" s="234">
        <f t="shared" si="2"/>
        <v>37181.32</v>
      </c>
      <c r="I16" s="235"/>
    </row>
    <row r="17" spans="1:9" s="223" customFormat="1" ht="12.75" customHeight="1" x14ac:dyDescent="0.25">
      <c r="A17" s="230"/>
      <c r="B17" s="177"/>
      <c r="C17" s="231"/>
      <c r="D17" s="233"/>
      <c r="E17" s="233">
        <f t="shared" si="0"/>
        <v>37181.32</v>
      </c>
      <c r="F17" s="238"/>
      <c r="G17" s="234">
        <f t="shared" si="1"/>
        <v>0</v>
      </c>
      <c r="H17" s="234">
        <f t="shared" si="2"/>
        <v>37181.32</v>
      </c>
      <c r="I17" s="235"/>
    </row>
    <row r="18" spans="1:9" s="223" customFormat="1" ht="12.75" customHeight="1" x14ac:dyDescent="0.25">
      <c r="A18" s="230"/>
      <c r="B18" s="177"/>
      <c r="C18" s="231"/>
      <c r="D18" s="233"/>
      <c r="E18" s="233">
        <f t="shared" si="0"/>
        <v>37181.32</v>
      </c>
      <c r="F18" s="238"/>
      <c r="G18" s="234">
        <f t="shared" si="1"/>
        <v>0</v>
      </c>
      <c r="H18" s="234">
        <f t="shared" si="2"/>
        <v>37181.32</v>
      </c>
      <c r="I18" s="235"/>
    </row>
    <row r="19" spans="1:9" s="223" customFormat="1" ht="12.75" customHeight="1" x14ac:dyDescent="0.25">
      <c r="A19" s="230"/>
      <c r="B19" s="177"/>
      <c r="C19" s="231"/>
      <c r="D19" s="233"/>
      <c r="E19" s="233">
        <f t="shared" si="0"/>
        <v>37181.32</v>
      </c>
      <c r="F19" s="234"/>
      <c r="G19" s="234">
        <f t="shared" si="1"/>
        <v>0</v>
      </c>
      <c r="H19" s="234">
        <f t="shared" si="2"/>
        <v>37181.32</v>
      </c>
      <c r="I19" s="235"/>
    </row>
    <row r="20" spans="1:9" s="223" customFormat="1" ht="12.75" customHeight="1" x14ac:dyDescent="0.25">
      <c r="A20" s="230"/>
      <c r="B20" s="177"/>
      <c r="C20" s="231"/>
      <c r="D20" s="233"/>
      <c r="E20" s="233">
        <f t="shared" si="0"/>
        <v>37181.32</v>
      </c>
      <c r="F20" s="234"/>
      <c r="G20" s="234">
        <f t="shared" si="1"/>
        <v>0</v>
      </c>
      <c r="H20" s="234">
        <f t="shared" si="2"/>
        <v>37181.32</v>
      </c>
      <c r="I20" s="235"/>
    </row>
    <row r="21" spans="1:9" s="223" customFormat="1" ht="12.75" customHeight="1" x14ac:dyDescent="0.25">
      <c r="A21" s="230"/>
      <c r="B21" s="177"/>
      <c r="C21" s="239"/>
      <c r="D21" s="233"/>
      <c r="E21" s="233">
        <f t="shared" si="0"/>
        <v>37181.32</v>
      </c>
      <c r="F21" s="234"/>
      <c r="G21" s="234">
        <f t="shared" si="1"/>
        <v>0</v>
      </c>
      <c r="H21" s="234">
        <f t="shared" si="2"/>
        <v>37181.32</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37181.32</v>
      </c>
      <c r="E23" s="245"/>
      <c r="F23" s="245">
        <f>SUM(F9:F22)</f>
        <v>0</v>
      </c>
      <c r="G23" s="245"/>
      <c r="H23" s="245">
        <f>D23-F23</f>
        <v>37181.32</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36915.82</v>
      </c>
      <c r="E26" s="254"/>
      <c r="F26" s="254"/>
      <c r="G26" s="254"/>
      <c r="H26" s="254">
        <f>D26-F26</f>
        <v>36915.82</v>
      </c>
      <c r="I26" s="235"/>
    </row>
    <row r="27" spans="1:9" s="223" customFormat="1" ht="12.75" customHeight="1" x14ac:dyDescent="0.25">
      <c r="A27" s="230"/>
      <c r="B27" s="231"/>
      <c r="C27" s="253" t="s">
        <v>111</v>
      </c>
      <c r="D27" s="254">
        <v>265.5</v>
      </c>
      <c r="E27" s="254"/>
      <c r="F27" s="254"/>
      <c r="G27" s="254"/>
      <c r="H27" s="254">
        <f>D27-F27</f>
        <v>265.5</v>
      </c>
      <c r="I27" s="235"/>
    </row>
    <row r="28" spans="1:9" s="223" customFormat="1" ht="13.5" customHeight="1" thickBot="1" x14ac:dyDescent="0.3">
      <c r="A28" s="230"/>
      <c r="B28" s="231"/>
      <c r="C28" s="255" t="s">
        <v>67</v>
      </c>
      <c r="D28" s="256">
        <f>SUM(D26:D27)</f>
        <v>37181.32</v>
      </c>
      <c r="E28" s="257"/>
      <c r="F28" s="256">
        <f>SUM(F26:F27)</f>
        <v>0</v>
      </c>
      <c r="G28" s="257"/>
      <c r="H28" s="256">
        <f>SUM(H26:H27)</f>
        <v>37181.32</v>
      </c>
      <c r="I28" s="235"/>
    </row>
    <row r="29" spans="1:9" s="223" customFormat="1" ht="12.75" customHeight="1" thickTop="1" x14ac:dyDescent="0.25"/>
    <row r="30" spans="1:9" s="223" customFormat="1" ht="12.75" customHeight="1" x14ac:dyDescent="0.25"/>
  </sheetData>
  <conditionalFormatting sqref="I8:I13 I15:I23">
    <cfRule type="cellIs" dxfId="30"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5B3A5-3D2D-4D8C-8E4C-AE1C33ECED8A}">
  <sheetPr>
    <pageSetUpPr fitToPage="1"/>
  </sheetPr>
  <dimension ref="A1:I27"/>
  <sheetViews>
    <sheetView zoomScaleNormal="100" workbookViewId="0">
      <selection activeCell="D28" sqref="D28"/>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#9504.00'!B1</f>
        <v>HHS WRC Food Service Elevator Replacement</v>
      </c>
      <c r="B1" s="3"/>
      <c r="C1" s="4"/>
      <c r="D1" s="4"/>
      <c r="E1" s="4"/>
      <c r="F1" s="28"/>
      <c r="G1" s="28"/>
      <c r="H1" s="29"/>
      <c r="I1" s="29"/>
    </row>
    <row r="2" spans="1:9" ht="15.75" x14ac:dyDescent="0.25">
      <c r="A2" s="6" t="str">
        <f>'RECAP #9504.00'!B2</f>
        <v>Project # 9504.00</v>
      </c>
      <c r="B2" s="5"/>
      <c r="C2" s="4"/>
      <c r="D2" s="4"/>
      <c r="E2" s="4"/>
      <c r="F2" s="28"/>
      <c r="G2" s="28"/>
      <c r="H2" s="29"/>
      <c r="I2" s="29"/>
    </row>
    <row r="3" spans="1:9" ht="15.75" x14ac:dyDescent="0.25">
      <c r="A3" s="7" t="str">
        <f>'RECAP #9504.00'!B3</f>
        <v>Program code 950400</v>
      </c>
      <c r="B3" s="5"/>
      <c r="C3" s="4"/>
      <c r="D3" s="8" t="str">
        <f>'RECAP #9504.00'!E3</f>
        <v>Major Program 4E19</v>
      </c>
      <c r="E3" s="4"/>
      <c r="F3" s="28"/>
      <c r="G3" s="28"/>
      <c r="H3" s="29"/>
      <c r="I3" s="29"/>
    </row>
    <row r="4" spans="1:9" ht="15.75" x14ac:dyDescent="0.25">
      <c r="A4" s="30" t="s">
        <v>412</v>
      </c>
      <c r="B4" s="31"/>
      <c r="C4" s="32"/>
      <c r="D4" s="33" t="s">
        <v>413</v>
      </c>
      <c r="E4" s="28"/>
      <c r="F4" s="28"/>
      <c r="G4" s="28"/>
      <c r="H4" s="29"/>
      <c r="I4" s="29"/>
    </row>
    <row r="5" spans="1:9" ht="15.75" x14ac:dyDescent="0.25">
      <c r="A5" s="34" t="s">
        <v>321</v>
      </c>
      <c r="B5" s="35"/>
      <c r="C5" s="36"/>
      <c r="D5" s="37" t="s">
        <v>706</v>
      </c>
      <c r="E5" s="38"/>
      <c r="F5" s="39"/>
      <c r="G5" s="39"/>
      <c r="H5" s="35"/>
      <c r="I5" s="29"/>
    </row>
    <row r="6" spans="1:9" ht="15.75" x14ac:dyDescent="0.25">
      <c r="A6" s="11" t="str">
        <f>'RECAP #9504.00'!B6</f>
        <v>Project Manager - Jennifer K.</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1493</v>
      </c>
      <c r="B9" s="177">
        <v>46265</v>
      </c>
      <c r="C9" s="231" t="s">
        <v>109</v>
      </c>
      <c r="D9" s="232">
        <v>147336</v>
      </c>
      <c r="E9" s="233">
        <f>D9</f>
        <v>147336</v>
      </c>
      <c r="F9" s="234"/>
      <c r="G9" s="234"/>
      <c r="H9" s="234">
        <f>E9</f>
        <v>147336</v>
      </c>
      <c r="I9" s="235"/>
    </row>
    <row r="10" spans="1:9" s="223" customFormat="1" ht="12.75" customHeight="1" x14ac:dyDescent="0.25">
      <c r="A10" s="230"/>
      <c r="B10" s="236"/>
      <c r="C10" s="231"/>
      <c r="D10" s="233"/>
      <c r="E10" s="233">
        <f t="shared" ref="E10:E21" si="0">E9+D10</f>
        <v>147336</v>
      </c>
      <c r="F10" s="237"/>
      <c r="G10" s="234">
        <f t="shared" ref="G10:G21" si="1">G9+F10</f>
        <v>0</v>
      </c>
      <c r="H10" s="234">
        <f t="shared" ref="H10:H21" si="2">H9-F10+D10</f>
        <v>147336</v>
      </c>
      <c r="I10" s="235"/>
    </row>
    <row r="11" spans="1:9" s="223" customFormat="1" ht="12.75" customHeight="1" x14ac:dyDescent="0.25">
      <c r="A11" s="230"/>
      <c r="B11" s="177"/>
      <c r="C11" s="231"/>
      <c r="D11" s="233"/>
      <c r="E11" s="233">
        <f t="shared" si="0"/>
        <v>147336</v>
      </c>
      <c r="F11" s="237"/>
      <c r="G11" s="234">
        <f t="shared" si="1"/>
        <v>0</v>
      </c>
      <c r="H11" s="234">
        <f t="shared" si="2"/>
        <v>147336</v>
      </c>
      <c r="I11" s="235"/>
    </row>
    <row r="12" spans="1:9" s="223" customFormat="1" ht="12.75" customHeight="1" x14ac:dyDescent="0.25">
      <c r="A12" s="230"/>
      <c r="B12" s="177"/>
      <c r="C12" s="231"/>
      <c r="D12" s="233"/>
      <c r="E12" s="233">
        <f t="shared" si="0"/>
        <v>147336</v>
      </c>
      <c r="F12" s="237"/>
      <c r="G12" s="234">
        <f t="shared" si="1"/>
        <v>0</v>
      </c>
      <c r="H12" s="234">
        <f t="shared" si="2"/>
        <v>147336</v>
      </c>
      <c r="I12" s="235"/>
    </row>
    <row r="13" spans="1:9" s="223" customFormat="1" ht="12.75" customHeight="1" x14ac:dyDescent="0.25">
      <c r="A13" s="230"/>
      <c r="B13" s="177"/>
      <c r="C13" s="231"/>
      <c r="D13" s="233"/>
      <c r="E13" s="233">
        <f t="shared" si="0"/>
        <v>147336</v>
      </c>
      <c r="F13" s="237"/>
      <c r="G13" s="234">
        <f t="shared" si="1"/>
        <v>0</v>
      </c>
      <c r="H13" s="234">
        <f t="shared" si="2"/>
        <v>147336</v>
      </c>
      <c r="I13" s="235"/>
    </row>
    <row r="14" spans="1:9" s="223" customFormat="1" ht="12.75" customHeight="1" x14ac:dyDescent="0.25">
      <c r="A14" s="230"/>
      <c r="B14" s="177"/>
      <c r="C14" s="231"/>
      <c r="D14" s="233"/>
      <c r="E14" s="233">
        <f t="shared" si="0"/>
        <v>147336</v>
      </c>
      <c r="F14" s="237"/>
      <c r="G14" s="234">
        <f t="shared" si="1"/>
        <v>0</v>
      </c>
      <c r="H14" s="234">
        <f t="shared" si="2"/>
        <v>147336</v>
      </c>
      <c r="I14" s="298"/>
    </row>
    <row r="15" spans="1:9" s="223" customFormat="1" ht="12.75" customHeight="1" x14ac:dyDescent="0.25">
      <c r="A15" s="230"/>
      <c r="B15" s="177"/>
      <c r="C15" s="231"/>
      <c r="D15" s="232"/>
      <c r="E15" s="233">
        <f t="shared" si="0"/>
        <v>147336</v>
      </c>
      <c r="F15" s="238"/>
      <c r="G15" s="234">
        <f t="shared" si="1"/>
        <v>0</v>
      </c>
      <c r="H15" s="234">
        <f t="shared" si="2"/>
        <v>147336</v>
      </c>
      <c r="I15" s="235"/>
    </row>
    <row r="16" spans="1:9" s="223" customFormat="1" ht="12.75" customHeight="1" x14ac:dyDescent="0.25">
      <c r="A16" s="230"/>
      <c r="B16" s="177"/>
      <c r="C16" s="231"/>
      <c r="D16" s="233"/>
      <c r="E16" s="233">
        <f t="shared" si="0"/>
        <v>147336</v>
      </c>
      <c r="F16" s="238"/>
      <c r="G16" s="234">
        <f t="shared" si="1"/>
        <v>0</v>
      </c>
      <c r="H16" s="234">
        <f t="shared" si="2"/>
        <v>147336</v>
      </c>
      <c r="I16" s="235"/>
    </row>
    <row r="17" spans="1:9" s="223" customFormat="1" ht="12.75" customHeight="1" x14ac:dyDescent="0.25">
      <c r="A17" s="230"/>
      <c r="B17" s="177"/>
      <c r="C17" s="231"/>
      <c r="D17" s="233"/>
      <c r="E17" s="233">
        <f t="shared" si="0"/>
        <v>147336</v>
      </c>
      <c r="F17" s="238"/>
      <c r="G17" s="234">
        <f t="shared" si="1"/>
        <v>0</v>
      </c>
      <c r="H17" s="234">
        <f t="shared" si="2"/>
        <v>147336</v>
      </c>
      <c r="I17" s="235"/>
    </row>
    <row r="18" spans="1:9" s="223" customFormat="1" ht="12.75" customHeight="1" x14ac:dyDescent="0.25">
      <c r="A18" s="230"/>
      <c r="B18" s="177"/>
      <c r="C18" s="231"/>
      <c r="D18" s="233"/>
      <c r="E18" s="233">
        <f t="shared" si="0"/>
        <v>147336</v>
      </c>
      <c r="F18" s="238"/>
      <c r="G18" s="234">
        <f t="shared" si="1"/>
        <v>0</v>
      </c>
      <c r="H18" s="234">
        <f t="shared" si="2"/>
        <v>147336</v>
      </c>
      <c r="I18" s="235"/>
    </row>
    <row r="19" spans="1:9" s="223" customFormat="1" ht="12.75" customHeight="1" x14ac:dyDescent="0.25">
      <c r="A19" s="230"/>
      <c r="B19" s="177"/>
      <c r="C19" s="231"/>
      <c r="D19" s="233"/>
      <c r="E19" s="233">
        <f t="shared" si="0"/>
        <v>147336</v>
      </c>
      <c r="F19" s="234"/>
      <c r="G19" s="234">
        <f t="shared" si="1"/>
        <v>0</v>
      </c>
      <c r="H19" s="234">
        <f t="shared" si="2"/>
        <v>147336</v>
      </c>
      <c r="I19" s="235"/>
    </row>
    <row r="20" spans="1:9" s="223" customFormat="1" ht="12.75" customHeight="1" x14ac:dyDescent="0.25">
      <c r="A20" s="230"/>
      <c r="B20" s="177"/>
      <c r="C20" s="231"/>
      <c r="D20" s="233"/>
      <c r="E20" s="233">
        <f t="shared" si="0"/>
        <v>147336</v>
      </c>
      <c r="F20" s="234"/>
      <c r="G20" s="234">
        <f t="shared" si="1"/>
        <v>0</v>
      </c>
      <c r="H20" s="234">
        <f t="shared" si="2"/>
        <v>147336</v>
      </c>
      <c r="I20" s="235"/>
    </row>
    <row r="21" spans="1:9" s="223" customFormat="1" ht="12.75" customHeight="1" x14ac:dyDescent="0.25">
      <c r="A21" s="230"/>
      <c r="B21" s="177"/>
      <c r="C21" s="239"/>
      <c r="D21" s="233"/>
      <c r="E21" s="233">
        <f t="shared" si="0"/>
        <v>147336</v>
      </c>
      <c r="F21" s="234"/>
      <c r="G21" s="234">
        <f t="shared" si="1"/>
        <v>0</v>
      </c>
      <c r="H21" s="234">
        <f t="shared" si="2"/>
        <v>147336</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147336</v>
      </c>
      <c r="E23" s="245"/>
      <c r="F23" s="245">
        <f>SUM(F9:F22)</f>
        <v>0</v>
      </c>
      <c r="G23" s="245"/>
      <c r="H23" s="245">
        <f>D23-F23</f>
        <v>147336</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row r="27" spans="1:9" s="223" customFormat="1" ht="12.75" customHeight="1" x14ac:dyDescent="0.25"/>
  </sheetData>
  <conditionalFormatting sqref="I8:I13 I15:I23">
    <cfRule type="cellIs" dxfId="29"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EA0EF-194B-4E91-9BE1-7118DA646F27}">
  <sheetPr>
    <pageSetUpPr fitToPage="1"/>
  </sheetPr>
  <dimension ref="A1:G18"/>
  <sheetViews>
    <sheetView zoomScaleNormal="100" workbookViewId="0">
      <selection activeCell="B24" sqref="B24"/>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157</v>
      </c>
      <c r="C1" s="3"/>
      <c r="D1" s="4"/>
      <c r="E1" s="4"/>
      <c r="F1" s="4"/>
      <c r="G1" s="4"/>
    </row>
    <row r="2" spans="1:7" ht="15.75" x14ac:dyDescent="0.25">
      <c r="A2" s="1"/>
      <c r="B2" s="6" t="s">
        <v>207</v>
      </c>
      <c r="C2" s="5"/>
      <c r="D2" s="4"/>
      <c r="E2" s="4"/>
      <c r="F2" s="4"/>
      <c r="G2" s="4"/>
    </row>
    <row r="3" spans="1:7" ht="15.75" x14ac:dyDescent="0.25">
      <c r="A3" s="1"/>
      <c r="B3" s="7" t="s">
        <v>208</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175</v>
      </c>
      <c r="C6" s="12"/>
      <c r="D6" s="13" t="s">
        <v>2</v>
      </c>
      <c r="E6" s="4"/>
      <c r="F6" s="4"/>
      <c r="G6" s="4"/>
    </row>
    <row r="7" spans="1:7" ht="36.75" customHeight="1" thickBot="1" x14ac:dyDescent="0.3">
      <c r="A7" s="1"/>
      <c r="B7" s="14" t="s">
        <v>2</v>
      </c>
      <c r="C7" s="15" t="s">
        <v>3</v>
      </c>
      <c r="D7" s="16" t="s">
        <v>4</v>
      </c>
      <c r="E7" s="17" t="s">
        <v>5</v>
      </c>
      <c r="F7" s="18" t="s">
        <v>6</v>
      </c>
      <c r="G7" s="18" t="s">
        <v>7</v>
      </c>
    </row>
    <row r="8" spans="1:7" ht="28.35" customHeight="1" x14ac:dyDescent="0.25">
      <c r="A8" s="1"/>
      <c r="B8" s="1" t="s">
        <v>8</v>
      </c>
      <c r="C8" s="19">
        <f>FINANCIAL!G28</f>
        <v>491000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46"/>
      <c r="B10" s="247" t="s">
        <v>407</v>
      </c>
      <c r="C10" s="248"/>
      <c r="D10" s="251">
        <f>'#9505.00 Shive Hattery'!D23</f>
        <v>43927</v>
      </c>
      <c r="E10" s="251">
        <f>'#9505.00 Shive Hattery'!F23</f>
        <v>35520.6</v>
      </c>
      <c r="F10" s="251">
        <f>'#9505.00 Shive Hattery'!H23</f>
        <v>8406.4000000000015</v>
      </c>
      <c r="G10" s="250"/>
    </row>
    <row r="11" spans="1:7" s="223" customFormat="1" ht="12.75" customHeight="1" x14ac:dyDescent="0.25">
      <c r="A11" s="246"/>
      <c r="B11" s="247" t="s">
        <v>10</v>
      </c>
      <c r="C11" s="248"/>
      <c r="D11" s="251">
        <f>'#9505.00 PM TIME'!E37</f>
        <v>11800</v>
      </c>
      <c r="E11" s="251">
        <f>'#9505.00 PM TIME'!G37</f>
        <v>8280.9600000000009</v>
      </c>
      <c r="F11" s="251">
        <f>'#9505.00 PM TIME'!I37</f>
        <v>3519.0399999999991</v>
      </c>
      <c r="G11" s="250"/>
    </row>
    <row r="12" spans="1:7" s="223" customFormat="1" ht="12.75" customHeight="1" x14ac:dyDescent="0.25">
      <c r="A12" s="246"/>
      <c r="B12" s="247" t="s">
        <v>11</v>
      </c>
      <c r="C12" s="249"/>
      <c r="D12" s="252">
        <f>'#9505.00 Misc'!G22</f>
        <v>0</v>
      </c>
      <c r="E12" s="252">
        <f>'#9505.00 Misc'!H22</f>
        <v>0</v>
      </c>
      <c r="F12" s="251">
        <f>D12-E12</f>
        <v>0</v>
      </c>
      <c r="G12" s="250"/>
    </row>
    <row r="13" spans="1:7" s="223" customFormat="1" ht="12.75" customHeight="1" x14ac:dyDescent="0.25">
      <c r="A13" s="273" t="s">
        <v>250</v>
      </c>
      <c r="B13" s="247" t="s">
        <v>350</v>
      </c>
      <c r="C13" s="249"/>
      <c r="D13" s="252">
        <f>'#9505.00 Boyd Jones'!D23</f>
        <v>17817.489999999998</v>
      </c>
      <c r="E13" s="252">
        <f>'#9505.00 Boyd Jones'!F23</f>
        <v>17817.489999999998</v>
      </c>
      <c r="F13" s="251">
        <f>'#9505.00 Boyd Jones'!H23</f>
        <v>0</v>
      </c>
      <c r="G13" s="250"/>
    </row>
    <row r="14" spans="1:7" s="223" customFormat="1" ht="12.75" customHeight="1" x14ac:dyDescent="0.25">
      <c r="A14" s="246"/>
      <c r="B14" s="247" t="s">
        <v>796</v>
      </c>
      <c r="C14" s="249"/>
      <c r="D14" s="252">
        <f>'#9505.00 Midwest Fence &amp; Gate'!D23</f>
        <v>380950</v>
      </c>
      <c r="E14" s="252">
        <f>'#9505.00 Midwest Fence &amp; Gate'!F23</f>
        <v>0</v>
      </c>
      <c r="F14" s="251">
        <f>'#9505.00 Midwest Fence &amp; Gate'!H23</f>
        <v>380950</v>
      </c>
      <c r="G14" s="250"/>
    </row>
    <row r="15" spans="1:7" s="223" customFormat="1" ht="12.75" customHeight="1" x14ac:dyDescent="0.25">
      <c r="A15" s="246"/>
      <c r="B15" s="247" t="s">
        <v>717</v>
      </c>
      <c r="C15" s="249"/>
      <c r="D15" s="252">
        <f>'#9505.00 Boyd Jones (2)'!D23</f>
        <v>32450.52</v>
      </c>
      <c r="E15" s="252">
        <f>'#9505.00 Boyd Jones (2)'!F23</f>
        <v>8311.49</v>
      </c>
      <c r="F15" s="251">
        <f>'#9505.00 Boyd Jones (2)'!H23</f>
        <v>24139.03</v>
      </c>
      <c r="G15" s="250"/>
    </row>
    <row r="16" spans="1:7" s="223" customFormat="1" ht="12.75" customHeight="1" x14ac:dyDescent="0.25">
      <c r="A16" s="246"/>
      <c r="B16" s="247"/>
      <c r="C16" s="249"/>
      <c r="D16" s="252"/>
      <c r="E16" s="252"/>
      <c r="F16" s="251"/>
      <c r="G16" s="250"/>
    </row>
    <row r="17" spans="1:7" ht="24" customHeight="1" thickBot="1" x14ac:dyDescent="0.3">
      <c r="A17" s="25"/>
      <c r="B17" s="26" t="s">
        <v>12</v>
      </c>
      <c r="C17" s="27">
        <f>SUM(C8:C16)</f>
        <v>491000</v>
      </c>
      <c r="D17" s="27">
        <f>SUM(D8:D16)</f>
        <v>486945.01</v>
      </c>
      <c r="E17" s="27">
        <f>SUM(E8:E16)</f>
        <v>69930.539999999994</v>
      </c>
      <c r="F17" s="27">
        <f>SUM(D17-E17)</f>
        <v>417014.47000000003</v>
      </c>
      <c r="G17" s="27">
        <f>C8-D17</f>
        <v>4054.9899999999907</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9FE25-6876-4D17-A014-BD85B406F159}">
  <sheetPr>
    <pageSetUpPr fitToPage="1"/>
  </sheetPr>
  <dimension ref="A1:I32"/>
  <sheetViews>
    <sheetView zoomScaleNormal="100" workbookViewId="0">
      <selection activeCell="J32" sqref="J32"/>
    </sheetView>
  </sheetViews>
  <sheetFormatPr defaultColWidth="11.42578125" defaultRowHeight="15" customHeight="1" x14ac:dyDescent="0.25"/>
  <cols>
    <col min="1" max="1" width="24.5703125" customWidth="1"/>
    <col min="2" max="2" width="9.42578125" customWidth="1"/>
    <col min="3" max="3" width="23.140625" bestFit="1" customWidth="1"/>
    <col min="4" max="4" width="14.42578125" customWidth="1"/>
    <col min="5" max="5" width="13.5703125" customWidth="1"/>
    <col min="6" max="6" width="12.42578125" customWidth="1"/>
    <col min="7" max="7" width="10.5703125" customWidth="1"/>
    <col min="8" max="8" width="14.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#9505.00'!B1</f>
        <v>DOC FDCF Sally Port Operator Replacement</v>
      </c>
      <c r="B1" s="3"/>
      <c r="C1" s="4"/>
      <c r="D1" s="4"/>
      <c r="E1" s="4"/>
      <c r="F1" s="28"/>
      <c r="G1" s="28"/>
      <c r="H1" s="29"/>
      <c r="I1" s="29"/>
    </row>
    <row r="2" spans="1:9" ht="15.75" x14ac:dyDescent="0.25">
      <c r="A2" s="6" t="str">
        <f>'RECAP #9505.00'!B2</f>
        <v>Project # 9505.00</v>
      </c>
      <c r="B2" s="5"/>
      <c r="C2" s="4"/>
      <c r="D2" s="4"/>
      <c r="E2" s="4"/>
      <c r="F2" s="28"/>
      <c r="G2" s="28"/>
      <c r="H2" s="29"/>
      <c r="I2" s="29"/>
    </row>
    <row r="3" spans="1:9" ht="15.75" x14ac:dyDescent="0.25">
      <c r="A3" s="7" t="str">
        <f>'RECAP #9505.00'!B3</f>
        <v>Program code 950500</v>
      </c>
      <c r="B3" s="5"/>
      <c r="C3" s="4"/>
      <c r="D3" s="8" t="str">
        <f>'RECAP #9505.00'!E3</f>
        <v>Major Program 4E01</v>
      </c>
      <c r="E3" s="4"/>
      <c r="F3" s="28"/>
      <c r="G3" s="28"/>
      <c r="H3" s="29"/>
      <c r="I3" s="29"/>
    </row>
    <row r="4" spans="1:9" ht="15.75" x14ac:dyDescent="0.25">
      <c r="A4" s="30" t="s">
        <v>407</v>
      </c>
      <c r="B4" s="31"/>
      <c r="C4" s="32"/>
      <c r="D4" s="33" t="s">
        <v>408</v>
      </c>
      <c r="E4" s="28"/>
      <c r="F4" s="28"/>
      <c r="G4" s="28"/>
      <c r="H4" s="29"/>
      <c r="I4" s="29"/>
    </row>
    <row r="5" spans="1:9" ht="15.75" x14ac:dyDescent="0.25">
      <c r="A5" s="34" t="s">
        <v>115</v>
      </c>
      <c r="B5" s="35"/>
      <c r="C5" s="36"/>
      <c r="D5" s="37" t="s">
        <v>409</v>
      </c>
      <c r="E5" s="38"/>
      <c r="F5" s="39"/>
      <c r="G5" s="39"/>
      <c r="H5" s="35"/>
      <c r="I5" s="29"/>
    </row>
    <row r="6" spans="1:9" ht="15.75" x14ac:dyDescent="0.25">
      <c r="A6" s="11" t="str">
        <f>'RECAP #9505.00'!B6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410</v>
      </c>
      <c r="B9" s="177">
        <v>46030</v>
      </c>
      <c r="C9" s="231" t="s">
        <v>109</v>
      </c>
      <c r="D9" s="232">
        <v>43927</v>
      </c>
      <c r="E9" s="233">
        <f>D9</f>
        <v>43927</v>
      </c>
      <c r="F9" s="234"/>
      <c r="G9" s="234"/>
      <c r="H9" s="234">
        <f>E9</f>
        <v>43927</v>
      </c>
      <c r="I9" s="235"/>
    </row>
    <row r="10" spans="1:9" s="223" customFormat="1" ht="12.75" customHeight="1" x14ac:dyDescent="0.25">
      <c r="A10" s="230" t="s">
        <v>659</v>
      </c>
      <c r="B10" s="236">
        <v>46099</v>
      </c>
      <c r="C10" s="231" t="s">
        <v>660</v>
      </c>
      <c r="D10" s="233"/>
      <c r="E10" s="233">
        <f t="shared" ref="E10:E21" si="0">E9+D10</f>
        <v>43927</v>
      </c>
      <c r="F10" s="237">
        <v>30063</v>
      </c>
      <c r="G10" s="234">
        <f t="shared" ref="G10:G21" si="1">G9+F10</f>
        <v>30063</v>
      </c>
      <c r="H10" s="234">
        <f t="shared" ref="H10:H21" si="2">H9-F10+D10</f>
        <v>13864</v>
      </c>
      <c r="I10" s="235"/>
    </row>
    <row r="11" spans="1:9" s="223" customFormat="1" ht="12.75" customHeight="1" x14ac:dyDescent="0.25">
      <c r="A11" s="230" t="s">
        <v>823</v>
      </c>
      <c r="B11" s="177">
        <v>46139</v>
      </c>
      <c r="C11" s="231" t="s">
        <v>824</v>
      </c>
      <c r="D11" s="233"/>
      <c r="E11" s="233">
        <f t="shared" si="0"/>
        <v>43927</v>
      </c>
      <c r="F11" s="237">
        <v>3356</v>
      </c>
      <c r="G11" s="234">
        <f t="shared" si="1"/>
        <v>33419</v>
      </c>
      <c r="H11" s="234">
        <f t="shared" si="2"/>
        <v>10508</v>
      </c>
      <c r="I11" s="235"/>
    </row>
    <row r="12" spans="1:9" s="223" customFormat="1" ht="12.75" customHeight="1" x14ac:dyDescent="0.25">
      <c r="A12" s="328" t="s">
        <v>1126</v>
      </c>
      <c r="B12" s="329">
        <v>46199</v>
      </c>
      <c r="C12" s="330" t="s">
        <v>1127</v>
      </c>
      <c r="D12" s="331"/>
      <c r="E12" s="331">
        <f t="shared" si="0"/>
        <v>43927</v>
      </c>
      <c r="F12" s="338">
        <v>2101.6</v>
      </c>
      <c r="G12" s="332">
        <f t="shared" si="1"/>
        <v>35520.6</v>
      </c>
      <c r="H12" s="332">
        <f t="shared" si="2"/>
        <v>8406.4</v>
      </c>
      <c r="I12" s="333" t="s">
        <v>1285</v>
      </c>
    </row>
    <row r="13" spans="1:9" s="223" customFormat="1" ht="12.75" customHeight="1" x14ac:dyDescent="0.25">
      <c r="A13" s="230" t="s">
        <v>1320</v>
      </c>
      <c r="B13" s="177">
        <v>46225</v>
      </c>
      <c r="C13" s="231" t="s">
        <v>1286</v>
      </c>
      <c r="D13" s="232">
        <v>0</v>
      </c>
      <c r="E13" s="233">
        <f t="shared" si="0"/>
        <v>43927</v>
      </c>
      <c r="F13" s="238"/>
      <c r="G13" s="234">
        <f t="shared" si="1"/>
        <v>35520.6</v>
      </c>
      <c r="H13" s="234">
        <f t="shared" si="2"/>
        <v>8406.4</v>
      </c>
      <c r="I13" s="235"/>
    </row>
    <row r="14" spans="1:9" s="223" customFormat="1" ht="12.75" customHeight="1" x14ac:dyDescent="0.25">
      <c r="A14" s="230"/>
      <c r="B14" s="177"/>
      <c r="C14" s="231"/>
      <c r="D14" s="233"/>
      <c r="E14" s="233">
        <f t="shared" si="0"/>
        <v>43927</v>
      </c>
      <c r="F14" s="234"/>
      <c r="G14" s="234">
        <f t="shared" si="1"/>
        <v>35520.6</v>
      </c>
      <c r="H14" s="234">
        <f t="shared" si="2"/>
        <v>8406.4</v>
      </c>
      <c r="I14" s="235"/>
    </row>
    <row r="15" spans="1:9" s="223" customFormat="1" ht="12.75" customHeight="1" x14ac:dyDescent="0.25">
      <c r="A15" s="230"/>
      <c r="B15" s="177"/>
      <c r="C15" s="231"/>
      <c r="D15" s="233"/>
      <c r="E15" s="233">
        <f t="shared" si="0"/>
        <v>43927</v>
      </c>
      <c r="F15" s="238"/>
      <c r="G15" s="234">
        <f t="shared" si="1"/>
        <v>35520.6</v>
      </c>
      <c r="H15" s="234">
        <f t="shared" si="2"/>
        <v>8406.4</v>
      </c>
      <c r="I15" s="235"/>
    </row>
    <row r="16" spans="1:9" s="223" customFormat="1" ht="12.75" customHeight="1" x14ac:dyDescent="0.25">
      <c r="A16" s="230"/>
      <c r="B16" s="177"/>
      <c r="C16" s="231"/>
      <c r="D16" s="233"/>
      <c r="E16" s="233">
        <f t="shared" si="0"/>
        <v>43927</v>
      </c>
      <c r="F16" s="238"/>
      <c r="G16" s="234">
        <f t="shared" si="1"/>
        <v>35520.6</v>
      </c>
      <c r="H16" s="234">
        <f t="shared" si="2"/>
        <v>8406.4</v>
      </c>
      <c r="I16" s="235"/>
    </row>
    <row r="17" spans="1:9" s="223" customFormat="1" ht="12.75" customHeight="1" x14ac:dyDescent="0.25">
      <c r="A17" s="230"/>
      <c r="B17" s="177"/>
      <c r="C17" s="231"/>
      <c r="D17" s="233"/>
      <c r="E17" s="233">
        <f t="shared" si="0"/>
        <v>43927</v>
      </c>
      <c r="F17" s="238"/>
      <c r="G17" s="234">
        <f t="shared" si="1"/>
        <v>35520.6</v>
      </c>
      <c r="H17" s="234">
        <f t="shared" si="2"/>
        <v>8406.4</v>
      </c>
      <c r="I17" s="235"/>
    </row>
    <row r="18" spans="1:9" s="223" customFormat="1" ht="12.75" customHeight="1" x14ac:dyDescent="0.25">
      <c r="A18" s="230"/>
      <c r="B18" s="177"/>
      <c r="C18" s="231"/>
      <c r="D18" s="233"/>
      <c r="E18" s="233">
        <f t="shared" si="0"/>
        <v>43927</v>
      </c>
      <c r="F18" s="238"/>
      <c r="G18" s="234">
        <f t="shared" si="1"/>
        <v>35520.6</v>
      </c>
      <c r="H18" s="234">
        <f t="shared" si="2"/>
        <v>8406.4</v>
      </c>
      <c r="I18" s="235"/>
    </row>
    <row r="19" spans="1:9" s="223" customFormat="1" ht="12.75" customHeight="1" x14ac:dyDescent="0.25">
      <c r="A19" s="230"/>
      <c r="B19" s="177"/>
      <c r="C19" s="231"/>
      <c r="D19" s="233"/>
      <c r="E19" s="233">
        <f t="shared" si="0"/>
        <v>43927</v>
      </c>
      <c r="F19" s="234"/>
      <c r="G19" s="234">
        <f t="shared" si="1"/>
        <v>35520.6</v>
      </c>
      <c r="H19" s="234">
        <f t="shared" si="2"/>
        <v>8406.4</v>
      </c>
      <c r="I19" s="235"/>
    </row>
    <row r="20" spans="1:9" s="223" customFormat="1" ht="12.75" customHeight="1" x14ac:dyDescent="0.25">
      <c r="A20" s="230"/>
      <c r="B20" s="177"/>
      <c r="C20" s="231"/>
      <c r="D20" s="233"/>
      <c r="E20" s="233">
        <f t="shared" si="0"/>
        <v>43927</v>
      </c>
      <c r="F20" s="234"/>
      <c r="G20" s="234">
        <f t="shared" si="1"/>
        <v>35520.6</v>
      </c>
      <c r="H20" s="234">
        <f t="shared" si="2"/>
        <v>8406.4</v>
      </c>
      <c r="I20" s="235"/>
    </row>
    <row r="21" spans="1:9" s="223" customFormat="1" ht="12.75" customHeight="1" x14ac:dyDescent="0.25">
      <c r="A21" s="230"/>
      <c r="B21" s="177"/>
      <c r="C21" s="239"/>
      <c r="D21" s="233"/>
      <c r="E21" s="233">
        <f t="shared" si="0"/>
        <v>43927</v>
      </c>
      <c r="F21" s="234"/>
      <c r="G21" s="234">
        <f t="shared" si="1"/>
        <v>35520.6</v>
      </c>
      <c r="H21" s="234">
        <f t="shared" si="2"/>
        <v>8406.4</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43927</v>
      </c>
      <c r="E23" s="245"/>
      <c r="F23" s="245">
        <f>SUM(F9:F22)</f>
        <v>35520.6</v>
      </c>
      <c r="G23" s="245"/>
      <c r="H23" s="245">
        <f>D23-F23</f>
        <v>8406.4000000000015</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t="s">
        <v>411</v>
      </c>
      <c r="D26" s="234">
        <v>10008</v>
      </c>
      <c r="E26" s="234"/>
      <c r="F26" s="234">
        <f>10008</f>
        <v>10008</v>
      </c>
      <c r="G26" s="234"/>
      <c r="H26" s="234">
        <f>D26-F26</f>
        <v>0</v>
      </c>
      <c r="I26" s="235"/>
    </row>
    <row r="27" spans="1:9" s="223" customFormat="1" ht="12.75" customHeight="1" x14ac:dyDescent="0.25">
      <c r="A27" s="230"/>
      <c r="B27" s="231"/>
      <c r="C27" s="240" t="s">
        <v>299</v>
      </c>
      <c r="D27" s="234">
        <v>11466</v>
      </c>
      <c r="E27" s="234"/>
      <c r="F27" s="234">
        <f>11466</f>
        <v>11466</v>
      </c>
      <c r="G27" s="234"/>
      <c r="H27" s="234">
        <f>D27-F27</f>
        <v>0</v>
      </c>
      <c r="I27" s="235"/>
    </row>
    <row r="28" spans="1:9" s="223" customFormat="1" ht="12.75" customHeight="1" x14ac:dyDescent="0.25">
      <c r="A28" s="230"/>
      <c r="B28" s="231"/>
      <c r="C28" s="240" t="s">
        <v>121</v>
      </c>
      <c r="D28" s="234">
        <v>8589</v>
      </c>
      <c r="E28" s="234"/>
      <c r="F28" s="234">
        <f>8589</f>
        <v>8589</v>
      </c>
      <c r="G28" s="234"/>
      <c r="H28" s="234">
        <f>D28-F28</f>
        <v>0</v>
      </c>
      <c r="I28" s="235"/>
    </row>
    <row r="29" spans="1:9" s="223" customFormat="1" ht="12.75" customHeight="1" x14ac:dyDescent="0.25">
      <c r="A29" s="230"/>
      <c r="B29" s="231"/>
      <c r="C29" s="253" t="s">
        <v>400</v>
      </c>
      <c r="D29" s="254">
        <v>3356</v>
      </c>
      <c r="E29" s="254"/>
      <c r="F29" s="254">
        <v>3356</v>
      </c>
      <c r="G29" s="254"/>
      <c r="H29" s="234">
        <f>D29-F29</f>
        <v>0</v>
      </c>
      <c r="I29" s="235"/>
    </row>
    <row r="30" spans="1:9" s="223" customFormat="1" ht="12.75" customHeight="1" x14ac:dyDescent="0.25">
      <c r="A30" s="230"/>
      <c r="B30" s="231"/>
      <c r="C30" s="253" t="s">
        <v>122</v>
      </c>
      <c r="D30" s="254">
        <v>10508</v>
      </c>
      <c r="E30" s="254"/>
      <c r="F30" s="254">
        <f>2101.6</f>
        <v>2101.6</v>
      </c>
      <c r="G30" s="254"/>
      <c r="H30" s="234">
        <f>D30-F30</f>
        <v>8406.4</v>
      </c>
      <c r="I30" s="235"/>
    </row>
    <row r="31" spans="1:9" s="223" customFormat="1" ht="12.75" customHeight="1" thickBot="1" x14ac:dyDescent="0.3">
      <c r="A31" s="230"/>
      <c r="B31" s="231"/>
      <c r="C31" s="255" t="s">
        <v>67</v>
      </c>
      <c r="D31" s="256">
        <f>SUM(D26:D30)</f>
        <v>43927</v>
      </c>
      <c r="E31" s="257"/>
      <c r="F31" s="256">
        <f>SUM(F26:F30)</f>
        <v>35520.6</v>
      </c>
      <c r="G31" s="257"/>
      <c r="H31" s="256">
        <f>SUM(H26:H30)</f>
        <v>8406.4</v>
      </c>
      <c r="I31" s="235"/>
    </row>
    <row r="32" spans="1:9" s="223" customFormat="1" ht="12.75" customHeight="1" thickTop="1" x14ac:dyDescent="0.25"/>
  </sheetData>
  <conditionalFormatting sqref="I8:I11 I13:I23">
    <cfRule type="cellIs" dxfId="28"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CEF2A-DDD4-4ED0-8534-3E5B5410AAA8}">
  <sheetPr>
    <pageSetUpPr fitToPage="1"/>
  </sheetPr>
  <dimension ref="A1:J38"/>
  <sheetViews>
    <sheetView topLeftCell="A6" zoomScaleNormal="100" workbookViewId="0">
      <selection activeCell="L31" sqref="L31"/>
    </sheetView>
  </sheetViews>
  <sheetFormatPr defaultColWidth="11.42578125" defaultRowHeight="15" customHeight="1" x14ac:dyDescent="0.25"/>
  <cols>
    <col min="1" max="1" width="24.5703125" customWidth="1"/>
    <col min="2" max="3" width="9.42578125" customWidth="1"/>
    <col min="4" max="4" width="42.85546875" customWidth="1"/>
    <col min="5" max="5" width="12.5703125" customWidth="1"/>
    <col min="6" max="6" width="13.5703125" customWidth="1"/>
    <col min="7" max="7" width="12.42578125" customWidth="1"/>
    <col min="8" max="8" width="10.5703125" customWidth="1"/>
    <col min="9" max="9" width="13.1406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#9505.00'!B1</f>
        <v>DOC FDCF Sally Port Operator Replacement</v>
      </c>
      <c r="B1" s="3"/>
      <c r="C1" s="3"/>
      <c r="D1" s="4"/>
      <c r="E1" s="4"/>
      <c r="F1" s="4"/>
      <c r="G1" s="28"/>
      <c r="H1" s="28"/>
      <c r="I1" s="29"/>
      <c r="J1" s="29"/>
    </row>
    <row r="2" spans="1:10" ht="15.75" x14ac:dyDescent="0.25">
      <c r="A2" s="6" t="str">
        <f>'RECAP #9505.00'!B2</f>
        <v>Project # 9505.00</v>
      </c>
      <c r="B2" s="5"/>
      <c r="C2" s="5"/>
      <c r="D2" s="4"/>
      <c r="E2" s="4"/>
      <c r="F2" s="4"/>
      <c r="G2" s="28"/>
      <c r="H2" s="28"/>
      <c r="I2" s="29"/>
      <c r="J2" s="29"/>
    </row>
    <row r="3" spans="1:10" ht="15.75" x14ac:dyDescent="0.25">
      <c r="A3" s="7" t="str">
        <f>'RECAP #9505.00'!B3</f>
        <v>Program code 950500</v>
      </c>
      <c r="B3" s="5"/>
      <c r="C3" s="5"/>
      <c r="D3" s="4"/>
      <c r="E3" s="8" t="str">
        <f>'RECAP #9505.00'!E3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241</v>
      </c>
      <c r="F6" s="42"/>
      <c r="G6" s="43"/>
      <c r="H6" s="39"/>
      <c r="I6" s="35"/>
      <c r="J6" s="29"/>
    </row>
    <row r="7" spans="1:10" ht="15.75" x14ac:dyDescent="0.25">
      <c r="A7" s="11" t="str">
        <f>'RECAP #9505.00'!B6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v>11800</v>
      </c>
      <c r="F9" s="233">
        <f>E9</f>
        <v>11800</v>
      </c>
      <c r="G9" s="234"/>
      <c r="H9" s="234"/>
      <c r="I9" s="234">
        <f>F9</f>
        <v>11800</v>
      </c>
      <c r="J9" s="235"/>
    </row>
    <row r="10" spans="1:10" s="223" customFormat="1" ht="12.75" customHeight="1" x14ac:dyDescent="0.25">
      <c r="A10" s="176" t="s">
        <v>314</v>
      </c>
      <c r="B10" s="177">
        <v>45968</v>
      </c>
      <c r="C10" s="241" t="s">
        <v>261</v>
      </c>
      <c r="D10" s="148" t="s">
        <v>315</v>
      </c>
      <c r="E10" s="233"/>
      <c r="F10" s="233">
        <f t="shared" ref="F10:F35" si="0">F9+E10</f>
        <v>11800</v>
      </c>
      <c r="G10" s="237">
        <v>27.76</v>
      </c>
      <c r="H10" s="234">
        <f t="shared" ref="H10:H35" si="1">H9+G10</f>
        <v>27.76</v>
      </c>
      <c r="I10" s="234">
        <f t="shared" ref="I10:I35" si="2">I9-G10+E10</f>
        <v>11772.24</v>
      </c>
      <c r="J10" s="235"/>
    </row>
    <row r="11" spans="1:10" s="223" customFormat="1" ht="12.75" customHeight="1" x14ac:dyDescent="0.25">
      <c r="A11" s="176" t="s">
        <v>314</v>
      </c>
      <c r="B11" s="177">
        <v>45968</v>
      </c>
      <c r="C11" s="241">
        <v>9500</v>
      </c>
      <c r="D11" s="149" t="s">
        <v>316</v>
      </c>
      <c r="E11" s="233"/>
      <c r="F11" s="233">
        <f t="shared" si="0"/>
        <v>11800</v>
      </c>
      <c r="G11" s="237">
        <v>278.39999999999998</v>
      </c>
      <c r="H11" s="234">
        <f t="shared" si="1"/>
        <v>306.15999999999997</v>
      </c>
      <c r="I11" s="234">
        <f t="shared" si="2"/>
        <v>11493.84</v>
      </c>
      <c r="J11" s="235"/>
    </row>
    <row r="12" spans="1:10" s="223" customFormat="1" ht="12.75" customHeight="1" x14ac:dyDescent="0.2">
      <c r="A12" s="70" t="s">
        <v>364</v>
      </c>
      <c r="B12" s="50">
        <v>45996</v>
      </c>
      <c r="C12" s="53" t="s">
        <v>261</v>
      </c>
      <c r="D12" s="144" t="s">
        <v>365</v>
      </c>
      <c r="E12" s="233"/>
      <c r="F12" s="233">
        <f t="shared" si="0"/>
        <v>11800</v>
      </c>
      <c r="G12" s="237">
        <v>139.35</v>
      </c>
      <c r="H12" s="234">
        <f t="shared" si="1"/>
        <v>445.51</v>
      </c>
      <c r="I12" s="234">
        <f t="shared" si="2"/>
        <v>11354.49</v>
      </c>
      <c r="J12" s="235"/>
    </row>
    <row r="13" spans="1:10" s="223" customFormat="1" ht="12.75" customHeight="1" x14ac:dyDescent="0.2">
      <c r="A13" s="70" t="s">
        <v>364</v>
      </c>
      <c r="B13" s="50">
        <v>45996</v>
      </c>
      <c r="C13" s="268">
        <v>9500</v>
      </c>
      <c r="D13" s="66" t="s">
        <v>366</v>
      </c>
      <c r="E13" s="233"/>
      <c r="F13" s="233">
        <f t="shared" si="0"/>
        <v>11800</v>
      </c>
      <c r="G13" s="237">
        <v>887.5</v>
      </c>
      <c r="H13" s="234">
        <f t="shared" si="1"/>
        <v>1333.01</v>
      </c>
      <c r="I13" s="234">
        <f t="shared" si="2"/>
        <v>10466.99</v>
      </c>
      <c r="J13" s="235"/>
    </row>
    <row r="14" spans="1:10" s="223" customFormat="1" ht="12.75" customHeight="1" x14ac:dyDescent="0.2">
      <c r="A14" s="70" t="s">
        <v>423</v>
      </c>
      <c r="B14" s="50">
        <v>46030</v>
      </c>
      <c r="C14" s="53" t="s">
        <v>261</v>
      </c>
      <c r="D14" s="144" t="s">
        <v>424</v>
      </c>
      <c r="E14" s="233"/>
      <c r="F14" s="233">
        <f t="shared" si="0"/>
        <v>11800</v>
      </c>
      <c r="G14" s="237">
        <v>40.69</v>
      </c>
      <c r="H14" s="234">
        <f t="shared" si="1"/>
        <v>1373.7</v>
      </c>
      <c r="I14" s="234">
        <f t="shared" si="2"/>
        <v>10426.299999999999</v>
      </c>
      <c r="J14" s="235"/>
    </row>
    <row r="15" spans="1:10" s="223" customFormat="1" ht="12.75" customHeight="1" x14ac:dyDescent="0.2">
      <c r="A15" s="70" t="s">
        <v>423</v>
      </c>
      <c r="B15" s="50">
        <v>46030</v>
      </c>
      <c r="C15" s="268">
        <v>9500</v>
      </c>
      <c r="D15" s="66" t="s">
        <v>425</v>
      </c>
      <c r="E15" s="233"/>
      <c r="F15" s="233">
        <f t="shared" si="0"/>
        <v>11800</v>
      </c>
      <c r="G15" s="237">
        <v>464.2</v>
      </c>
      <c r="H15" s="234">
        <f t="shared" si="1"/>
        <v>1837.9</v>
      </c>
      <c r="I15" s="234">
        <f t="shared" si="2"/>
        <v>9962.0999999999985</v>
      </c>
      <c r="J15" s="235"/>
    </row>
    <row r="16" spans="1:10" s="223" customFormat="1" ht="12.75" customHeight="1" x14ac:dyDescent="0.2">
      <c r="A16" s="70" t="s">
        <v>548</v>
      </c>
      <c r="B16" s="50">
        <v>46062</v>
      </c>
      <c r="C16" s="53" t="s">
        <v>261</v>
      </c>
      <c r="D16" s="144" t="s">
        <v>549</v>
      </c>
      <c r="E16" s="233"/>
      <c r="F16" s="233">
        <f t="shared" si="0"/>
        <v>11800</v>
      </c>
      <c r="G16" s="237">
        <v>105.64</v>
      </c>
      <c r="H16" s="234">
        <f t="shared" si="1"/>
        <v>1943.5400000000002</v>
      </c>
      <c r="I16" s="234">
        <f t="shared" si="2"/>
        <v>9856.4599999999991</v>
      </c>
      <c r="J16" s="235"/>
    </row>
    <row r="17" spans="1:10" s="223" customFormat="1" ht="12.75" customHeight="1" x14ac:dyDescent="0.2">
      <c r="A17" s="70" t="s">
        <v>548</v>
      </c>
      <c r="B17" s="50">
        <v>46062</v>
      </c>
      <c r="C17" s="268">
        <v>9500</v>
      </c>
      <c r="D17" s="66" t="s">
        <v>550</v>
      </c>
      <c r="E17" s="233"/>
      <c r="F17" s="233">
        <f t="shared" si="0"/>
        <v>11800</v>
      </c>
      <c r="G17" s="237">
        <v>1312.8</v>
      </c>
      <c r="H17" s="234">
        <f t="shared" si="1"/>
        <v>3256.34</v>
      </c>
      <c r="I17" s="234">
        <f t="shared" si="2"/>
        <v>8543.66</v>
      </c>
      <c r="J17" s="235"/>
    </row>
    <row r="18" spans="1:10" s="223" customFormat="1" ht="12.75" customHeight="1" x14ac:dyDescent="0.2">
      <c r="A18" s="70" t="s">
        <v>644</v>
      </c>
      <c r="B18" s="50">
        <v>46090</v>
      </c>
      <c r="C18" s="53" t="s">
        <v>261</v>
      </c>
      <c r="D18" s="144" t="s">
        <v>645</v>
      </c>
      <c r="E18" s="233"/>
      <c r="F18" s="233">
        <f t="shared" si="0"/>
        <v>11800</v>
      </c>
      <c r="G18" s="237">
        <v>103.85</v>
      </c>
      <c r="H18" s="234">
        <f t="shared" si="1"/>
        <v>3360.19</v>
      </c>
      <c r="I18" s="234">
        <f t="shared" si="2"/>
        <v>8439.81</v>
      </c>
      <c r="J18" s="235"/>
    </row>
    <row r="19" spans="1:10" s="223" customFormat="1" ht="12.75" customHeight="1" x14ac:dyDescent="0.2">
      <c r="A19" s="70" t="s">
        <v>644</v>
      </c>
      <c r="B19" s="50">
        <v>46090</v>
      </c>
      <c r="C19" s="268">
        <v>9500</v>
      </c>
      <c r="D19" s="66" t="s">
        <v>646</v>
      </c>
      <c r="E19" s="233"/>
      <c r="F19" s="233">
        <f t="shared" si="0"/>
        <v>11800</v>
      </c>
      <c r="G19" s="237">
        <v>1199</v>
      </c>
      <c r="H19" s="234">
        <f t="shared" si="1"/>
        <v>4559.1900000000005</v>
      </c>
      <c r="I19" s="234">
        <f t="shared" si="2"/>
        <v>7240.8099999999995</v>
      </c>
      <c r="J19" s="235"/>
    </row>
    <row r="20" spans="1:10" s="223" customFormat="1" ht="12.75" customHeight="1" x14ac:dyDescent="0.2">
      <c r="A20" s="70" t="s">
        <v>744</v>
      </c>
      <c r="B20" s="50">
        <v>46118</v>
      </c>
      <c r="C20" s="53" t="s">
        <v>261</v>
      </c>
      <c r="D20" s="144" t="s">
        <v>745</v>
      </c>
      <c r="E20" s="233"/>
      <c r="F20" s="233">
        <f t="shared" si="0"/>
        <v>11800</v>
      </c>
      <c r="G20" s="237">
        <v>41.38</v>
      </c>
      <c r="H20" s="234">
        <f t="shared" si="1"/>
        <v>4600.5700000000006</v>
      </c>
      <c r="I20" s="234">
        <f t="shared" si="2"/>
        <v>7199.4299999999994</v>
      </c>
      <c r="J20" s="235"/>
    </row>
    <row r="21" spans="1:10" s="223" customFormat="1" ht="12.75" customHeight="1" x14ac:dyDescent="0.2">
      <c r="A21" s="70" t="s">
        <v>744</v>
      </c>
      <c r="B21" s="50">
        <v>46118</v>
      </c>
      <c r="C21" s="268">
        <v>9500</v>
      </c>
      <c r="D21" s="66" t="s">
        <v>746</v>
      </c>
      <c r="E21" s="233"/>
      <c r="F21" s="233">
        <f t="shared" si="0"/>
        <v>11800</v>
      </c>
      <c r="G21" s="237">
        <v>336.2</v>
      </c>
      <c r="H21" s="234">
        <f t="shared" si="1"/>
        <v>4936.7700000000004</v>
      </c>
      <c r="I21" s="234">
        <f t="shared" si="2"/>
        <v>6863.23</v>
      </c>
      <c r="J21" s="235"/>
    </row>
    <row r="22" spans="1:10" s="223" customFormat="1" ht="12.75" customHeight="1" x14ac:dyDescent="0.2">
      <c r="A22" s="70" t="s">
        <v>869</v>
      </c>
      <c r="B22" s="50">
        <v>46149</v>
      </c>
      <c r="C22" s="53" t="s">
        <v>261</v>
      </c>
      <c r="D22" s="144" t="s">
        <v>870</v>
      </c>
      <c r="E22" s="233"/>
      <c r="F22" s="233">
        <f t="shared" si="0"/>
        <v>11800</v>
      </c>
      <c r="G22" s="237">
        <v>155.38</v>
      </c>
      <c r="H22" s="234">
        <f t="shared" si="1"/>
        <v>5092.1500000000005</v>
      </c>
      <c r="I22" s="234">
        <f t="shared" si="2"/>
        <v>6707.8499999999995</v>
      </c>
      <c r="J22" s="235"/>
    </row>
    <row r="23" spans="1:10" s="223" customFormat="1" ht="12.75" customHeight="1" x14ac:dyDescent="0.2">
      <c r="A23" s="70" t="s">
        <v>869</v>
      </c>
      <c r="B23" s="50">
        <v>46149</v>
      </c>
      <c r="C23" s="268">
        <v>9500</v>
      </c>
      <c r="D23" s="66" t="s">
        <v>871</v>
      </c>
      <c r="E23" s="233"/>
      <c r="F23" s="233">
        <f t="shared" si="0"/>
        <v>11800</v>
      </c>
      <c r="G23" s="237">
        <v>1619.1</v>
      </c>
      <c r="H23" s="234">
        <f t="shared" si="1"/>
        <v>6711.25</v>
      </c>
      <c r="I23" s="234">
        <f t="shared" si="2"/>
        <v>5088.75</v>
      </c>
      <c r="J23" s="235"/>
    </row>
    <row r="24" spans="1:10" s="223" customFormat="1" ht="12.75" customHeight="1" x14ac:dyDescent="0.25">
      <c r="A24" s="70" t="s">
        <v>984</v>
      </c>
      <c r="B24" s="50">
        <v>46181</v>
      </c>
      <c r="C24" s="53" t="s">
        <v>261</v>
      </c>
      <c r="D24" s="144" t="s">
        <v>985</v>
      </c>
      <c r="E24"/>
      <c r="F24" s="233">
        <f t="shared" si="0"/>
        <v>11800</v>
      </c>
      <c r="G24" s="237">
        <v>19.100000000000001</v>
      </c>
      <c r="H24" s="234">
        <f t="shared" si="1"/>
        <v>6730.35</v>
      </c>
      <c r="I24" s="234">
        <f t="shared" si="2"/>
        <v>5069.6499999999996</v>
      </c>
      <c r="J24" s="235"/>
    </row>
    <row r="25" spans="1:10" s="223" customFormat="1" ht="12.75" customHeight="1" x14ac:dyDescent="0.25">
      <c r="A25" s="70" t="s">
        <v>984</v>
      </c>
      <c r="B25" s="50">
        <v>46181</v>
      </c>
      <c r="C25" s="268">
        <v>9500</v>
      </c>
      <c r="D25" s="66" t="s">
        <v>986</v>
      </c>
      <c r="E25"/>
      <c r="F25" s="233">
        <f t="shared" si="0"/>
        <v>11800</v>
      </c>
      <c r="G25" s="237">
        <v>268</v>
      </c>
      <c r="H25" s="234">
        <f t="shared" si="1"/>
        <v>6998.35</v>
      </c>
      <c r="I25" s="234">
        <f t="shared" si="2"/>
        <v>4801.6499999999996</v>
      </c>
      <c r="J25" s="235"/>
    </row>
    <row r="26" spans="1:10" s="223" customFormat="1" ht="12.75" customHeight="1" x14ac:dyDescent="0.25">
      <c r="A26" s="70" t="s">
        <v>1186</v>
      </c>
      <c r="B26" s="50">
        <v>46211</v>
      </c>
      <c r="C26" s="53" t="s">
        <v>261</v>
      </c>
      <c r="D26" s="144" t="s">
        <v>1187</v>
      </c>
      <c r="E26"/>
      <c r="F26" s="233">
        <f t="shared" si="0"/>
        <v>11800</v>
      </c>
      <c r="G26" s="237">
        <v>20.95</v>
      </c>
      <c r="H26" s="234">
        <f t="shared" si="1"/>
        <v>7019.3</v>
      </c>
      <c r="I26" s="234">
        <f t="shared" si="2"/>
        <v>4780.7</v>
      </c>
      <c r="J26" s="235"/>
    </row>
    <row r="27" spans="1:10" s="223" customFormat="1" ht="12.75" customHeight="1" x14ac:dyDescent="0.25">
      <c r="A27" s="70" t="s">
        <v>1186</v>
      </c>
      <c r="B27" s="50">
        <v>46211</v>
      </c>
      <c r="C27" s="268">
        <v>9500</v>
      </c>
      <c r="D27" s="66" t="s">
        <v>1188</v>
      </c>
      <c r="E27"/>
      <c r="F27" s="233">
        <f t="shared" si="0"/>
        <v>11800</v>
      </c>
      <c r="G27" s="237">
        <v>238.5</v>
      </c>
      <c r="H27" s="234">
        <f t="shared" si="1"/>
        <v>7257.8</v>
      </c>
      <c r="I27" s="234">
        <f t="shared" si="2"/>
        <v>4542.2</v>
      </c>
      <c r="J27" s="235"/>
    </row>
    <row r="28" spans="1:10" s="223" customFormat="1" ht="12.75" customHeight="1" x14ac:dyDescent="0.25">
      <c r="A28" s="70" t="s">
        <v>1265</v>
      </c>
      <c r="B28" s="50">
        <v>46218</v>
      </c>
      <c r="C28" s="53" t="s">
        <v>261</v>
      </c>
      <c r="D28" s="144" t="s">
        <v>1266</v>
      </c>
      <c r="E28"/>
      <c r="F28" s="233">
        <f t="shared" si="0"/>
        <v>11800</v>
      </c>
      <c r="G28" s="237">
        <v>7.96</v>
      </c>
      <c r="H28" s="234">
        <f t="shared" si="1"/>
        <v>7265.76</v>
      </c>
      <c r="I28" s="234">
        <f t="shared" si="2"/>
        <v>4534.24</v>
      </c>
      <c r="J28" s="235"/>
    </row>
    <row r="29" spans="1:10" s="223" customFormat="1" ht="12.75" customHeight="1" x14ac:dyDescent="0.25">
      <c r="A29" s="70" t="s">
        <v>1436</v>
      </c>
      <c r="B29" s="365">
        <v>46241</v>
      </c>
      <c r="C29" s="53" t="s">
        <v>261</v>
      </c>
      <c r="D29" s="144" t="s">
        <v>1437</v>
      </c>
      <c r="E29"/>
      <c r="F29" s="233">
        <f t="shared" si="0"/>
        <v>11800</v>
      </c>
      <c r="G29" s="237">
        <v>21.26</v>
      </c>
      <c r="H29" s="234">
        <f t="shared" si="1"/>
        <v>7287.02</v>
      </c>
      <c r="I29" s="234">
        <f t="shared" si="2"/>
        <v>4512.9799999999996</v>
      </c>
      <c r="J29" s="235"/>
    </row>
    <row r="30" spans="1:10" s="223" customFormat="1" ht="12.75" customHeight="1" x14ac:dyDescent="0.25">
      <c r="A30" s="70" t="s">
        <v>1436</v>
      </c>
      <c r="B30" s="365">
        <v>46241</v>
      </c>
      <c r="C30" s="268">
        <v>9500</v>
      </c>
      <c r="D30" s="66" t="s">
        <v>1438</v>
      </c>
      <c r="E30"/>
      <c r="F30" s="233">
        <f t="shared" si="0"/>
        <v>11800</v>
      </c>
      <c r="G30" s="237">
        <v>255</v>
      </c>
      <c r="H30" s="234">
        <f t="shared" si="1"/>
        <v>7542.02</v>
      </c>
      <c r="I30" s="234">
        <f t="shared" si="2"/>
        <v>4257.9799999999996</v>
      </c>
      <c r="J30" s="235"/>
    </row>
    <row r="31" spans="1:10" s="223" customFormat="1" ht="12.75" customHeight="1" x14ac:dyDescent="0.25">
      <c r="A31" s="70" t="s">
        <v>1531</v>
      </c>
      <c r="B31" s="365">
        <v>46272</v>
      </c>
      <c r="C31" s="53" t="s">
        <v>261</v>
      </c>
      <c r="D31" s="144" t="s">
        <v>1532</v>
      </c>
      <c r="E31"/>
      <c r="F31" s="233">
        <f t="shared" si="0"/>
        <v>11800</v>
      </c>
      <c r="G31" s="238">
        <v>69.040000000000006</v>
      </c>
      <c r="H31" s="234">
        <f t="shared" si="1"/>
        <v>7611.06</v>
      </c>
      <c r="I31" s="234">
        <f t="shared" si="2"/>
        <v>4188.9399999999996</v>
      </c>
      <c r="J31" s="235"/>
    </row>
    <row r="32" spans="1:10" s="223" customFormat="1" ht="12.75" customHeight="1" x14ac:dyDescent="0.25">
      <c r="A32" s="70" t="s">
        <v>1531</v>
      </c>
      <c r="B32" s="365">
        <v>46272</v>
      </c>
      <c r="C32" s="268">
        <v>9500</v>
      </c>
      <c r="D32" s="66" t="s">
        <v>1533</v>
      </c>
      <c r="E32"/>
      <c r="F32" s="233">
        <f t="shared" si="0"/>
        <v>11800</v>
      </c>
      <c r="G32" s="238">
        <v>669.9</v>
      </c>
      <c r="H32" s="234">
        <f t="shared" si="1"/>
        <v>8280.9600000000009</v>
      </c>
      <c r="I32" s="234">
        <f t="shared" si="2"/>
        <v>3519.0399999999995</v>
      </c>
      <c r="J32" s="235"/>
    </row>
    <row r="33" spans="1:10" s="223" customFormat="1" ht="12.75" customHeight="1" x14ac:dyDescent="0.25">
      <c r="A33" s="70"/>
      <c r="B33" s="365"/>
      <c r="C33" s="268"/>
      <c r="D33" s="66"/>
      <c r="E33"/>
      <c r="F33" s="233">
        <f t="shared" si="0"/>
        <v>11800</v>
      </c>
      <c r="G33" s="238"/>
      <c r="H33" s="234">
        <f t="shared" si="1"/>
        <v>8280.9600000000009</v>
      </c>
      <c r="I33" s="234">
        <f t="shared" si="2"/>
        <v>3519.0399999999995</v>
      </c>
      <c r="J33" s="235"/>
    </row>
    <row r="34" spans="1:10" s="223" customFormat="1" ht="12.75" customHeight="1" x14ac:dyDescent="0.25">
      <c r="A34" s="70"/>
      <c r="B34" s="365"/>
      <c r="C34" s="268"/>
      <c r="D34" s="66"/>
      <c r="E34"/>
      <c r="F34" s="233">
        <f t="shared" si="0"/>
        <v>11800</v>
      </c>
      <c r="G34" s="238"/>
      <c r="H34" s="234">
        <f t="shared" si="1"/>
        <v>8280.9600000000009</v>
      </c>
      <c r="I34" s="234">
        <f t="shared" si="2"/>
        <v>3519.0399999999995</v>
      </c>
      <c r="J34" s="235"/>
    </row>
    <row r="35" spans="1:10" s="223" customFormat="1" ht="12.75" customHeight="1" x14ac:dyDescent="0.25">
      <c r="A35" s="70"/>
      <c r="B35" s="50"/>
      <c r="C35" s="53"/>
      <c r="D35" s="144"/>
      <c r="E35"/>
      <c r="F35" s="233">
        <f t="shared" si="0"/>
        <v>11800</v>
      </c>
      <c r="G35" s="237"/>
      <c r="H35" s="234">
        <f t="shared" si="1"/>
        <v>8280.9600000000009</v>
      </c>
      <c r="I35" s="234">
        <f t="shared" si="2"/>
        <v>3519.0399999999995</v>
      </c>
      <c r="J35" s="235"/>
    </row>
    <row r="36" spans="1:10" s="223" customFormat="1" ht="12.75" customHeight="1" x14ac:dyDescent="0.25">
      <c r="A36" s="230"/>
      <c r="B36" s="231"/>
      <c r="C36" s="241"/>
      <c r="D36" s="240"/>
      <c r="E36" s="234"/>
      <c r="F36" s="234"/>
      <c r="G36" s="234"/>
      <c r="H36" s="234"/>
      <c r="I36" s="234"/>
      <c r="J36" s="235"/>
    </row>
    <row r="37" spans="1:10" s="223" customFormat="1" ht="12.75" customHeight="1" thickBot="1" x14ac:dyDescent="0.3">
      <c r="A37" s="230"/>
      <c r="B37" s="243"/>
      <c r="C37" s="241"/>
      <c r="D37" s="244" t="s">
        <v>24</v>
      </c>
      <c r="E37" s="245">
        <f>SUM(E9:E36)</f>
        <v>11800</v>
      </c>
      <c r="F37" s="245"/>
      <c r="G37" s="245">
        <f>SUM(G9:G36)</f>
        <v>8280.9600000000009</v>
      </c>
      <c r="H37" s="245"/>
      <c r="I37" s="245">
        <f>E37-G37</f>
        <v>3519.0399999999991</v>
      </c>
      <c r="J37" s="235"/>
    </row>
    <row r="38" spans="1:10" s="223" customFormat="1" ht="12.75" customHeight="1" thickTop="1" x14ac:dyDescent="0.25"/>
  </sheetData>
  <pageMargins left="0.25" right="0.25" top="0.95" bottom="0.75" header="0.09" footer="0.3"/>
  <pageSetup scale="63"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74D16-618D-4E5E-97CF-15D626A74CCA}">
  <sheetPr>
    <tabColor rgb="FF0070C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#9505.00'!B1</f>
        <v>DOC FDCF Sally Port Operator Replacement</v>
      </c>
      <c r="B1" s="3"/>
      <c r="C1" s="3"/>
      <c r="D1" s="3"/>
      <c r="E1" s="4"/>
      <c r="F1" s="4"/>
      <c r="G1" s="4"/>
      <c r="H1" s="28"/>
    </row>
    <row r="2" spans="1:8" ht="15.75" x14ac:dyDescent="0.25">
      <c r="A2" s="6" t="str">
        <f>'RECAP #9505.00'!B2</f>
        <v>Project # 9505.00</v>
      </c>
      <c r="B2" s="5"/>
      <c r="C2" s="5"/>
      <c r="D2" s="5"/>
      <c r="E2" s="4"/>
      <c r="F2" s="4"/>
      <c r="G2" s="4"/>
      <c r="H2" s="28"/>
    </row>
    <row r="3" spans="1:8" ht="15.75" x14ac:dyDescent="0.25">
      <c r="A3" s="7" t="str">
        <f>'RECAP #9505.00'!B3</f>
        <v>Program code 950500</v>
      </c>
      <c r="B3" s="5"/>
      <c r="C3" s="5"/>
      <c r="D3" s="5"/>
      <c r="E3" s="8" t="str">
        <f>'RECAP #9505.00'!E3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308</v>
      </c>
      <c r="F6" s="35"/>
      <c r="G6" s="38"/>
      <c r="H6" s="39"/>
    </row>
    <row r="7" spans="1:8" ht="15.75" x14ac:dyDescent="0.25">
      <c r="A7" s="11" t="str">
        <f>'RECAP #9505.00'!B6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5">
      <c r="A9" s="239"/>
      <c r="B9" s="177"/>
      <c r="C9" s="230"/>
      <c r="D9" s="230"/>
      <c r="E9" s="176"/>
      <c r="F9" s="259"/>
      <c r="G9" s="260"/>
      <c r="H9" s="260">
        <f>G9</f>
        <v>0</v>
      </c>
    </row>
    <row r="10" spans="1:8" s="223" customFormat="1" ht="12.75" customHeight="1" x14ac:dyDescent="0.25">
      <c r="A10" s="241"/>
      <c r="B10" s="177"/>
      <c r="C10" s="240"/>
      <c r="D10" s="240"/>
      <c r="E10" s="258"/>
      <c r="F10" s="252"/>
      <c r="G10" s="260"/>
      <c r="H10" s="260">
        <f>H9+G10</f>
        <v>0</v>
      </c>
    </row>
    <row r="11" spans="1:8" s="223" customFormat="1" ht="12.75" customHeight="1" x14ac:dyDescent="0.25">
      <c r="A11" s="241"/>
      <c r="B11" s="177"/>
      <c r="C11" s="177"/>
      <c r="D11" s="177"/>
      <c r="E11" s="258"/>
      <c r="F11" s="252"/>
      <c r="G11" s="260"/>
      <c r="H11" s="260">
        <f t="shared" ref="H11:H20" si="0">H10+G11</f>
        <v>0</v>
      </c>
    </row>
    <row r="12" spans="1:8" s="223" customFormat="1" ht="12.75" customHeight="1" x14ac:dyDescent="0.25">
      <c r="A12" s="241" t="s">
        <v>2</v>
      </c>
      <c r="B12" s="177" t="s">
        <v>2</v>
      </c>
      <c r="C12" s="177"/>
      <c r="D12" s="177"/>
      <c r="E12" s="258" t="s">
        <v>2</v>
      </c>
      <c r="F12" s="252"/>
      <c r="G12" s="260"/>
      <c r="H12" s="260">
        <f t="shared" si="0"/>
        <v>0</v>
      </c>
    </row>
    <row r="13" spans="1:8" s="223" customFormat="1" ht="12.75" customHeight="1" x14ac:dyDescent="0.25">
      <c r="A13" s="241" t="s">
        <v>2</v>
      </c>
      <c r="B13" s="177" t="s">
        <v>2</v>
      </c>
      <c r="C13" s="177"/>
      <c r="D13" s="177"/>
      <c r="E13" s="258" t="s">
        <v>2</v>
      </c>
      <c r="F13" s="252"/>
      <c r="G13" s="260"/>
      <c r="H13" s="260">
        <f t="shared" si="0"/>
        <v>0</v>
      </c>
    </row>
    <row r="14" spans="1:8" s="223" customFormat="1" ht="12.75" customHeight="1" x14ac:dyDescent="0.25">
      <c r="A14" s="241"/>
      <c r="B14" s="177"/>
      <c r="C14" s="177"/>
      <c r="D14" s="177"/>
      <c r="E14" s="258"/>
      <c r="F14" s="252"/>
      <c r="G14" s="260"/>
      <c r="H14" s="260">
        <f t="shared" si="0"/>
        <v>0</v>
      </c>
    </row>
    <row r="15" spans="1:8" s="223" customFormat="1" ht="12.75" customHeight="1" x14ac:dyDescent="0.25">
      <c r="A15" s="241"/>
      <c r="B15" s="177"/>
      <c r="C15" s="177"/>
      <c r="D15" s="177"/>
      <c r="E15" s="261"/>
      <c r="F15" s="252"/>
      <c r="G15" s="260"/>
      <c r="H15" s="260">
        <f t="shared" si="0"/>
        <v>0</v>
      </c>
    </row>
    <row r="16" spans="1:8" s="223" customFormat="1" ht="12.75" customHeight="1" x14ac:dyDescent="0.25">
      <c r="A16" s="241"/>
      <c r="B16" s="177"/>
      <c r="C16" s="177"/>
      <c r="D16" s="177"/>
      <c r="E16" s="258"/>
      <c r="F16" s="252"/>
      <c r="G16" s="260"/>
      <c r="H16" s="260">
        <f t="shared" si="0"/>
        <v>0</v>
      </c>
    </row>
    <row r="17" spans="1:8" s="223" customFormat="1" ht="12.75" customHeight="1" x14ac:dyDescent="0.25">
      <c r="A17" s="230"/>
      <c r="B17" s="177"/>
      <c r="C17" s="177"/>
      <c r="D17" s="177"/>
      <c r="E17" s="258"/>
      <c r="F17" s="252"/>
      <c r="G17" s="260"/>
      <c r="H17" s="260">
        <f t="shared" si="0"/>
        <v>0</v>
      </c>
    </row>
    <row r="18" spans="1:8" s="223" customFormat="1" ht="12.75" customHeight="1" x14ac:dyDescent="0.25">
      <c r="A18" s="230"/>
      <c r="B18" s="177"/>
      <c r="C18" s="177"/>
      <c r="D18" s="177"/>
      <c r="E18" s="258"/>
      <c r="F18" s="252"/>
      <c r="G18" s="260"/>
      <c r="H18" s="260">
        <f t="shared" si="0"/>
        <v>0</v>
      </c>
    </row>
    <row r="19" spans="1:8" s="223" customFormat="1" ht="12.75" customHeight="1" x14ac:dyDescent="0.25">
      <c r="A19" s="230"/>
      <c r="B19" s="177"/>
      <c r="C19" s="177"/>
      <c r="D19" s="177"/>
      <c r="E19" s="258"/>
      <c r="F19" s="252"/>
      <c r="G19" s="260"/>
      <c r="H19" s="260">
        <f t="shared" si="0"/>
        <v>0</v>
      </c>
    </row>
    <row r="20" spans="1:8" s="223" customFormat="1" ht="12.75" customHeight="1" x14ac:dyDescent="0.25">
      <c r="A20" s="230"/>
      <c r="B20" s="177"/>
      <c r="C20" s="177"/>
      <c r="D20" s="177"/>
      <c r="E20" s="258"/>
      <c r="F20" s="252"/>
      <c r="G20" s="260"/>
      <c r="H20" s="260">
        <f t="shared" si="0"/>
        <v>0</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0</v>
      </c>
      <c r="H22" s="265"/>
    </row>
    <row r="23" spans="1:8" s="223" customFormat="1" ht="12.7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F3E5E-161E-4259-A872-FD6D822FAFFA}">
  <sheetPr>
    <tabColor rgb="FF0070C0"/>
    <pageSetUpPr fitToPage="1"/>
  </sheetPr>
  <dimension ref="A1:I29"/>
  <sheetViews>
    <sheetView topLeftCell="A3" zoomScaleNormal="100" workbookViewId="0">
      <selection activeCell="J30" sqref="J30"/>
    </sheetView>
  </sheetViews>
  <sheetFormatPr defaultColWidth="11.42578125" defaultRowHeight="15" customHeight="1" x14ac:dyDescent="0.25"/>
  <cols>
    <col min="1" max="1" width="24.5703125" style="274" customWidth="1"/>
    <col min="2" max="2" width="9.42578125" style="274" customWidth="1"/>
    <col min="3" max="3" width="22.42578125" style="274" customWidth="1"/>
    <col min="4" max="4" width="14.42578125" style="274" customWidth="1"/>
    <col min="5" max="5" width="13.5703125" style="274" customWidth="1"/>
    <col min="6" max="6" width="12.42578125" style="274" customWidth="1"/>
    <col min="7" max="7" width="10.5703125" style="274" customWidth="1"/>
    <col min="8" max="8" width="14.42578125" style="274"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#9505.00'!B1</f>
        <v>DOC FDCF Sally Port Operator Replacement</v>
      </c>
      <c r="B1" s="30"/>
      <c r="C1" s="153"/>
      <c r="D1" s="153"/>
      <c r="E1" s="153"/>
      <c r="F1" s="156"/>
      <c r="G1" s="156"/>
      <c r="H1" s="179"/>
      <c r="I1" s="179"/>
    </row>
    <row r="2" spans="1:9" ht="15.75" x14ac:dyDescent="0.25">
      <c r="A2" s="31" t="str">
        <f>'RECAP #9505.00'!B2</f>
        <v>Project # 9505.00</v>
      </c>
      <c r="B2" s="150"/>
      <c r="C2" s="153"/>
      <c r="D2" s="153"/>
      <c r="E2" s="153"/>
      <c r="F2" s="156"/>
      <c r="G2" s="156"/>
      <c r="H2" s="179"/>
      <c r="I2" s="179"/>
    </row>
    <row r="3" spans="1:9" ht="15.75" x14ac:dyDescent="0.25">
      <c r="A3" s="154" t="str">
        <f>'RECAP #9505.00'!B3</f>
        <v>Program code 950500</v>
      </c>
      <c r="B3" s="150"/>
      <c r="C3" s="153"/>
      <c r="D3" s="155" t="str">
        <f>'RECAP #9505.00'!E3</f>
        <v>Major Program 4E01</v>
      </c>
      <c r="E3" s="153"/>
      <c r="F3" s="156"/>
      <c r="G3" s="156"/>
      <c r="H3" s="179"/>
      <c r="I3" s="179"/>
    </row>
    <row r="4" spans="1:9" ht="15.75" x14ac:dyDescent="0.25">
      <c r="A4" s="30" t="s">
        <v>350</v>
      </c>
      <c r="B4" s="31"/>
      <c r="C4" s="179"/>
      <c r="D4" s="180" t="s">
        <v>351</v>
      </c>
      <c r="E4" s="156"/>
      <c r="F4" s="156"/>
      <c r="G4" s="156"/>
      <c r="H4" s="179"/>
      <c r="I4" s="179"/>
    </row>
    <row r="5" spans="1:9" ht="15.75" x14ac:dyDescent="0.25">
      <c r="A5" s="181" t="s">
        <v>104</v>
      </c>
      <c r="B5" s="179"/>
      <c r="C5" s="182"/>
      <c r="D5" s="37" t="s">
        <v>409</v>
      </c>
      <c r="E5" s="42"/>
      <c r="F5" s="156"/>
      <c r="G5" s="156"/>
      <c r="H5" s="179"/>
      <c r="I5" s="179"/>
    </row>
    <row r="6" spans="1:9" ht="15.75" x14ac:dyDescent="0.25">
      <c r="A6" s="31" t="str">
        <f>'RECAP #9505.00'!B6</f>
        <v>Project Manager - Jennie E.</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437</v>
      </c>
      <c r="B9" s="276">
        <v>46042</v>
      </c>
      <c r="C9" s="277" t="s">
        <v>109</v>
      </c>
      <c r="D9" s="278">
        <v>17836.71</v>
      </c>
      <c r="E9" s="279">
        <f>D9</f>
        <v>17836.71</v>
      </c>
      <c r="F9" s="280"/>
      <c r="G9" s="280"/>
      <c r="H9" s="280">
        <f>E9</f>
        <v>17836.71</v>
      </c>
      <c r="I9" s="281"/>
    </row>
    <row r="10" spans="1:9" s="282" customFormat="1" ht="12.75" customHeight="1" x14ac:dyDescent="0.25">
      <c r="A10" s="275" t="s">
        <v>485</v>
      </c>
      <c r="B10" s="283">
        <v>46052</v>
      </c>
      <c r="C10" s="277" t="s">
        <v>486</v>
      </c>
      <c r="D10" s="279"/>
      <c r="E10" s="279">
        <f t="shared" ref="E10:E21" si="0">E9+D10</f>
        <v>17836.71</v>
      </c>
      <c r="F10" s="284">
        <v>5544.32</v>
      </c>
      <c r="G10" s="280">
        <f t="shared" ref="G10:G21" si="1">G9+F10</f>
        <v>5544.32</v>
      </c>
      <c r="H10" s="280">
        <f t="shared" ref="H10:H21" si="2">H9-F10+D10</f>
        <v>12292.39</v>
      </c>
      <c r="I10" s="281"/>
    </row>
    <row r="11" spans="1:9" s="282" customFormat="1" ht="12.75" customHeight="1" x14ac:dyDescent="0.25">
      <c r="A11" s="275" t="s">
        <v>544</v>
      </c>
      <c r="B11" s="276">
        <v>46059</v>
      </c>
      <c r="C11" s="277" t="s">
        <v>545</v>
      </c>
      <c r="D11" s="279"/>
      <c r="E11" s="279">
        <f t="shared" si="0"/>
        <v>17836.71</v>
      </c>
      <c r="F11" s="284">
        <v>1630.1</v>
      </c>
      <c r="G11" s="280">
        <f t="shared" si="1"/>
        <v>7174.42</v>
      </c>
      <c r="H11" s="280">
        <f t="shared" si="2"/>
        <v>10662.289999999999</v>
      </c>
      <c r="I11" s="281"/>
    </row>
    <row r="12" spans="1:9" s="282" customFormat="1" ht="12.75" customHeight="1" x14ac:dyDescent="0.25">
      <c r="A12" s="275" t="s">
        <v>661</v>
      </c>
      <c r="B12" s="276">
        <v>46099</v>
      </c>
      <c r="C12" s="277" t="s">
        <v>662</v>
      </c>
      <c r="D12" s="279"/>
      <c r="E12" s="279">
        <f t="shared" si="0"/>
        <v>17836.71</v>
      </c>
      <c r="F12" s="284">
        <v>4842.1099999999997</v>
      </c>
      <c r="G12" s="280">
        <f t="shared" si="1"/>
        <v>12016.529999999999</v>
      </c>
      <c r="H12" s="280">
        <f t="shared" si="2"/>
        <v>5820.1799999999994</v>
      </c>
      <c r="I12" s="281"/>
    </row>
    <row r="13" spans="1:9" s="282" customFormat="1" ht="12.75" customHeight="1" x14ac:dyDescent="0.25">
      <c r="A13" s="275" t="s">
        <v>813</v>
      </c>
      <c r="B13" s="276">
        <v>46134</v>
      </c>
      <c r="C13" s="277" t="s">
        <v>814</v>
      </c>
      <c r="D13" s="279"/>
      <c r="E13" s="279">
        <f t="shared" si="0"/>
        <v>17836.71</v>
      </c>
      <c r="F13" s="284">
        <v>5800.96</v>
      </c>
      <c r="G13" s="280">
        <f t="shared" si="1"/>
        <v>17817.489999999998</v>
      </c>
      <c r="H13" s="280">
        <f t="shared" si="2"/>
        <v>19.219999999999345</v>
      </c>
      <c r="I13" s="281"/>
    </row>
    <row r="14" spans="1:9" s="282" customFormat="1" ht="12.75" customHeight="1" x14ac:dyDescent="0.25">
      <c r="A14" s="275" t="s">
        <v>437</v>
      </c>
      <c r="B14" s="276">
        <v>46220</v>
      </c>
      <c r="C14" s="277" t="s">
        <v>1275</v>
      </c>
      <c r="D14" s="285">
        <v>-19.22</v>
      </c>
      <c r="E14" s="279">
        <f t="shared" si="0"/>
        <v>17817.489999999998</v>
      </c>
      <c r="F14" s="280"/>
      <c r="G14" s="280">
        <f t="shared" si="1"/>
        <v>17817.489999999998</v>
      </c>
      <c r="H14" s="280">
        <f t="shared" si="2"/>
        <v>-6.5369931689929217E-13</v>
      </c>
      <c r="I14" s="281"/>
    </row>
    <row r="15" spans="1:9" s="282" customFormat="1" ht="12.75" customHeight="1" x14ac:dyDescent="0.25">
      <c r="A15" s="275"/>
      <c r="B15" s="276"/>
      <c r="C15" s="277"/>
      <c r="D15" s="279"/>
      <c r="E15" s="279">
        <f t="shared" si="0"/>
        <v>17817.489999999998</v>
      </c>
      <c r="F15" s="284"/>
      <c r="G15" s="280">
        <f t="shared" si="1"/>
        <v>17817.489999999998</v>
      </c>
      <c r="H15" s="280">
        <f t="shared" si="2"/>
        <v>-6.5369931689929217E-13</v>
      </c>
      <c r="I15" s="281"/>
    </row>
    <row r="16" spans="1:9" s="282" customFormat="1" ht="12.75" customHeight="1" x14ac:dyDescent="0.25">
      <c r="A16" s="275"/>
      <c r="B16" s="276"/>
      <c r="C16" s="277"/>
      <c r="D16" s="279"/>
      <c r="E16" s="279">
        <f t="shared" si="0"/>
        <v>17817.489999999998</v>
      </c>
      <c r="F16" s="284"/>
      <c r="G16" s="280">
        <f t="shared" si="1"/>
        <v>17817.489999999998</v>
      </c>
      <c r="H16" s="280">
        <f t="shared" si="2"/>
        <v>-6.5369931689929217E-13</v>
      </c>
      <c r="I16" s="281"/>
    </row>
    <row r="17" spans="1:9" s="282" customFormat="1" ht="12.75" customHeight="1" x14ac:dyDescent="0.25">
      <c r="A17" s="275"/>
      <c r="B17" s="276"/>
      <c r="C17" s="277"/>
      <c r="D17" s="279"/>
      <c r="E17" s="279">
        <f t="shared" si="0"/>
        <v>17817.489999999998</v>
      </c>
      <c r="F17" s="284"/>
      <c r="G17" s="280">
        <f t="shared" si="1"/>
        <v>17817.489999999998</v>
      </c>
      <c r="H17" s="280">
        <f t="shared" si="2"/>
        <v>-6.5369931689929217E-13</v>
      </c>
      <c r="I17" s="281"/>
    </row>
    <row r="18" spans="1:9" s="282" customFormat="1" ht="12.75" customHeight="1" x14ac:dyDescent="0.25">
      <c r="A18" s="275"/>
      <c r="B18" s="276"/>
      <c r="C18" s="277"/>
      <c r="D18" s="279"/>
      <c r="E18" s="279">
        <f t="shared" si="0"/>
        <v>17817.489999999998</v>
      </c>
      <c r="F18" s="284"/>
      <c r="G18" s="280">
        <f t="shared" si="1"/>
        <v>17817.489999999998</v>
      </c>
      <c r="H18" s="280">
        <f t="shared" si="2"/>
        <v>-6.5369931689929217E-13</v>
      </c>
      <c r="I18" s="281"/>
    </row>
    <row r="19" spans="1:9" s="282" customFormat="1" ht="12.75" customHeight="1" x14ac:dyDescent="0.25">
      <c r="A19" s="275"/>
      <c r="B19" s="276"/>
      <c r="C19" s="277"/>
      <c r="D19" s="279"/>
      <c r="E19" s="279">
        <f t="shared" si="0"/>
        <v>17817.489999999998</v>
      </c>
      <c r="F19" s="280"/>
      <c r="G19" s="280">
        <f t="shared" si="1"/>
        <v>17817.489999999998</v>
      </c>
      <c r="H19" s="280">
        <f t="shared" si="2"/>
        <v>-6.5369931689929217E-13</v>
      </c>
      <c r="I19" s="281"/>
    </row>
    <row r="20" spans="1:9" s="282" customFormat="1" ht="12.75" customHeight="1" x14ac:dyDescent="0.25">
      <c r="A20" s="275"/>
      <c r="B20" s="276"/>
      <c r="C20" s="277"/>
      <c r="D20" s="279"/>
      <c r="E20" s="279">
        <f t="shared" si="0"/>
        <v>17817.489999999998</v>
      </c>
      <c r="F20" s="280"/>
      <c r="G20" s="280">
        <f t="shared" si="1"/>
        <v>17817.489999999998</v>
      </c>
      <c r="H20" s="280">
        <f t="shared" si="2"/>
        <v>-6.5369931689929217E-13</v>
      </c>
      <c r="I20" s="281"/>
    </row>
    <row r="21" spans="1:9" s="282" customFormat="1" ht="12.75" customHeight="1" x14ac:dyDescent="0.25">
      <c r="A21" s="275"/>
      <c r="B21" s="276"/>
      <c r="C21" s="286"/>
      <c r="D21" s="279"/>
      <c r="E21" s="279">
        <f t="shared" si="0"/>
        <v>17817.489999999998</v>
      </c>
      <c r="F21" s="280"/>
      <c r="G21" s="280">
        <f t="shared" si="1"/>
        <v>17817.489999999998</v>
      </c>
      <c r="H21" s="280">
        <f t="shared" si="2"/>
        <v>-6.5369931689929217E-13</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17817.489999999998</v>
      </c>
      <c r="E23" s="290"/>
      <c r="F23" s="290">
        <f>SUM(F9:F22)</f>
        <v>17817.489999999998</v>
      </c>
      <c r="G23" s="290"/>
      <c r="H23" s="290">
        <f>D23-F23</f>
        <v>0</v>
      </c>
      <c r="I23" s="281"/>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80">
        <f>17516.71-11.22</f>
        <v>17505.489999999998</v>
      </c>
      <c r="E26" s="280"/>
      <c r="F26" s="280">
        <f>5466.32+1552.1+4764.11+5722.96</f>
        <v>17505.489999999998</v>
      </c>
      <c r="G26" s="280"/>
      <c r="H26" s="280">
        <f>D26-F26</f>
        <v>0</v>
      </c>
      <c r="I26" s="281"/>
    </row>
    <row r="27" spans="1:9" s="282" customFormat="1" ht="12.75" customHeight="1" x14ac:dyDescent="0.25">
      <c r="A27" s="275"/>
      <c r="B27" s="277"/>
      <c r="C27" s="287" t="s">
        <v>111</v>
      </c>
      <c r="D27" s="280">
        <f>320-8</f>
        <v>312</v>
      </c>
      <c r="E27" s="280"/>
      <c r="F27" s="280">
        <f>78+78+78+78</f>
        <v>312</v>
      </c>
      <c r="G27" s="280"/>
      <c r="H27" s="280">
        <f>D27-F27</f>
        <v>0</v>
      </c>
      <c r="I27" s="281"/>
    </row>
    <row r="28" spans="1:9" s="282" customFormat="1" ht="12.75" customHeight="1" thickBot="1" x14ac:dyDescent="0.3">
      <c r="A28" s="275"/>
      <c r="B28" s="277"/>
      <c r="C28" s="293" t="s">
        <v>67</v>
      </c>
      <c r="D28" s="290">
        <f>SUM(D26:D27)</f>
        <v>17817.489999999998</v>
      </c>
      <c r="E28" s="294"/>
      <c r="F28" s="290">
        <f>SUM(F26:F27)</f>
        <v>17817.489999999998</v>
      </c>
      <c r="G28" s="294"/>
      <c r="H28" s="290">
        <f>SUM(H26:H27)</f>
        <v>0</v>
      </c>
      <c r="I28" s="281"/>
    </row>
    <row r="29" spans="1:9" s="282" customFormat="1" ht="12.75" customHeight="1" thickTop="1" x14ac:dyDescent="0.25"/>
  </sheetData>
  <conditionalFormatting sqref="I8:I23">
    <cfRule type="cellIs" dxfId="27" priority="1" operator="greaterThan">
      <formula>$H$23</formula>
    </cfRule>
  </conditionalFormatting>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3F685-9B50-4FEB-9B2A-38542B93510D}">
  <sheetPr>
    <pageSetUpPr fitToPage="1"/>
  </sheetPr>
  <dimension ref="A1:I29"/>
  <sheetViews>
    <sheetView zoomScaleNormal="100" workbookViewId="0">
      <selection activeCell="A27" sqref="A27"/>
    </sheetView>
  </sheetViews>
  <sheetFormatPr defaultColWidth="11.42578125" defaultRowHeight="15" customHeight="1" x14ac:dyDescent="0.25"/>
  <cols>
    <col min="1" max="1" width="24.5703125" customWidth="1"/>
    <col min="2" max="2" width="9.42578125" customWidth="1"/>
    <col min="3" max="3" width="13.5703125" bestFit="1" customWidth="1"/>
    <col min="4" max="4" width="14.42578125" customWidth="1"/>
    <col min="5" max="5" width="13.5703125" customWidth="1"/>
    <col min="6" max="6" width="12.42578125" customWidth="1"/>
    <col min="7" max="7" width="10.5703125" customWidth="1"/>
    <col min="8" max="8" width="14.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#9505.00'!B1</f>
        <v>DOC FDCF Sally Port Operator Replacement</v>
      </c>
      <c r="B1" s="3"/>
      <c r="C1" s="4"/>
      <c r="D1" s="4"/>
      <c r="E1" s="4"/>
      <c r="F1" s="28"/>
      <c r="G1" s="28"/>
      <c r="H1" s="29"/>
      <c r="I1" s="29"/>
    </row>
    <row r="2" spans="1:9" ht="15.75" x14ac:dyDescent="0.25">
      <c r="A2" s="6" t="str">
        <f>'RECAP #9505.00'!B2</f>
        <v>Project # 9505.00</v>
      </c>
      <c r="B2" s="5"/>
      <c r="C2" s="4"/>
      <c r="D2" s="4"/>
      <c r="E2" s="4"/>
      <c r="F2" s="28"/>
      <c r="G2" s="28"/>
      <c r="H2" s="29"/>
      <c r="I2" s="29"/>
    </row>
    <row r="3" spans="1:9" ht="15.75" x14ac:dyDescent="0.25">
      <c r="A3" s="7" t="str">
        <f>'RECAP #9505.00'!B3</f>
        <v>Program code 950500</v>
      </c>
      <c r="B3" s="5"/>
      <c r="C3" s="4"/>
      <c r="D3" s="8" t="str">
        <f>'RECAP #9505.00'!E3</f>
        <v>Major Program 4E01</v>
      </c>
      <c r="E3" s="4"/>
      <c r="F3" s="28"/>
      <c r="G3" s="28"/>
      <c r="H3" s="29"/>
      <c r="I3" s="29"/>
    </row>
    <row r="4" spans="1:9" ht="15.75" x14ac:dyDescent="0.25">
      <c r="A4" s="30" t="s">
        <v>796</v>
      </c>
      <c r="B4" s="31"/>
      <c r="C4" s="32"/>
      <c r="D4" s="33" t="s">
        <v>797</v>
      </c>
      <c r="E4" s="28"/>
      <c r="F4" s="28"/>
      <c r="G4" s="28"/>
      <c r="H4" s="29"/>
      <c r="I4" s="29"/>
    </row>
    <row r="5" spans="1:9" ht="15.75" x14ac:dyDescent="0.25">
      <c r="A5" s="34" t="s">
        <v>104</v>
      </c>
      <c r="B5" s="35"/>
      <c r="C5" s="36"/>
      <c r="D5" s="37" t="s">
        <v>409</v>
      </c>
      <c r="E5" s="38"/>
      <c r="F5" s="39"/>
      <c r="G5" s="39"/>
      <c r="H5" s="35"/>
      <c r="I5" s="29"/>
    </row>
    <row r="6" spans="1:9" ht="15.75" x14ac:dyDescent="0.25">
      <c r="A6" s="11" t="str">
        <f>'RECAP #9505.00'!B6</f>
        <v>Project Manager - Jennie E.</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339" t="s">
        <v>798</v>
      </c>
      <c r="B9" s="340">
        <v>46128</v>
      </c>
      <c r="C9" s="341" t="s">
        <v>109</v>
      </c>
      <c r="D9" s="342">
        <v>380950</v>
      </c>
      <c r="E9" s="343">
        <f>D9</f>
        <v>380950</v>
      </c>
      <c r="F9" s="344"/>
      <c r="G9" s="344"/>
      <c r="H9" s="344">
        <f>E9</f>
        <v>380950</v>
      </c>
      <c r="I9" s="333" t="s">
        <v>1285</v>
      </c>
    </row>
    <row r="10" spans="1:9" s="223" customFormat="1" ht="12.75" customHeight="1" x14ac:dyDescent="0.25">
      <c r="A10" s="230" t="s">
        <v>1319</v>
      </c>
      <c r="B10" s="177">
        <v>46225</v>
      </c>
      <c r="C10" s="231" t="s">
        <v>1286</v>
      </c>
      <c r="D10" s="232">
        <v>0</v>
      </c>
      <c r="E10" s="233">
        <f t="shared" ref="E10:E21" si="0">E9+D10</f>
        <v>380950</v>
      </c>
      <c r="F10" s="237"/>
      <c r="G10" s="234">
        <f t="shared" ref="G10:G21" si="1">G9+F10</f>
        <v>0</v>
      </c>
      <c r="H10" s="234">
        <f t="shared" ref="H10:H21" si="2">H9-F10+D10</f>
        <v>380950</v>
      </c>
      <c r="I10" s="235"/>
    </row>
    <row r="11" spans="1:9" s="223" customFormat="1" ht="12.75" customHeight="1" x14ac:dyDescent="0.25">
      <c r="A11" s="230"/>
      <c r="B11" s="177"/>
      <c r="C11" s="231"/>
      <c r="D11" s="233"/>
      <c r="E11" s="233">
        <f t="shared" si="0"/>
        <v>380950</v>
      </c>
      <c r="F11" s="237"/>
      <c r="G11" s="234">
        <f t="shared" si="1"/>
        <v>0</v>
      </c>
      <c r="H11" s="234">
        <f t="shared" si="2"/>
        <v>380950</v>
      </c>
      <c r="I11" s="235"/>
    </row>
    <row r="12" spans="1:9" s="223" customFormat="1" ht="12.75" customHeight="1" x14ac:dyDescent="0.25">
      <c r="A12" s="230"/>
      <c r="B12" s="177"/>
      <c r="C12" s="231"/>
      <c r="D12" s="233"/>
      <c r="E12" s="233">
        <f t="shared" si="0"/>
        <v>380950</v>
      </c>
      <c r="F12" s="237"/>
      <c r="G12" s="234">
        <f t="shared" si="1"/>
        <v>0</v>
      </c>
      <c r="H12" s="234">
        <f t="shared" si="2"/>
        <v>380950</v>
      </c>
      <c r="I12" s="235"/>
    </row>
    <row r="13" spans="1:9" s="223" customFormat="1" ht="12.75" customHeight="1" x14ac:dyDescent="0.25">
      <c r="A13" s="230"/>
      <c r="B13" s="177"/>
      <c r="C13" s="231"/>
      <c r="D13" s="233"/>
      <c r="E13" s="233">
        <f t="shared" si="0"/>
        <v>380950</v>
      </c>
      <c r="F13" s="238"/>
      <c r="G13" s="234">
        <f t="shared" si="1"/>
        <v>0</v>
      </c>
      <c r="H13" s="234">
        <f t="shared" si="2"/>
        <v>380950</v>
      </c>
      <c r="I13" s="235"/>
    </row>
    <row r="14" spans="1:9" s="223" customFormat="1" ht="12.75" customHeight="1" x14ac:dyDescent="0.25">
      <c r="A14" s="230"/>
      <c r="B14" s="177"/>
      <c r="C14" s="231"/>
      <c r="D14" s="233"/>
      <c r="E14" s="233">
        <f t="shared" si="0"/>
        <v>380950</v>
      </c>
      <c r="F14" s="234"/>
      <c r="G14" s="234">
        <f t="shared" si="1"/>
        <v>0</v>
      </c>
      <c r="H14" s="234">
        <f t="shared" si="2"/>
        <v>380950</v>
      </c>
      <c r="I14" s="235"/>
    </row>
    <row r="15" spans="1:9" s="223" customFormat="1" ht="12.75" customHeight="1" x14ac:dyDescent="0.25">
      <c r="A15" s="230"/>
      <c r="B15" s="177"/>
      <c r="C15" s="231"/>
      <c r="D15" s="233"/>
      <c r="E15" s="233">
        <f t="shared" si="0"/>
        <v>380950</v>
      </c>
      <c r="F15" s="238"/>
      <c r="G15" s="234">
        <f t="shared" si="1"/>
        <v>0</v>
      </c>
      <c r="H15" s="234">
        <f t="shared" si="2"/>
        <v>380950</v>
      </c>
      <c r="I15" s="235"/>
    </row>
    <row r="16" spans="1:9" s="223" customFormat="1" ht="12.75" customHeight="1" x14ac:dyDescent="0.25">
      <c r="A16" s="230"/>
      <c r="B16" s="177"/>
      <c r="C16" s="231"/>
      <c r="D16" s="233"/>
      <c r="E16" s="233">
        <f t="shared" si="0"/>
        <v>380950</v>
      </c>
      <c r="F16" s="238"/>
      <c r="G16" s="234">
        <f t="shared" si="1"/>
        <v>0</v>
      </c>
      <c r="H16" s="234">
        <f t="shared" si="2"/>
        <v>380950</v>
      </c>
      <c r="I16" s="235"/>
    </row>
    <row r="17" spans="1:9" s="223" customFormat="1" ht="12.75" customHeight="1" x14ac:dyDescent="0.25">
      <c r="A17" s="230"/>
      <c r="B17" s="177"/>
      <c r="C17" s="231"/>
      <c r="D17" s="233"/>
      <c r="E17" s="233">
        <f t="shared" si="0"/>
        <v>380950</v>
      </c>
      <c r="F17" s="238"/>
      <c r="G17" s="234">
        <f t="shared" si="1"/>
        <v>0</v>
      </c>
      <c r="H17" s="234">
        <f t="shared" si="2"/>
        <v>380950</v>
      </c>
      <c r="I17" s="235"/>
    </row>
    <row r="18" spans="1:9" s="223" customFormat="1" ht="12.75" customHeight="1" x14ac:dyDescent="0.25">
      <c r="A18" s="230"/>
      <c r="B18" s="177"/>
      <c r="C18" s="231"/>
      <c r="D18" s="233"/>
      <c r="E18" s="233">
        <f t="shared" si="0"/>
        <v>380950</v>
      </c>
      <c r="F18" s="238"/>
      <c r="G18" s="234">
        <f t="shared" si="1"/>
        <v>0</v>
      </c>
      <c r="H18" s="234">
        <f t="shared" si="2"/>
        <v>380950</v>
      </c>
      <c r="I18" s="235"/>
    </row>
    <row r="19" spans="1:9" s="223" customFormat="1" ht="12.75" customHeight="1" x14ac:dyDescent="0.25">
      <c r="A19" s="230"/>
      <c r="B19" s="177"/>
      <c r="C19" s="231"/>
      <c r="D19" s="233"/>
      <c r="E19" s="233">
        <f t="shared" si="0"/>
        <v>380950</v>
      </c>
      <c r="F19" s="234"/>
      <c r="G19" s="234">
        <f t="shared" si="1"/>
        <v>0</v>
      </c>
      <c r="H19" s="234">
        <f t="shared" si="2"/>
        <v>380950</v>
      </c>
      <c r="I19" s="235"/>
    </row>
    <row r="20" spans="1:9" s="223" customFormat="1" ht="12.75" customHeight="1" x14ac:dyDescent="0.25">
      <c r="A20" s="230"/>
      <c r="B20" s="177"/>
      <c r="C20" s="231"/>
      <c r="D20" s="233"/>
      <c r="E20" s="233">
        <f t="shared" si="0"/>
        <v>380950</v>
      </c>
      <c r="F20" s="234"/>
      <c r="G20" s="234">
        <f t="shared" si="1"/>
        <v>0</v>
      </c>
      <c r="H20" s="234">
        <f t="shared" si="2"/>
        <v>380950</v>
      </c>
      <c r="I20" s="235"/>
    </row>
    <row r="21" spans="1:9" s="223" customFormat="1" ht="12.75" customHeight="1" x14ac:dyDescent="0.25">
      <c r="A21" s="230"/>
      <c r="B21" s="177"/>
      <c r="C21" s="239"/>
      <c r="D21" s="233"/>
      <c r="E21" s="233">
        <f t="shared" si="0"/>
        <v>380950</v>
      </c>
      <c r="F21" s="234"/>
      <c r="G21" s="234">
        <f t="shared" si="1"/>
        <v>0</v>
      </c>
      <c r="H21" s="234">
        <f t="shared" si="2"/>
        <v>380950</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380950</v>
      </c>
      <c r="E23" s="245"/>
      <c r="F23" s="245">
        <f>SUM(F9:F22)</f>
        <v>0</v>
      </c>
      <c r="G23" s="245"/>
      <c r="H23" s="245">
        <f>D23-F23</f>
        <v>380950</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c r="D26" s="234"/>
      <c r="E26" s="234"/>
      <c r="F26" s="234"/>
      <c r="G26" s="234"/>
      <c r="H26" s="234"/>
      <c r="I26" s="235"/>
    </row>
    <row r="27" spans="1:9" s="223" customFormat="1" ht="12.75" customHeight="1" x14ac:dyDescent="0.25">
      <c r="A27" s="230"/>
      <c r="B27" s="231"/>
      <c r="C27" s="240"/>
      <c r="D27" s="234"/>
      <c r="E27" s="234"/>
      <c r="F27" s="234"/>
      <c r="G27" s="234"/>
      <c r="H27" s="234"/>
      <c r="I27" s="235"/>
    </row>
    <row r="28" spans="1:9" s="223" customFormat="1" ht="12.75" customHeight="1" x14ac:dyDescent="0.25">
      <c r="A28" s="230"/>
      <c r="B28" s="231"/>
      <c r="C28" s="255"/>
      <c r="D28" s="271"/>
      <c r="E28" s="271"/>
      <c r="F28" s="271"/>
      <c r="G28" s="271"/>
      <c r="H28" s="271"/>
      <c r="I28" s="235"/>
    </row>
    <row r="29" spans="1:9" s="223" customFormat="1" ht="12.75" customHeight="1" x14ac:dyDescent="0.25"/>
  </sheetData>
  <conditionalFormatting sqref="I8 I10:I23">
    <cfRule type="cellIs" dxfId="26" priority="1" operator="greaterThan">
      <formula>$H$23</formula>
    </cfRule>
  </conditionalFormatting>
  <pageMargins left="0.25" right="0.25" top="0.95" bottom="0.75" header="0.09" footer="0.3"/>
  <pageSetup scale="8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0918E-21A4-4BEB-B070-4C7EF91B0794}">
  <sheetPr>
    <pageSetUpPr fitToPage="1"/>
  </sheetPr>
  <dimension ref="A1:I31"/>
  <sheetViews>
    <sheetView zoomScaleNormal="100" workbookViewId="0">
      <selection activeCell="F14" sqref="F14"/>
    </sheetView>
  </sheetViews>
  <sheetFormatPr defaultColWidth="11.42578125" defaultRowHeight="15" customHeight="1" x14ac:dyDescent="0.25"/>
  <cols>
    <col min="1" max="1" width="24.5703125" customWidth="1"/>
    <col min="2" max="2" width="9.42578125" customWidth="1"/>
    <col min="3" max="3" width="20.85546875" customWidth="1"/>
    <col min="4" max="4" width="14.42578125" customWidth="1"/>
    <col min="5" max="5" width="13.5703125" customWidth="1"/>
    <col min="6" max="6" width="12.42578125" customWidth="1"/>
    <col min="7" max="7" width="10.5703125" customWidth="1"/>
    <col min="8" max="8" width="14.425781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#9505.00'!B1</f>
        <v>DOC FDCF Sally Port Operator Replacement</v>
      </c>
      <c r="B1" s="3"/>
      <c r="C1" s="4"/>
      <c r="D1" s="4"/>
      <c r="E1" s="4"/>
      <c r="F1" s="28"/>
      <c r="G1" s="28"/>
      <c r="H1" s="29"/>
      <c r="I1" s="29"/>
    </row>
    <row r="2" spans="1:9" ht="15.75" x14ac:dyDescent="0.25">
      <c r="A2" s="6" t="str">
        <f>'RECAP #9505.00'!B2</f>
        <v>Project # 9505.00</v>
      </c>
      <c r="B2" s="5"/>
      <c r="C2" s="4"/>
      <c r="D2" s="4"/>
      <c r="E2" s="4"/>
      <c r="F2" s="28"/>
      <c r="G2" s="28"/>
      <c r="H2" s="29"/>
      <c r="I2" s="29"/>
    </row>
    <row r="3" spans="1:9" ht="15.75" x14ac:dyDescent="0.25">
      <c r="A3" s="7" t="str">
        <f>'RECAP #9505.00'!B3</f>
        <v>Program code 950500</v>
      </c>
      <c r="B3" s="5"/>
      <c r="C3" s="4"/>
      <c r="D3" s="8" t="str">
        <f>'RECAP #9505.00'!E3</f>
        <v>Major Program 4E01</v>
      </c>
      <c r="E3" s="4"/>
      <c r="F3" s="28"/>
      <c r="G3" s="28"/>
      <c r="H3" s="29"/>
      <c r="I3" s="29"/>
    </row>
    <row r="4" spans="1:9" ht="15.75" x14ac:dyDescent="0.25">
      <c r="A4" s="30" t="s">
        <v>849</v>
      </c>
      <c r="B4" s="31"/>
      <c r="C4" s="32"/>
      <c r="D4" s="33" t="s">
        <v>351</v>
      </c>
      <c r="E4" s="28"/>
      <c r="F4" s="28"/>
      <c r="G4" s="28"/>
      <c r="H4" s="29"/>
      <c r="I4" s="29"/>
    </row>
    <row r="5" spans="1:9" ht="15.75" x14ac:dyDescent="0.25">
      <c r="A5" s="34" t="s">
        <v>104</v>
      </c>
      <c r="B5" s="35"/>
      <c r="C5" s="36"/>
      <c r="D5" s="37" t="s">
        <v>851</v>
      </c>
      <c r="E5" s="38"/>
      <c r="F5" s="39"/>
      <c r="G5" s="39"/>
      <c r="H5" s="35"/>
      <c r="I5" s="29"/>
    </row>
    <row r="6" spans="1:9" ht="15.75" x14ac:dyDescent="0.25">
      <c r="A6" s="11" t="str">
        <f>'RECAP #9505.00'!B6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852</v>
      </c>
      <c r="B9" s="177">
        <v>46153</v>
      </c>
      <c r="C9" s="231" t="s">
        <v>109</v>
      </c>
      <c r="D9" s="232">
        <v>32450.52</v>
      </c>
      <c r="E9" s="233">
        <f>D9</f>
        <v>32450.52</v>
      </c>
      <c r="F9" s="234"/>
      <c r="G9" s="234"/>
      <c r="H9" s="234">
        <f>E9</f>
        <v>32450.52</v>
      </c>
      <c r="I9" s="235"/>
    </row>
    <row r="10" spans="1:9" s="223" customFormat="1" ht="12.75" customHeight="1" x14ac:dyDescent="0.25">
      <c r="A10" s="230" t="s">
        <v>1046</v>
      </c>
      <c r="B10" s="236">
        <v>46189</v>
      </c>
      <c r="C10" s="231" t="s">
        <v>1048</v>
      </c>
      <c r="D10" s="233"/>
      <c r="E10" s="233">
        <f t="shared" ref="E10:E21" si="0">E9+D10</f>
        <v>32450.52</v>
      </c>
      <c r="F10" s="237">
        <v>3861.47</v>
      </c>
      <c r="G10" s="234">
        <f t="shared" ref="G10:G21" si="1">G9+F10</f>
        <v>3861.47</v>
      </c>
      <c r="H10" s="234">
        <f t="shared" ref="H10:H21" si="2">H9-F10+D10</f>
        <v>28589.05</v>
      </c>
      <c r="I10" s="235"/>
    </row>
    <row r="11" spans="1:9" s="223" customFormat="1" ht="12.75" customHeight="1" x14ac:dyDescent="0.25">
      <c r="A11" s="328" t="s">
        <v>1160</v>
      </c>
      <c r="B11" s="329">
        <v>46209</v>
      </c>
      <c r="C11" s="330" t="s">
        <v>1161</v>
      </c>
      <c r="D11" s="331"/>
      <c r="E11" s="331">
        <f t="shared" si="0"/>
        <v>32450.52</v>
      </c>
      <c r="F11" s="338">
        <v>907.98</v>
      </c>
      <c r="G11" s="332">
        <f t="shared" si="1"/>
        <v>4769.45</v>
      </c>
      <c r="H11" s="332">
        <f t="shared" si="2"/>
        <v>27681.07</v>
      </c>
      <c r="I11" s="333" t="s">
        <v>1285</v>
      </c>
    </row>
    <row r="12" spans="1:9" s="223" customFormat="1" ht="12.75" customHeight="1" x14ac:dyDescent="0.25">
      <c r="A12" s="230" t="s">
        <v>1318</v>
      </c>
      <c r="B12" s="177">
        <v>46225</v>
      </c>
      <c r="C12" s="231" t="s">
        <v>1286</v>
      </c>
      <c r="D12" s="232">
        <v>0</v>
      </c>
      <c r="E12" s="233">
        <f t="shared" si="0"/>
        <v>32450.52</v>
      </c>
      <c r="F12" s="237"/>
      <c r="G12" s="234">
        <f t="shared" si="1"/>
        <v>4769.45</v>
      </c>
      <c r="H12" s="234">
        <f t="shared" si="2"/>
        <v>27681.07</v>
      </c>
      <c r="I12" s="235"/>
    </row>
    <row r="13" spans="1:9" s="223" customFormat="1" ht="12.75" customHeight="1" x14ac:dyDescent="0.25">
      <c r="A13" s="230" t="s">
        <v>1484</v>
      </c>
      <c r="B13" s="177">
        <v>46258</v>
      </c>
      <c r="C13" s="231" t="s">
        <v>1485</v>
      </c>
      <c r="D13" s="233"/>
      <c r="E13" s="233">
        <f t="shared" si="0"/>
        <v>32450.52</v>
      </c>
      <c r="F13" s="237">
        <v>1091.97</v>
      </c>
      <c r="G13" s="234">
        <f t="shared" si="1"/>
        <v>5861.42</v>
      </c>
      <c r="H13" s="234">
        <f t="shared" si="2"/>
        <v>26589.1</v>
      </c>
      <c r="I13" s="235"/>
    </row>
    <row r="14" spans="1:9" s="223" customFormat="1" ht="12.75" customHeight="1" x14ac:dyDescent="0.25">
      <c r="A14" s="230" t="s">
        <v>1516</v>
      </c>
      <c r="B14" s="177">
        <v>46273</v>
      </c>
      <c r="C14" s="231" t="s">
        <v>1517</v>
      </c>
      <c r="D14" s="233"/>
      <c r="E14" s="233">
        <f t="shared" si="0"/>
        <v>32450.52</v>
      </c>
      <c r="F14" s="237">
        <v>2450.0700000000002</v>
      </c>
      <c r="G14" s="234">
        <f t="shared" si="1"/>
        <v>8311.49</v>
      </c>
      <c r="H14" s="234">
        <f t="shared" si="2"/>
        <v>24139.03</v>
      </c>
      <c r="I14" s="235"/>
    </row>
    <row r="15" spans="1:9" s="223" customFormat="1" ht="12.75" customHeight="1" x14ac:dyDescent="0.25">
      <c r="A15" s="230"/>
      <c r="B15" s="177"/>
      <c r="C15" s="231"/>
      <c r="D15" s="233"/>
      <c r="E15" s="233">
        <f t="shared" si="0"/>
        <v>32450.52</v>
      </c>
      <c r="F15" s="238"/>
      <c r="G15" s="234">
        <f t="shared" si="1"/>
        <v>8311.49</v>
      </c>
      <c r="H15" s="234">
        <f t="shared" si="2"/>
        <v>24139.03</v>
      </c>
      <c r="I15" s="235"/>
    </row>
    <row r="16" spans="1:9" s="223" customFormat="1" ht="12.75" customHeight="1" x14ac:dyDescent="0.25">
      <c r="A16" s="230"/>
      <c r="B16" s="177"/>
      <c r="C16" s="231"/>
      <c r="D16" s="233"/>
      <c r="E16" s="233">
        <f t="shared" si="0"/>
        <v>32450.52</v>
      </c>
      <c r="F16" s="238"/>
      <c r="G16" s="234">
        <f t="shared" si="1"/>
        <v>8311.49</v>
      </c>
      <c r="H16" s="234">
        <f t="shared" si="2"/>
        <v>24139.03</v>
      </c>
      <c r="I16" s="235"/>
    </row>
    <row r="17" spans="1:9" s="223" customFormat="1" ht="12.75" customHeight="1" x14ac:dyDescent="0.25">
      <c r="A17" s="230"/>
      <c r="B17" s="177"/>
      <c r="C17" s="231"/>
      <c r="D17" s="233"/>
      <c r="E17" s="233">
        <f t="shared" si="0"/>
        <v>32450.52</v>
      </c>
      <c r="F17" s="238"/>
      <c r="G17" s="234">
        <f t="shared" si="1"/>
        <v>8311.49</v>
      </c>
      <c r="H17" s="234">
        <f t="shared" si="2"/>
        <v>24139.03</v>
      </c>
      <c r="I17" s="235"/>
    </row>
    <row r="18" spans="1:9" s="223" customFormat="1" ht="12.75" customHeight="1" x14ac:dyDescent="0.25">
      <c r="A18" s="230"/>
      <c r="B18" s="177"/>
      <c r="C18" s="231"/>
      <c r="D18" s="233"/>
      <c r="E18" s="233">
        <f t="shared" si="0"/>
        <v>32450.52</v>
      </c>
      <c r="F18" s="238"/>
      <c r="G18" s="234">
        <f t="shared" si="1"/>
        <v>8311.49</v>
      </c>
      <c r="H18" s="234">
        <f t="shared" si="2"/>
        <v>24139.03</v>
      </c>
      <c r="I18" s="235"/>
    </row>
    <row r="19" spans="1:9" s="223" customFormat="1" ht="12.75" customHeight="1" x14ac:dyDescent="0.25">
      <c r="A19" s="230"/>
      <c r="B19" s="177"/>
      <c r="C19" s="231"/>
      <c r="D19" s="233"/>
      <c r="E19" s="233">
        <f t="shared" si="0"/>
        <v>32450.52</v>
      </c>
      <c r="F19" s="234"/>
      <c r="G19" s="234">
        <f t="shared" si="1"/>
        <v>8311.49</v>
      </c>
      <c r="H19" s="234">
        <f t="shared" si="2"/>
        <v>24139.03</v>
      </c>
      <c r="I19" s="235"/>
    </row>
    <row r="20" spans="1:9" s="223" customFormat="1" ht="12.75" customHeight="1" x14ac:dyDescent="0.25">
      <c r="A20" s="230"/>
      <c r="B20" s="177"/>
      <c r="C20" s="231"/>
      <c r="D20" s="233"/>
      <c r="E20" s="233">
        <f t="shared" si="0"/>
        <v>32450.52</v>
      </c>
      <c r="F20" s="234"/>
      <c r="G20" s="234">
        <f t="shared" si="1"/>
        <v>8311.49</v>
      </c>
      <c r="H20" s="234">
        <f t="shared" si="2"/>
        <v>24139.03</v>
      </c>
      <c r="I20" s="235"/>
    </row>
    <row r="21" spans="1:9" s="223" customFormat="1" ht="12.75" customHeight="1" x14ac:dyDescent="0.25">
      <c r="A21" s="230"/>
      <c r="B21" s="177"/>
      <c r="C21" s="239"/>
      <c r="D21" s="233"/>
      <c r="E21" s="233">
        <f t="shared" si="0"/>
        <v>32450.52</v>
      </c>
      <c r="F21" s="234"/>
      <c r="G21" s="234">
        <f t="shared" si="1"/>
        <v>8311.49</v>
      </c>
      <c r="H21" s="234">
        <f t="shared" si="2"/>
        <v>24139.03</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32450.52</v>
      </c>
      <c r="E23" s="245"/>
      <c r="F23" s="245">
        <f>SUM(F9:F22)</f>
        <v>8311.49</v>
      </c>
      <c r="G23" s="245"/>
      <c r="H23" s="245">
        <f>D23-F23</f>
        <v>24139.03</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t="s">
        <v>110</v>
      </c>
      <c r="D26" s="234">
        <v>31010.52</v>
      </c>
      <c r="E26" s="234"/>
      <c r="F26" s="234">
        <f>3855.47+907.98+1091.97+2450.07</f>
        <v>8305.49</v>
      </c>
      <c r="G26" s="234"/>
      <c r="H26" s="234">
        <f>D26-F26</f>
        <v>22705.03</v>
      </c>
      <c r="I26" s="235"/>
    </row>
    <row r="27" spans="1:9" s="223" customFormat="1" ht="12.75" customHeight="1" x14ac:dyDescent="0.25">
      <c r="A27" s="230"/>
      <c r="B27" s="231"/>
      <c r="C27" s="240" t="s">
        <v>111</v>
      </c>
      <c r="D27" s="234">
        <v>1440</v>
      </c>
      <c r="E27" s="234"/>
      <c r="F27" s="234">
        <v>6</v>
      </c>
      <c r="G27" s="234"/>
      <c r="H27" s="234">
        <f>D27-F27</f>
        <v>1434</v>
      </c>
      <c r="I27" s="235"/>
    </row>
    <row r="28" spans="1:9" s="223" customFormat="1" ht="12.75" customHeight="1" thickBot="1" x14ac:dyDescent="0.3">
      <c r="A28" s="230"/>
      <c r="B28" s="231"/>
      <c r="C28" s="255" t="s">
        <v>67</v>
      </c>
      <c r="D28" s="256">
        <f>SUM(D26:D27)</f>
        <v>32450.52</v>
      </c>
      <c r="E28" s="257"/>
      <c r="F28" s="256">
        <f>SUM(F26:F27)</f>
        <v>8311.49</v>
      </c>
      <c r="G28" s="257"/>
      <c r="H28" s="256">
        <f>SUM(H26:H27)</f>
        <v>24139.03</v>
      </c>
      <c r="I28" s="235"/>
    </row>
    <row r="29" spans="1:9" s="223" customFormat="1" ht="12.75" customHeight="1" thickTop="1" x14ac:dyDescent="0.25"/>
    <row r="31" spans="1:9" ht="15" customHeight="1" x14ac:dyDescent="0.25">
      <c r="A31" s="274" t="s">
        <v>1047</v>
      </c>
    </row>
  </sheetData>
  <conditionalFormatting sqref="I8:I10 I12:I23">
    <cfRule type="cellIs" dxfId="25" priority="1" operator="greaterThan">
      <formula>$H$23</formula>
    </cfRule>
  </conditionalFormatting>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9DBB7-4183-4B7E-B9A5-1B722BBABBFB}">
  <sheetPr>
    <pageSetUpPr fitToPage="1"/>
  </sheetPr>
  <dimension ref="A1:G17"/>
  <sheetViews>
    <sheetView zoomScaleNormal="100" workbookViewId="0">
      <selection activeCell="C20" sqref="C20"/>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173</v>
      </c>
      <c r="C1" s="3"/>
      <c r="D1" s="4"/>
      <c r="E1" s="4"/>
      <c r="F1" s="4"/>
      <c r="G1" s="4"/>
    </row>
    <row r="2" spans="1:7" ht="15.75" x14ac:dyDescent="0.25">
      <c r="A2" s="1"/>
      <c r="B2" s="6" t="s">
        <v>209</v>
      </c>
      <c r="C2" s="5"/>
      <c r="D2" s="4"/>
      <c r="E2" s="4"/>
      <c r="F2" s="4"/>
      <c r="G2" s="4"/>
    </row>
    <row r="3" spans="1:7" ht="15.75" x14ac:dyDescent="0.25">
      <c r="A3" s="1"/>
      <c r="B3" s="7" t="s">
        <v>210</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195</v>
      </c>
      <c r="C6" s="12"/>
      <c r="D6" s="13" t="s">
        <v>2</v>
      </c>
      <c r="E6" s="4"/>
      <c r="F6" s="4"/>
      <c r="G6" s="4"/>
    </row>
    <row r="7" spans="1:7" ht="38.25" customHeight="1" thickBot="1" x14ac:dyDescent="0.3">
      <c r="A7" s="1"/>
      <c r="B7" s="14" t="s">
        <v>2</v>
      </c>
      <c r="C7" s="15" t="s">
        <v>3</v>
      </c>
      <c r="D7" s="16" t="s">
        <v>4</v>
      </c>
      <c r="E7" s="17" t="s">
        <v>5</v>
      </c>
      <c r="F7" s="18" t="s">
        <v>6</v>
      </c>
      <c r="G7" s="18" t="s">
        <v>7</v>
      </c>
    </row>
    <row r="8" spans="1:7" ht="28.35" customHeight="1" x14ac:dyDescent="0.25">
      <c r="A8" s="1"/>
      <c r="B8" s="1" t="s">
        <v>8</v>
      </c>
      <c r="C8" s="19">
        <f>FINANCIAL!G29</f>
        <v>1680747</v>
      </c>
      <c r="D8" s="20"/>
      <c r="E8" s="20"/>
      <c r="F8" s="20"/>
      <c r="G8" s="21"/>
    </row>
    <row r="9" spans="1:7" x14ac:dyDescent="0.25">
      <c r="A9" s="1"/>
      <c r="B9" s="5"/>
      <c r="C9" s="22"/>
      <c r="D9" s="23"/>
      <c r="E9" s="23"/>
      <c r="F9" s="23"/>
      <c r="G9" s="21"/>
    </row>
    <row r="10" spans="1:7" s="223" customFormat="1" ht="12.75" customHeight="1" x14ac:dyDescent="0.25">
      <c r="A10" s="246"/>
      <c r="B10" s="247" t="s">
        <v>253</v>
      </c>
      <c r="C10" s="248"/>
      <c r="D10" s="251">
        <f>'#9506.00 McGough Construction'!D23</f>
        <v>14731.62</v>
      </c>
      <c r="E10" s="251">
        <f>'#9506.00 McGough Construction'!F23</f>
        <v>8842.67</v>
      </c>
      <c r="F10" s="251">
        <f>'#9506.00 McGough Construction'!H23</f>
        <v>5888.9500000000007</v>
      </c>
      <c r="G10" s="250"/>
    </row>
    <row r="11" spans="1:7" s="223" customFormat="1" ht="12.75" customHeight="1" x14ac:dyDescent="0.25">
      <c r="A11" s="246"/>
      <c r="B11" s="247" t="s">
        <v>10</v>
      </c>
      <c r="C11" s="248"/>
      <c r="D11" s="251">
        <f>'#9506.00 PM TIME'!E39</f>
        <v>18000</v>
      </c>
      <c r="E11" s="251">
        <f>'#9506.00 PM TIME'!G39</f>
        <v>16746.66</v>
      </c>
      <c r="F11" s="251">
        <f>'#9506.00 PM TIME'!I39</f>
        <v>1253.3400000000001</v>
      </c>
      <c r="G11" s="250"/>
    </row>
    <row r="12" spans="1:7" s="223" customFormat="1" ht="12.75" customHeight="1" x14ac:dyDescent="0.25">
      <c r="A12" s="246"/>
      <c r="B12" s="247" t="s">
        <v>11</v>
      </c>
      <c r="C12" s="249"/>
      <c r="D12" s="252">
        <f>'#9506.00 Misc'!G22</f>
        <v>5188.7</v>
      </c>
      <c r="E12" s="252">
        <f>'#9506.00 Misc'!G22</f>
        <v>5188.7</v>
      </c>
      <c r="F12" s="251">
        <f>D12-E12</f>
        <v>0</v>
      </c>
      <c r="G12" s="250"/>
    </row>
    <row r="13" spans="1:7" s="223" customFormat="1" ht="12.75" customHeight="1" x14ac:dyDescent="0.25">
      <c r="A13" s="246"/>
      <c r="B13" s="247" t="s">
        <v>536</v>
      </c>
      <c r="C13" s="249"/>
      <c r="D13" s="252">
        <f>'#9506.00 Bolton and Menk'!D23</f>
        <v>152244</v>
      </c>
      <c r="E13" s="252">
        <f>'#9506.00 Bolton and Menk'!F23</f>
        <v>108009.5</v>
      </c>
      <c r="F13" s="251">
        <f>'#9506.00 Bolton and Menk'!H23</f>
        <v>44234.5</v>
      </c>
      <c r="G13" s="250"/>
    </row>
    <row r="14" spans="1:7" s="223" customFormat="1" ht="12.75" customHeight="1" x14ac:dyDescent="0.25">
      <c r="A14" s="246"/>
      <c r="B14" s="247" t="s">
        <v>567</v>
      </c>
      <c r="C14" s="249"/>
      <c r="D14" s="252">
        <f>'#9506.00 Terracon'!D23</f>
        <v>7815</v>
      </c>
      <c r="E14" s="252">
        <f>'#9506.00 Terracon'!F23</f>
        <v>2165.5</v>
      </c>
      <c r="F14" s="251">
        <f>'#9506.00 Terracon'!H23</f>
        <v>5649.5</v>
      </c>
      <c r="G14" s="250"/>
    </row>
    <row r="15" spans="1:7" s="223" customFormat="1" ht="12.75" customHeight="1" x14ac:dyDescent="0.25">
      <c r="A15" s="246"/>
      <c r="B15" s="247"/>
      <c r="C15" s="249"/>
      <c r="D15" s="252"/>
      <c r="E15" s="252"/>
      <c r="F15" s="251"/>
      <c r="G15" s="250"/>
    </row>
    <row r="16" spans="1:7" ht="24" customHeight="1" thickBot="1" x14ac:dyDescent="0.3">
      <c r="A16" s="25"/>
      <c r="B16" s="26" t="s">
        <v>12</v>
      </c>
      <c r="C16" s="27">
        <f>SUM(C8:C15)</f>
        <v>1680747</v>
      </c>
      <c r="D16" s="27">
        <f>SUM(D8:D15)</f>
        <v>197979.32</v>
      </c>
      <c r="E16" s="27">
        <f>SUM(E8:E15)</f>
        <v>140953.03</v>
      </c>
      <c r="F16" s="27">
        <f>SUM(D16-E16)</f>
        <v>57026.290000000008</v>
      </c>
      <c r="G16" s="27">
        <f>C8-D16</f>
        <v>1482767.68</v>
      </c>
    </row>
    <row r="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072A-3C92-4DA5-9A52-F9216E1E7504}">
  <sheetPr>
    <pageSetUpPr fitToPage="1"/>
  </sheetPr>
  <dimension ref="A1:I29"/>
  <sheetViews>
    <sheetView zoomScaleNormal="100" workbookViewId="0">
      <selection activeCell="O31" sqref="O31:O33"/>
    </sheetView>
  </sheetViews>
  <sheetFormatPr defaultColWidth="11.42578125" defaultRowHeight="15" customHeight="1" x14ac:dyDescent="0.25"/>
  <cols>
    <col min="1" max="1" width="24.5703125" customWidth="1"/>
    <col min="2" max="2" width="9.42578125" customWidth="1"/>
    <col min="3" max="3" width="19.28515625" bestFit="1" customWidth="1"/>
    <col min="4" max="4" width="14.42578125" customWidth="1"/>
    <col min="5" max="5" width="13.5703125" customWidth="1"/>
    <col min="6" max="6" width="12.42578125" customWidth="1"/>
    <col min="7" max="7" width="10.5703125" customWidth="1"/>
    <col min="8" max="8" width="11.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#9506.00'!B1</f>
        <v>DOC MPCF Perimeter Fence and Wagon Gates</v>
      </c>
      <c r="B1" s="3"/>
      <c r="C1" s="4"/>
      <c r="D1" s="4"/>
      <c r="E1" s="4"/>
      <c r="F1" s="28"/>
      <c r="G1" s="28"/>
      <c r="H1" s="29"/>
      <c r="I1" s="29"/>
    </row>
    <row r="2" spans="1:9" ht="15.75" x14ac:dyDescent="0.25">
      <c r="A2" s="6" t="str">
        <f>'RECAP #9506.00'!B2</f>
        <v>Project # 9506.00</v>
      </c>
      <c r="B2" s="5"/>
      <c r="C2" s="4"/>
      <c r="D2" s="4"/>
      <c r="E2" s="4"/>
      <c r="F2" s="28"/>
      <c r="G2" s="28"/>
      <c r="H2" s="29"/>
      <c r="I2" s="29"/>
    </row>
    <row r="3" spans="1:9" ht="15.75" x14ac:dyDescent="0.25">
      <c r="A3" s="7" t="str">
        <f>'RECAP #9506.00'!B3</f>
        <v>Program code 950600</v>
      </c>
      <c r="B3" s="5"/>
      <c r="C3" s="4"/>
      <c r="D3" s="8" t="str">
        <f>'RECAP #9506.00'!E3</f>
        <v>Major Program 4E01</v>
      </c>
      <c r="E3" s="4"/>
      <c r="F3" s="28"/>
      <c r="G3" s="28"/>
      <c r="H3" s="29"/>
      <c r="I3" s="29"/>
    </row>
    <row r="4" spans="1:9" ht="15.75" x14ac:dyDescent="0.25">
      <c r="A4" s="30" t="s">
        <v>253</v>
      </c>
      <c r="B4" s="31"/>
      <c r="C4" s="32"/>
      <c r="D4" s="33" t="s">
        <v>254</v>
      </c>
      <c r="E4" s="28"/>
      <c r="F4" s="28"/>
      <c r="G4" s="28"/>
      <c r="H4" s="29"/>
      <c r="I4" s="29"/>
    </row>
    <row r="5" spans="1:9" ht="15.75" x14ac:dyDescent="0.25">
      <c r="A5" s="34" t="s">
        <v>321</v>
      </c>
      <c r="B5" s="35"/>
      <c r="C5" s="36"/>
      <c r="D5" s="37" t="s">
        <v>255</v>
      </c>
      <c r="E5" s="38"/>
      <c r="F5" s="39"/>
      <c r="G5" s="39"/>
      <c r="H5" s="35"/>
      <c r="I5" s="29"/>
    </row>
    <row r="6" spans="1:9" ht="15.75" x14ac:dyDescent="0.25">
      <c r="A6" s="11" t="str">
        <f>'RECAP #9506.00'!B6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322</v>
      </c>
      <c r="B9" s="177">
        <v>45980</v>
      </c>
      <c r="C9" s="231" t="s">
        <v>109</v>
      </c>
      <c r="D9" s="232">
        <v>14731.62</v>
      </c>
      <c r="E9" s="233">
        <f>D9</f>
        <v>14731.62</v>
      </c>
      <c r="F9" s="234"/>
      <c r="G9" s="234"/>
      <c r="H9" s="234">
        <f>E9</f>
        <v>14731.62</v>
      </c>
      <c r="I9" s="235"/>
    </row>
    <row r="10" spans="1:9" s="223" customFormat="1" ht="12.75" customHeight="1" x14ac:dyDescent="0.25">
      <c r="A10" s="230" t="s">
        <v>555</v>
      </c>
      <c r="B10" s="236">
        <v>46069</v>
      </c>
      <c r="C10" s="231" t="s">
        <v>556</v>
      </c>
      <c r="D10" s="233"/>
      <c r="E10" s="233">
        <f t="shared" ref="E10:E21" si="0">E9+D10</f>
        <v>14731.62</v>
      </c>
      <c r="F10" s="237">
        <v>2109</v>
      </c>
      <c r="G10" s="234">
        <f t="shared" ref="G10:G21" si="1">G9+F10</f>
        <v>2109</v>
      </c>
      <c r="H10" s="234">
        <f t="shared" ref="H10:H21" si="2">H9-F10+D10</f>
        <v>12622.62</v>
      </c>
      <c r="I10" s="235"/>
    </row>
    <row r="11" spans="1:9" s="223" customFormat="1" ht="12.75" customHeight="1" x14ac:dyDescent="0.25">
      <c r="A11" s="230" t="s">
        <v>666</v>
      </c>
      <c r="B11" s="177">
        <v>46100</v>
      </c>
      <c r="C11" s="231" t="s">
        <v>667</v>
      </c>
      <c r="D11" s="233"/>
      <c r="E11" s="233">
        <f t="shared" si="0"/>
        <v>14731.62</v>
      </c>
      <c r="F11" s="237">
        <v>888.72</v>
      </c>
      <c r="G11" s="234">
        <f t="shared" si="1"/>
        <v>2997.7200000000003</v>
      </c>
      <c r="H11" s="234">
        <f t="shared" si="2"/>
        <v>11733.900000000001</v>
      </c>
      <c r="I11" s="235"/>
    </row>
    <row r="12" spans="1:9" s="223" customFormat="1" ht="12.75" customHeight="1" x14ac:dyDescent="0.25">
      <c r="A12" s="230" t="s">
        <v>753</v>
      </c>
      <c r="B12" s="177">
        <v>46121</v>
      </c>
      <c r="C12" s="231" t="s">
        <v>754</v>
      </c>
      <c r="D12" s="233"/>
      <c r="E12" s="233">
        <f t="shared" si="0"/>
        <v>14731.62</v>
      </c>
      <c r="F12" s="237">
        <v>791.5</v>
      </c>
      <c r="G12" s="234">
        <f t="shared" si="1"/>
        <v>3789.2200000000003</v>
      </c>
      <c r="H12" s="234">
        <f t="shared" si="2"/>
        <v>10942.400000000001</v>
      </c>
      <c r="I12" s="235"/>
    </row>
    <row r="13" spans="1:9" s="223" customFormat="1" ht="12.75" customHeight="1" x14ac:dyDescent="0.25">
      <c r="A13" s="230" t="s">
        <v>878</v>
      </c>
      <c r="B13" s="177">
        <v>46161</v>
      </c>
      <c r="C13" s="231" t="s">
        <v>879</v>
      </c>
      <c r="D13" s="233"/>
      <c r="E13" s="233">
        <f t="shared" si="0"/>
        <v>14731.62</v>
      </c>
      <c r="F13" s="237">
        <v>700.18</v>
      </c>
      <c r="G13" s="234">
        <f t="shared" si="1"/>
        <v>4489.4000000000005</v>
      </c>
      <c r="H13" s="234">
        <f t="shared" si="2"/>
        <v>10242.220000000001</v>
      </c>
      <c r="I13" s="235"/>
    </row>
    <row r="14" spans="1:9" s="223" customFormat="1" ht="12.75" customHeight="1" x14ac:dyDescent="0.25">
      <c r="A14" s="230" t="s">
        <v>1010</v>
      </c>
      <c r="B14" s="177">
        <v>46188</v>
      </c>
      <c r="C14" s="231" t="s">
        <v>1011</v>
      </c>
      <c r="D14" s="233"/>
      <c r="E14" s="233">
        <f t="shared" si="0"/>
        <v>14731.62</v>
      </c>
      <c r="F14" s="237">
        <v>1613.45</v>
      </c>
      <c r="G14" s="234">
        <f t="shared" si="1"/>
        <v>6102.85</v>
      </c>
      <c r="H14" s="234">
        <f t="shared" si="2"/>
        <v>8628.77</v>
      </c>
      <c r="I14" s="235"/>
    </row>
    <row r="15" spans="1:9" s="223" customFormat="1" ht="12.75" customHeight="1" x14ac:dyDescent="0.25">
      <c r="A15" s="328" t="s">
        <v>1209</v>
      </c>
      <c r="B15" s="329">
        <v>46216</v>
      </c>
      <c r="C15" s="330" t="s">
        <v>1210</v>
      </c>
      <c r="D15" s="331"/>
      <c r="E15" s="331">
        <f t="shared" si="0"/>
        <v>14731.62</v>
      </c>
      <c r="F15" s="338">
        <v>1651.5</v>
      </c>
      <c r="G15" s="332">
        <f t="shared" si="1"/>
        <v>7754.35</v>
      </c>
      <c r="H15" s="332">
        <f t="shared" si="2"/>
        <v>6977.27</v>
      </c>
      <c r="I15" s="333" t="s">
        <v>1285</v>
      </c>
    </row>
    <row r="16" spans="1:9" s="223" customFormat="1" ht="12.75" customHeight="1" x14ac:dyDescent="0.25">
      <c r="A16" s="230" t="s">
        <v>1322</v>
      </c>
      <c r="B16" s="177">
        <v>46225</v>
      </c>
      <c r="C16" s="231" t="s">
        <v>1286</v>
      </c>
      <c r="D16" s="232">
        <v>0</v>
      </c>
      <c r="E16" s="233">
        <f t="shared" si="0"/>
        <v>14731.62</v>
      </c>
      <c r="F16" s="238"/>
      <c r="G16" s="234">
        <f t="shared" si="1"/>
        <v>7754.35</v>
      </c>
      <c r="H16" s="234">
        <f t="shared" si="2"/>
        <v>6977.27</v>
      </c>
      <c r="I16" s="235"/>
    </row>
    <row r="17" spans="1:9" s="223" customFormat="1" ht="12.75" customHeight="1" x14ac:dyDescent="0.25">
      <c r="A17" s="230" t="s">
        <v>1478</v>
      </c>
      <c r="B17" s="177">
        <v>46255</v>
      </c>
      <c r="C17" s="231" t="s">
        <v>1479</v>
      </c>
      <c r="D17" s="233"/>
      <c r="E17" s="233">
        <f t="shared" si="0"/>
        <v>14731.62</v>
      </c>
      <c r="F17" s="237">
        <v>1088.32</v>
      </c>
      <c r="G17" s="234">
        <f t="shared" si="1"/>
        <v>8842.67</v>
      </c>
      <c r="H17" s="234">
        <f t="shared" si="2"/>
        <v>5888.9500000000007</v>
      </c>
      <c r="I17" s="235"/>
    </row>
    <row r="18" spans="1:9" s="223" customFormat="1" ht="12.75" customHeight="1" x14ac:dyDescent="0.25">
      <c r="A18" s="230"/>
      <c r="B18" s="177"/>
      <c r="C18" s="231"/>
      <c r="D18" s="233"/>
      <c r="E18" s="233">
        <f t="shared" si="0"/>
        <v>14731.62</v>
      </c>
      <c r="F18" s="238"/>
      <c r="G18" s="234">
        <f t="shared" si="1"/>
        <v>8842.67</v>
      </c>
      <c r="H18" s="234">
        <f t="shared" si="2"/>
        <v>5888.9500000000007</v>
      </c>
      <c r="I18" s="235"/>
    </row>
    <row r="19" spans="1:9" s="223" customFormat="1" ht="12.75" customHeight="1" x14ac:dyDescent="0.25">
      <c r="A19" s="230"/>
      <c r="B19" s="177"/>
      <c r="C19" s="231"/>
      <c r="D19" s="233"/>
      <c r="E19" s="233">
        <f t="shared" si="0"/>
        <v>14731.62</v>
      </c>
      <c r="F19" s="234"/>
      <c r="G19" s="234">
        <f t="shared" si="1"/>
        <v>8842.67</v>
      </c>
      <c r="H19" s="234">
        <f t="shared" si="2"/>
        <v>5888.9500000000007</v>
      </c>
      <c r="I19" s="235"/>
    </row>
    <row r="20" spans="1:9" s="223" customFormat="1" ht="12.75" customHeight="1" x14ac:dyDescent="0.25">
      <c r="A20" s="230"/>
      <c r="B20" s="177"/>
      <c r="C20" s="231"/>
      <c r="D20" s="233"/>
      <c r="E20" s="233">
        <f t="shared" si="0"/>
        <v>14731.62</v>
      </c>
      <c r="F20" s="234"/>
      <c r="G20" s="234">
        <f t="shared" si="1"/>
        <v>8842.67</v>
      </c>
      <c r="H20" s="234">
        <f t="shared" si="2"/>
        <v>5888.9500000000007</v>
      </c>
      <c r="I20" s="235"/>
    </row>
    <row r="21" spans="1:9" s="223" customFormat="1" ht="12.75" customHeight="1" x14ac:dyDescent="0.25">
      <c r="A21" s="230"/>
      <c r="B21" s="177"/>
      <c r="C21" s="239"/>
      <c r="D21" s="233"/>
      <c r="E21" s="233">
        <f t="shared" si="0"/>
        <v>14731.62</v>
      </c>
      <c r="F21" s="234"/>
      <c r="G21" s="234">
        <f t="shared" si="1"/>
        <v>8842.67</v>
      </c>
      <c r="H21" s="234">
        <f t="shared" si="2"/>
        <v>5888.9500000000007</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14731.62</v>
      </c>
      <c r="E23" s="245"/>
      <c r="F23" s="245">
        <f>SUM(F9:F22)</f>
        <v>8842.67</v>
      </c>
      <c r="G23" s="245"/>
      <c r="H23" s="245">
        <f>D23-F23</f>
        <v>5888.9500000000007</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14311.62</v>
      </c>
      <c r="E26" s="254"/>
      <c r="F26" s="254">
        <f>2062.5+875.22+791.5+700.18+1613.45+1651.5+1088.32</f>
        <v>8782.67</v>
      </c>
      <c r="G26" s="254"/>
      <c r="H26" s="254">
        <f>D26-F26</f>
        <v>5528.9500000000007</v>
      </c>
      <c r="I26" s="235"/>
    </row>
    <row r="27" spans="1:9" s="223" customFormat="1" ht="12.75" customHeight="1" x14ac:dyDescent="0.25">
      <c r="A27" s="230"/>
      <c r="B27" s="231"/>
      <c r="C27" s="253" t="s">
        <v>111</v>
      </c>
      <c r="D27" s="254">
        <v>420</v>
      </c>
      <c r="E27" s="254"/>
      <c r="F27" s="254">
        <f>46.5+13.5</f>
        <v>60</v>
      </c>
      <c r="G27" s="254"/>
      <c r="H27" s="254">
        <f>D27-F27</f>
        <v>360</v>
      </c>
      <c r="I27" s="235"/>
    </row>
    <row r="28" spans="1:9" s="223" customFormat="1" ht="12.75" customHeight="1" thickBot="1" x14ac:dyDescent="0.3">
      <c r="A28" s="230"/>
      <c r="B28" s="231"/>
      <c r="C28" s="255" t="s">
        <v>67</v>
      </c>
      <c r="D28" s="256">
        <f>SUM(D26:D27)</f>
        <v>14731.62</v>
      </c>
      <c r="E28" s="257"/>
      <c r="F28" s="256">
        <f>SUM(F26:F27)</f>
        <v>8842.67</v>
      </c>
      <c r="G28" s="257"/>
      <c r="H28" s="256">
        <f>SUM(H26:H27)</f>
        <v>5888.9500000000007</v>
      </c>
      <c r="I28" s="235"/>
    </row>
    <row r="29" spans="1:9" s="223" customFormat="1" ht="12.75" customHeight="1" thickTop="1" x14ac:dyDescent="0.25"/>
  </sheetData>
  <conditionalFormatting sqref="I8:I14 I16:I23">
    <cfRule type="cellIs" dxfId="24" priority="1" operator="greaterThan">
      <formula>$H$23</formula>
    </cfRule>
  </conditionalFormatting>
  <pageMargins left="0.25" right="0.25" top="0.95" bottom="0.75" header="0.09" footer="0.3"/>
  <pageSetup scale="8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C8935-B0E3-40CA-9BED-66B339E6BA93}">
  <sheetPr>
    <pageSetUpPr fitToPage="1"/>
  </sheetPr>
  <dimension ref="A1:J40"/>
  <sheetViews>
    <sheetView topLeftCell="A10" zoomScaleNormal="100" workbookViewId="0">
      <selection activeCell="G41" sqref="G41"/>
    </sheetView>
  </sheetViews>
  <sheetFormatPr defaultColWidth="11.42578125" defaultRowHeight="15" customHeight="1" x14ac:dyDescent="0.25"/>
  <cols>
    <col min="1" max="1" width="24.5703125" customWidth="1"/>
    <col min="2" max="3" width="9.42578125" customWidth="1"/>
    <col min="4" max="4" width="42.5703125" customWidth="1"/>
    <col min="5" max="5" width="12.5703125" customWidth="1"/>
    <col min="6" max="6" width="13.5703125" customWidth="1"/>
    <col min="7" max="7" width="12.42578125" customWidth="1"/>
    <col min="8" max="8" width="10.5703125" customWidth="1"/>
    <col min="9" max="9" width="13.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#9506.00'!B1</f>
        <v>DOC MPCF Perimeter Fence and Wagon Gates</v>
      </c>
      <c r="B1" s="3"/>
      <c r="C1" s="3"/>
      <c r="D1" s="4"/>
      <c r="E1" s="4"/>
      <c r="F1" s="4"/>
      <c r="G1" s="28"/>
      <c r="H1" s="28"/>
      <c r="I1" s="29"/>
      <c r="J1" s="29"/>
    </row>
    <row r="2" spans="1:10" ht="15.75" x14ac:dyDescent="0.25">
      <c r="A2" s="6" t="str">
        <f>'RECAP #9506.00'!B2</f>
        <v>Project # 9506.00</v>
      </c>
      <c r="B2" s="5"/>
      <c r="C2" s="5"/>
      <c r="D2" s="4"/>
      <c r="E2" s="4"/>
      <c r="F2" s="4"/>
      <c r="G2" s="28"/>
      <c r="H2" s="28"/>
      <c r="I2" s="29"/>
      <c r="J2" s="29"/>
    </row>
    <row r="3" spans="1:10" ht="15.75" x14ac:dyDescent="0.25">
      <c r="A3" s="7" t="str">
        <f>'RECAP #9506.00'!B3</f>
        <v>Program code 950600</v>
      </c>
      <c r="B3" s="5"/>
      <c r="C3" s="5"/>
      <c r="D3" s="4"/>
      <c r="E3" s="8" t="str">
        <f>'RECAP #9506.00'!E3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242</v>
      </c>
      <c r="F6" s="42"/>
      <c r="G6" s="43"/>
      <c r="H6" s="39"/>
      <c r="I6" s="35"/>
      <c r="J6" s="29"/>
    </row>
    <row r="7" spans="1:10" ht="15.75" x14ac:dyDescent="0.25">
      <c r="A7" s="11" t="str">
        <f>'RECAP #9506.00'!B6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v>18000</v>
      </c>
      <c r="F9" s="233">
        <f>E9</f>
        <v>18000</v>
      </c>
      <c r="G9" s="234"/>
      <c r="H9" s="234"/>
      <c r="I9" s="234">
        <f>F9</f>
        <v>18000</v>
      </c>
      <c r="J9" s="235"/>
    </row>
    <row r="10" spans="1:10" s="223" customFormat="1" ht="12.75" customHeight="1" x14ac:dyDescent="0.25">
      <c r="A10" s="176" t="s">
        <v>260</v>
      </c>
      <c r="B10" s="177">
        <v>45937</v>
      </c>
      <c r="C10" s="241" t="s">
        <v>261</v>
      </c>
      <c r="D10" s="148" t="s">
        <v>262</v>
      </c>
      <c r="E10" s="233"/>
      <c r="F10" s="233">
        <f t="shared" ref="F10:F37" si="0">F9+E10</f>
        <v>18000</v>
      </c>
      <c r="G10" s="237">
        <v>44.41</v>
      </c>
      <c r="H10" s="234">
        <f t="shared" ref="H10:H37" si="1">H9+G10</f>
        <v>44.41</v>
      </c>
      <c r="I10" s="234">
        <f t="shared" ref="I10:I37" si="2">I9-G10+E10</f>
        <v>17955.59</v>
      </c>
      <c r="J10" s="235"/>
    </row>
    <row r="11" spans="1:10" s="223" customFormat="1" ht="12.75" customHeight="1" x14ac:dyDescent="0.25">
      <c r="A11" s="176" t="s">
        <v>260</v>
      </c>
      <c r="B11" s="177">
        <v>45937</v>
      </c>
      <c r="C11" s="241">
        <v>9500</v>
      </c>
      <c r="D11" s="149" t="s">
        <v>263</v>
      </c>
      <c r="E11" s="233"/>
      <c r="F11" s="233">
        <f t="shared" si="0"/>
        <v>18000</v>
      </c>
      <c r="G11" s="237">
        <v>229.2</v>
      </c>
      <c r="H11" s="234">
        <f t="shared" si="1"/>
        <v>273.61</v>
      </c>
      <c r="I11" s="234">
        <f t="shared" si="2"/>
        <v>17726.39</v>
      </c>
      <c r="J11" s="235"/>
    </row>
    <row r="12" spans="1:10" s="223" customFormat="1" ht="12.75" customHeight="1" x14ac:dyDescent="0.25">
      <c r="A12" s="176" t="s">
        <v>314</v>
      </c>
      <c r="B12" s="177">
        <v>45968</v>
      </c>
      <c r="C12" s="241" t="s">
        <v>261</v>
      </c>
      <c r="D12" s="148" t="s">
        <v>315</v>
      </c>
      <c r="E12" s="233"/>
      <c r="F12" s="233">
        <f t="shared" si="0"/>
        <v>18000</v>
      </c>
      <c r="G12" s="237">
        <v>49.36</v>
      </c>
      <c r="H12" s="234">
        <f t="shared" si="1"/>
        <v>322.97000000000003</v>
      </c>
      <c r="I12" s="234">
        <f t="shared" si="2"/>
        <v>17677.03</v>
      </c>
      <c r="J12" s="235"/>
    </row>
    <row r="13" spans="1:10" s="223" customFormat="1" ht="12.75" customHeight="1" x14ac:dyDescent="0.25">
      <c r="A13" s="176" t="s">
        <v>314</v>
      </c>
      <c r="B13" s="177">
        <v>45968</v>
      </c>
      <c r="C13" s="241">
        <v>9500</v>
      </c>
      <c r="D13" s="149" t="s">
        <v>316</v>
      </c>
      <c r="E13" s="233"/>
      <c r="F13" s="233">
        <f t="shared" si="0"/>
        <v>18000</v>
      </c>
      <c r="G13" s="237">
        <v>487.3</v>
      </c>
      <c r="H13" s="234">
        <f t="shared" si="1"/>
        <v>810.27</v>
      </c>
      <c r="I13" s="234">
        <f t="shared" si="2"/>
        <v>17189.73</v>
      </c>
      <c r="J13" s="235"/>
    </row>
    <row r="14" spans="1:10" s="223" customFormat="1" ht="12.75" customHeight="1" x14ac:dyDescent="0.2">
      <c r="A14" s="70" t="s">
        <v>364</v>
      </c>
      <c r="B14" s="50">
        <v>45996</v>
      </c>
      <c r="C14" s="53" t="s">
        <v>261</v>
      </c>
      <c r="D14" s="144" t="s">
        <v>365</v>
      </c>
      <c r="E14" s="233"/>
      <c r="F14" s="233">
        <f t="shared" si="0"/>
        <v>18000</v>
      </c>
      <c r="G14" s="237">
        <v>66.42</v>
      </c>
      <c r="H14" s="234">
        <f t="shared" si="1"/>
        <v>876.68999999999994</v>
      </c>
      <c r="I14" s="234">
        <f t="shared" si="2"/>
        <v>17123.310000000001</v>
      </c>
      <c r="J14" s="235"/>
    </row>
    <row r="15" spans="1:10" s="223" customFormat="1" ht="12.75" customHeight="1" x14ac:dyDescent="0.2">
      <c r="A15" s="70" t="s">
        <v>364</v>
      </c>
      <c r="B15" s="50">
        <v>45996</v>
      </c>
      <c r="C15" s="268">
        <v>9500</v>
      </c>
      <c r="D15" s="66" t="s">
        <v>366</v>
      </c>
      <c r="E15" s="233"/>
      <c r="F15" s="233">
        <f t="shared" si="0"/>
        <v>18000</v>
      </c>
      <c r="G15" s="237">
        <v>423.8</v>
      </c>
      <c r="H15" s="234">
        <f t="shared" si="1"/>
        <v>1300.49</v>
      </c>
      <c r="I15" s="234">
        <f t="shared" si="2"/>
        <v>16699.510000000002</v>
      </c>
      <c r="J15" s="235"/>
    </row>
    <row r="16" spans="1:10" s="223" customFormat="1" ht="12.75" customHeight="1" x14ac:dyDescent="0.2">
      <c r="A16" s="70" t="s">
        <v>423</v>
      </c>
      <c r="B16" s="50">
        <v>46030</v>
      </c>
      <c r="C16" s="53" t="s">
        <v>261</v>
      </c>
      <c r="D16" s="144" t="s">
        <v>424</v>
      </c>
      <c r="E16" s="233"/>
      <c r="F16" s="233">
        <f t="shared" si="0"/>
        <v>18000</v>
      </c>
      <c r="G16" s="237">
        <v>157.03</v>
      </c>
      <c r="H16" s="234">
        <f t="shared" si="1"/>
        <v>1457.52</v>
      </c>
      <c r="I16" s="234">
        <f t="shared" si="2"/>
        <v>16542.480000000003</v>
      </c>
      <c r="J16" s="235"/>
    </row>
    <row r="17" spans="1:10" s="223" customFormat="1" ht="12.75" customHeight="1" x14ac:dyDescent="0.2">
      <c r="A17" s="70" t="s">
        <v>423</v>
      </c>
      <c r="B17" s="50">
        <v>46030</v>
      </c>
      <c r="C17" s="268">
        <v>9500</v>
      </c>
      <c r="D17" s="66" t="s">
        <v>425</v>
      </c>
      <c r="E17" s="233"/>
      <c r="F17" s="233">
        <f t="shared" si="0"/>
        <v>18000</v>
      </c>
      <c r="G17" s="237">
        <v>1779.1</v>
      </c>
      <c r="H17" s="234">
        <f t="shared" si="1"/>
        <v>3236.62</v>
      </c>
      <c r="I17" s="234">
        <f t="shared" si="2"/>
        <v>14763.380000000003</v>
      </c>
      <c r="J17" s="235"/>
    </row>
    <row r="18" spans="1:10" s="223" customFormat="1" ht="12.75" customHeight="1" x14ac:dyDescent="0.2">
      <c r="A18" s="70" t="s">
        <v>548</v>
      </c>
      <c r="B18" s="50">
        <v>46062</v>
      </c>
      <c r="C18" s="53" t="s">
        <v>261</v>
      </c>
      <c r="D18" s="144" t="s">
        <v>549</v>
      </c>
      <c r="E18" s="233"/>
      <c r="F18" s="233">
        <f t="shared" si="0"/>
        <v>18000</v>
      </c>
      <c r="G18" s="237">
        <v>108.95</v>
      </c>
      <c r="H18" s="234">
        <f t="shared" si="1"/>
        <v>3345.5699999999997</v>
      </c>
      <c r="I18" s="234">
        <f t="shared" si="2"/>
        <v>14654.430000000002</v>
      </c>
      <c r="J18" s="235"/>
    </row>
    <row r="19" spans="1:10" s="223" customFormat="1" ht="12.75" customHeight="1" x14ac:dyDescent="0.2">
      <c r="A19" s="70" t="s">
        <v>548</v>
      </c>
      <c r="B19" s="50">
        <v>46062</v>
      </c>
      <c r="C19" s="268">
        <v>9500</v>
      </c>
      <c r="D19" s="66" t="s">
        <v>550</v>
      </c>
      <c r="E19" s="233"/>
      <c r="F19" s="233">
        <f t="shared" si="0"/>
        <v>18000</v>
      </c>
      <c r="G19" s="237">
        <v>1353.8</v>
      </c>
      <c r="H19" s="234">
        <f t="shared" si="1"/>
        <v>4699.37</v>
      </c>
      <c r="I19" s="234">
        <f t="shared" si="2"/>
        <v>13300.630000000003</v>
      </c>
      <c r="J19" s="235"/>
    </row>
    <row r="20" spans="1:10" s="223" customFormat="1" ht="12.75" customHeight="1" x14ac:dyDescent="0.2">
      <c r="A20" s="70" t="s">
        <v>644</v>
      </c>
      <c r="B20" s="50">
        <v>46090</v>
      </c>
      <c r="C20" s="53" t="s">
        <v>261</v>
      </c>
      <c r="D20" s="144" t="s">
        <v>645</v>
      </c>
      <c r="E20" s="233"/>
      <c r="F20" s="233">
        <f t="shared" si="0"/>
        <v>18000</v>
      </c>
      <c r="G20" s="237">
        <v>116.64</v>
      </c>
      <c r="H20" s="234">
        <f t="shared" si="1"/>
        <v>4816.01</v>
      </c>
      <c r="I20" s="234">
        <f t="shared" si="2"/>
        <v>13183.990000000003</v>
      </c>
      <c r="J20" s="235"/>
    </row>
    <row r="21" spans="1:10" s="223" customFormat="1" ht="12.75" customHeight="1" x14ac:dyDescent="0.2">
      <c r="A21" s="70" t="s">
        <v>644</v>
      </c>
      <c r="B21" s="50">
        <v>46090</v>
      </c>
      <c r="C21" s="268">
        <v>9500</v>
      </c>
      <c r="D21" s="66" t="s">
        <v>646</v>
      </c>
      <c r="E21" s="233"/>
      <c r="F21" s="233">
        <f t="shared" si="0"/>
        <v>18000</v>
      </c>
      <c r="G21" s="237">
        <v>1345</v>
      </c>
      <c r="H21" s="234">
        <f t="shared" si="1"/>
        <v>6161.01</v>
      </c>
      <c r="I21" s="234">
        <f t="shared" si="2"/>
        <v>11838.990000000003</v>
      </c>
      <c r="J21" s="235"/>
    </row>
    <row r="22" spans="1:10" s="223" customFormat="1" ht="12.75" customHeight="1" x14ac:dyDescent="0.2">
      <c r="A22" s="70" t="s">
        <v>744</v>
      </c>
      <c r="B22" s="50">
        <v>46118</v>
      </c>
      <c r="C22" s="53" t="s">
        <v>261</v>
      </c>
      <c r="D22" s="144" t="s">
        <v>745</v>
      </c>
      <c r="E22" s="233"/>
      <c r="F22" s="233">
        <f t="shared" si="0"/>
        <v>18000</v>
      </c>
      <c r="G22" s="237">
        <v>186.29</v>
      </c>
      <c r="H22" s="234">
        <f t="shared" si="1"/>
        <v>6347.3</v>
      </c>
      <c r="I22" s="234">
        <f t="shared" si="2"/>
        <v>11652.700000000003</v>
      </c>
      <c r="J22" s="235"/>
    </row>
    <row r="23" spans="1:10" s="223" customFormat="1" ht="12.75" customHeight="1" x14ac:dyDescent="0.2">
      <c r="A23" s="70" t="s">
        <v>744</v>
      </c>
      <c r="B23" s="50">
        <v>46118</v>
      </c>
      <c r="C23" s="268">
        <v>9500</v>
      </c>
      <c r="D23" s="66" t="s">
        <v>746</v>
      </c>
      <c r="E23" s="233"/>
      <c r="F23" s="233">
        <f t="shared" si="0"/>
        <v>18000</v>
      </c>
      <c r="G23" s="237">
        <v>1523.6</v>
      </c>
      <c r="H23" s="234">
        <f t="shared" si="1"/>
        <v>7870.9</v>
      </c>
      <c r="I23" s="234">
        <f t="shared" si="2"/>
        <v>10129.100000000002</v>
      </c>
      <c r="J23" s="235"/>
    </row>
    <row r="24" spans="1:10" s="223" customFormat="1" ht="12.75" customHeight="1" x14ac:dyDescent="0.2">
      <c r="A24" s="70" t="s">
        <v>869</v>
      </c>
      <c r="B24" s="50">
        <v>46149</v>
      </c>
      <c r="C24" s="53" t="s">
        <v>261</v>
      </c>
      <c r="D24" s="144" t="s">
        <v>870</v>
      </c>
      <c r="E24" s="233"/>
      <c r="F24" s="233">
        <f t="shared" si="0"/>
        <v>18000</v>
      </c>
      <c r="G24" s="237">
        <v>219.55</v>
      </c>
      <c r="H24" s="234">
        <f t="shared" si="1"/>
        <v>8090.45</v>
      </c>
      <c r="I24" s="234">
        <f t="shared" si="2"/>
        <v>9909.5500000000029</v>
      </c>
      <c r="J24" s="235"/>
    </row>
    <row r="25" spans="1:10" s="223" customFormat="1" ht="12.75" customHeight="1" x14ac:dyDescent="0.2">
      <c r="A25" s="70" t="s">
        <v>869</v>
      </c>
      <c r="B25" s="50">
        <v>46149</v>
      </c>
      <c r="C25" s="268">
        <v>9500</v>
      </c>
      <c r="D25" s="66" t="s">
        <v>871</v>
      </c>
      <c r="E25" s="233"/>
      <c r="F25" s="233">
        <f t="shared" si="0"/>
        <v>18000</v>
      </c>
      <c r="G25" s="237">
        <v>2293.8000000000002</v>
      </c>
      <c r="H25" s="234">
        <f t="shared" si="1"/>
        <v>10384.25</v>
      </c>
      <c r="I25" s="234">
        <f t="shared" si="2"/>
        <v>7615.7500000000027</v>
      </c>
      <c r="J25" s="235"/>
    </row>
    <row r="26" spans="1:10" s="223" customFormat="1" ht="12.75" customHeight="1" x14ac:dyDescent="0.2">
      <c r="A26" s="70" t="s">
        <v>984</v>
      </c>
      <c r="B26" s="50">
        <v>46181</v>
      </c>
      <c r="C26" s="53" t="s">
        <v>261</v>
      </c>
      <c r="D26" s="144" t="s">
        <v>985</v>
      </c>
      <c r="E26" s="233"/>
      <c r="F26" s="233">
        <f t="shared" si="0"/>
        <v>18000</v>
      </c>
      <c r="G26" s="237">
        <v>117.01</v>
      </c>
      <c r="H26" s="234">
        <f t="shared" si="1"/>
        <v>10501.26</v>
      </c>
      <c r="I26" s="234">
        <f t="shared" si="2"/>
        <v>7498.7400000000025</v>
      </c>
      <c r="J26" s="235"/>
    </row>
    <row r="27" spans="1:10" s="223" customFormat="1" ht="12.75" customHeight="1" x14ac:dyDescent="0.2">
      <c r="A27" s="70" t="s">
        <v>984</v>
      </c>
      <c r="B27" s="50">
        <v>46181</v>
      </c>
      <c r="C27" s="268">
        <v>9500</v>
      </c>
      <c r="D27" s="66" t="s">
        <v>986</v>
      </c>
      <c r="E27" s="233"/>
      <c r="F27" s="233">
        <f t="shared" si="0"/>
        <v>18000</v>
      </c>
      <c r="G27" s="237">
        <v>1431.6</v>
      </c>
      <c r="H27" s="234">
        <f t="shared" si="1"/>
        <v>11932.86</v>
      </c>
      <c r="I27" s="234">
        <f t="shared" si="2"/>
        <v>6067.1400000000031</v>
      </c>
      <c r="J27" s="235"/>
    </row>
    <row r="28" spans="1:10" s="223" customFormat="1" ht="12.75" customHeight="1" x14ac:dyDescent="0.2">
      <c r="A28" s="70" t="s">
        <v>1186</v>
      </c>
      <c r="B28" s="50">
        <v>46211</v>
      </c>
      <c r="C28" s="53" t="s">
        <v>261</v>
      </c>
      <c r="D28" s="144" t="s">
        <v>1187</v>
      </c>
      <c r="E28" s="233"/>
      <c r="F28" s="233">
        <f t="shared" si="0"/>
        <v>18000</v>
      </c>
      <c r="G28" s="237">
        <v>97.81</v>
      </c>
      <c r="H28" s="234">
        <f t="shared" si="1"/>
        <v>12030.67</v>
      </c>
      <c r="I28" s="234">
        <f t="shared" si="2"/>
        <v>5969.3300000000027</v>
      </c>
      <c r="J28" s="235"/>
    </row>
    <row r="29" spans="1:10" s="223" customFormat="1" ht="12.75" customHeight="1" x14ac:dyDescent="0.2">
      <c r="A29" s="70" t="s">
        <v>1186</v>
      </c>
      <c r="B29" s="50">
        <v>46211</v>
      </c>
      <c r="C29" s="268">
        <v>9500</v>
      </c>
      <c r="D29" s="66" t="s">
        <v>1188</v>
      </c>
      <c r="E29" s="233"/>
      <c r="F29" s="233">
        <f t="shared" si="0"/>
        <v>18000</v>
      </c>
      <c r="G29" s="237">
        <v>1126.3</v>
      </c>
      <c r="H29" s="234">
        <f t="shared" si="1"/>
        <v>13156.97</v>
      </c>
      <c r="I29" s="234">
        <f t="shared" si="2"/>
        <v>4843.0300000000025</v>
      </c>
      <c r="J29" s="235"/>
    </row>
    <row r="30" spans="1:10" s="223" customFormat="1" ht="12.75" customHeight="1" x14ac:dyDescent="0.25">
      <c r="A30" s="70" t="s">
        <v>1265</v>
      </c>
      <c r="B30" s="50">
        <v>46218</v>
      </c>
      <c r="C30" s="53" t="s">
        <v>261</v>
      </c>
      <c r="D30" s="144" t="s">
        <v>1266</v>
      </c>
      <c r="E30"/>
      <c r="F30" s="233">
        <f t="shared" si="0"/>
        <v>18000</v>
      </c>
      <c r="G30" s="237">
        <v>38.89</v>
      </c>
      <c r="H30" s="234">
        <f t="shared" si="1"/>
        <v>13195.859999999999</v>
      </c>
      <c r="I30" s="234">
        <f t="shared" si="2"/>
        <v>4804.1400000000021</v>
      </c>
      <c r="J30" s="235"/>
    </row>
    <row r="31" spans="1:10" s="223" customFormat="1" ht="12.75" customHeight="1" x14ac:dyDescent="0.25">
      <c r="A31" s="70" t="s">
        <v>1436</v>
      </c>
      <c r="B31" s="365">
        <v>46241</v>
      </c>
      <c r="C31" s="53" t="s">
        <v>261</v>
      </c>
      <c r="D31" s="144" t="s">
        <v>1437</v>
      </c>
      <c r="E31"/>
      <c r="F31" s="233">
        <f t="shared" si="0"/>
        <v>18000</v>
      </c>
      <c r="G31" s="237">
        <v>147.61000000000001</v>
      </c>
      <c r="H31" s="234">
        <f t="shared" si="1"/>
        <v>13343.47</v>
      </c>
      <c r="I31" s="234">
        <f t="shared" si="2"/>
        <v>4656.5300000000025</v>
      </c>
      <c r="J31" s="235"/>
    </row>
    <row r="32" spans="1:10" s="223" customFormat="1" ht="12.75" customHeight="1" x14ac:dyDescent="0.25">
      <c r="A32" s="70" t="s">
        <v>1436</v>
      </c>
      <c r="B32" s="365">
        <v>46241</v>
      </c>
      <c r="C32" s="268">
        <v>9500</v>
      </c>
      <c r="D32" s="66" t="s">
        <v>1438</v>
      </c>
      <c r="E32"/>
      <c r="F32" s="233">
        <f t="shared" si="0"/>
        <v>18000</v>
      </c>
      <c r="G32" s="237">
        <v>1582.7</v>
      </c>
      <c r="H32" s="234">
        <f t="shared" si="1"/>
        <v>14926.17</v>
      </c>
      <c r="I32" s="234">
        <f t="shared" si="2"/>
        <v>3073.8300000000027</v>
      </c>
      <c r="J32" s="235"/>
    </row>
    <row r="33" spans="1:10" s="223" customFormat="1" ht="12.75" customHeight="1" x14ac:dyDescent="0.25">
      <c r="A33" s="70" t="s">
        <v>1531</v>
      </c>
      <c r="B33" s="365">
        <v>46272</v>
      </c>
      <c r="C33" s="53" t="s">
        <v>261</v>
      </c>
      <c r="D33" s="144" t="s">
        <v>1532</v>
      </c>
      <c r="E33"/>
      <c r="F33" s="233">
        <f t="shared" si="0"/>
        <v>18000</v>
      </c>
      <c r="G33" s="237">
        <v>169.79</v>
      </c>
      <c r="H33" s="234">
        <f t="shared" si="1"/>
        <v>15095.960000000001</v>
      </c>
      <c r="I33" s="234">
        <f t="shared" si="2"/>
        <v>2904.0400000000027</v>
      </c>
      <c r="J33" s="235"/>
    </row>
    <row r="34" spans="1:10" s="223" customFormat="1" ht="12.75" customHeight="1" x14ac:dyDescent="0.25">
      <c r="A34" s="70" t="s">
        <v>1531</v>
      </c>
      <c r="B34" s="365">
        <v>46272</v>
      </c>
      <c r="C34" s="268">
        <v>9500</v>
      </c>
      <c r="D34" s="66" t="s">
        <v>1533</v>
      </c>
      <c r="E34"/>
      <c r="F34" s="233">
        <f t="shared" si="0"/>
        <v>18000</v>
      </c>
      <c r="G34" s="237">
        <v>1650.7</v>
      </c>
      <c r="H34" s="234">
        <f t="shared" si="1"/>
        <v>16746.66</v>
      </c>
      <c r="I34" s="234">
        <f t="shared" si="2"/>
        <v>1253.3400000000026</v>
      </c>
      <c r="J34" s="235"/>
    </row>
    <row r="35" spans="1:10" s="223" customFormat="1" ht="12.75" customHeight="1" x14ac:dyDescent="0.25">
      <c r="A35" s="70"/>
      <c r="B35" s="365"/>
      <c r="C35" s="268"/>
      <c r="D35" s="66"/>
      <c r="E35"/>
      <c r="F35" s="233">
        <f t="shared" si="0"/>
        <v>18000</v>
      </c>
      <c r="G35" s="237"/>
      <c r="H35" s="234">
        <f t="shared" si="1"/>
        <v>16746.66</v>
      </c>
      <c r="I35" s="234">
        <f t="shared" si="2"/>
        <v>1253.3400000000026</v>
      </c>
      <c r="J35" s="235"/>
    </row>
    <row r="36" spans="1:10" s="223" customFormat="1" ht="12.75" customHeight="1" x14ac:dyDescent="0.25">
      <c r="A36" s="70"/>
      <c r="B36" s="365"/>
      <c r="C36" s="268"/>
      <c r="D36" s="66"/>
      <c r="E36"/>
      <c r="F36" s="233">
        <f t="shared" si="0"/>
        <v>18000</v>
      </c>
      <c r="G36" s="237"/>
      <c r="H36" s="234">
        <f t="shared" si="1"/>
        <v>16746.66</v>
      </c>
      <c r="I36" s="234">
        <f t="shared" si="2"/>
        <v>1253.3400000000026</v>
      </c>
      <c r="J36" s="235"/>
    </row>
    <row r="37" spans="1:10" s="223" customFormat="1" ht="12.75" customHeight="1" x14ac:dyDescent="0.25">
      <c r="A37" s="70"/>
      <c r="B37" s="50"/>
      <c r="C37" s="53"/>
      <c r="D37" s="144"/>
      <c r="E37"/>
      <c r="F37" s="233">
        <f t="shared" si="0"/>
        <v>18000</v>
      </c>
      <c r="G37" s="238"/>
      <c r="H37" s="234">
        <f t="shared" si="1"/>
        <v>16746.66</v>
      </c>
      <c r="I37" s="234">
        <f t="shared" si="2"/>
        <v>1253.3400000000026</v>
      </c>
      <c r="J37" s="235"/>
    </row>
    <row r="38" spans="1:10" s="223" customFormat="1" ht="12.75" customHeight="1" x14ac:dyDescent="0.25">
      <c r="A38" s="230"/>
      <c r="B38" s="231"/>
      <c r="C38" s="241"/>
      <c r="D38" s="240"/>
      <c r="E38" s="234"/>
      <c r="F38" s="233"/>
      <c r="G38" s="234"/>
      <c r="H38" s="234"/>
      <c r="I38" s="234"/>
      <c r="J38" s="235"/>
    </row>
    <row r="39" spans="1:10" s="223" customFormat="1" ht="12.75" customHeight="1" thickBot="1" x14ac:dyDescent="0.3">
      <c r="A39" s="230"/>
      <c r="B39" s="243"/>
      <c r="C39" s="241"/>
      <c r="D39" s="244" t="s">
        <v>24</v>
      </c>
      <c r="E39" s="245">
        <f>SUM(E9:E38)</f>
        <v>18000</v>
      </c>
      <c r="F39" s="245"/>
      <c r="G39" s="245">
        <f>SUM(G9:G38)</f>
        <v>16746.66</v>
      </c>
      <c r="H39" s="245"/>
      <c r="I39" s="245">
        <f>E39-G39</f>
        <v>1253.3400000000001</v>
      </c>
      <c r="J39" s="235"/>
    </row>
    <row r="40" spans="1:10" s="223" customFormat="1" ht="12.75" customHeight="1" thickTop="1" x14ac:dyDescent="0.25"/>
  </sheetData>
  <pageMargins left="0.25" right="0.25" top="0.95" bottom="0.75" header="0.09" footer="0.3"/>
  <pageSetup scale="6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E49B8-811E-4614-96FF-2B692728C4F8}">
  <sheetPr>
    <pageSetUpPr fitToPage="1"/>
  </sheetPr>
  <dimension ref="A1:H23"/>
  <sheetViews>
    <sheetView zoomScaleNormal="100" workbookViewId="0">
      <selection activeCell="E14" sqref="E14"/>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42.7109375" customWidth="1"/>
    <col min="6" max="6" width="13.4257812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#9506.00'!B1</f>
        <v>DOC MPCF Perimeter Fence and Wagon Gates</v>
      </c>
      <c r="B1" s="3"/>
      <c r="C1" s="3"/>
      <c r="D1" s="3"/>
      <c r="E1" s="4"/>
      <c r="F1" s="4"/>
      <c r="G1" s="4"/>
      <c r="H1" s="28"/>
    </row>
    <row r="2" spans="1:8" ht="15.75" x14ac:dyDescent="0.25">
      <c r="A2" s="6" t="str">
        <f>'RECAP #9506.00'!B2</f>
        <v>Project # 9506.00</v>
      </c>
      <c r="B2" s="5"/>
      <c r="C2" s="5"/>
      <c r="D2" s="5"/>
      <c r="E2" s="4"/>
      <c r="F2" s="4"/>
      <c r="G2" s="4"/>
      <c r="H2" s="28"/>
    </row>
    <row r="3" spans="1:8" ht="15.75" x14ac:dyDescent="0.25">
      <c r="A3" s="7" t="str">
        <f>'RECAP #9506.00'!B3</f>
        <v>Program code 950600</v>
      </c>
      <c r="B3" s="5"/>
      <c r="C3" s="5"/>
      <c r="D3" s="5"/>
      <c r="E3" s="8" t="str">
        <f>'RECAP #9506.00'!E3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336</v>
      </c>
      <c r="F6" s="35"/>
      <c r="G6" s="38"/>
      <c r="H6" s="39"/>
    </row>
    <row r="7" spans="1:8" ht="15.75" x14ac:dyDescent="0.25">
      <c r="A7" s="11" t="str">
        <f>'RECAP #9506.00'!B6</f>
        <v>Project Manager - Brandon A.</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534</v>
      </c>
      <c r="B9" s="177">
        <v>46057</v>
      </c>
      <c r="C9" s="241" t="s">
        <v>361</v>
      </c>
      <c r="D9" s="241" t="s">
        <v>362</v>
      </c>
      <c r="E9" s="70" t="s">
        <v>359</v>
      </c>
      <c r="F9" s="259" t="s">
        <v>533</v>
      </c>
      <c r="G9" s="237">
        <v>13.5</v>
      </c>
      <c r="H9" s="260">
        <f>G9</f>
        <v>13.5</v>
      </c>
    </row>
    <row r="10" spans="1:8" s="223" customFormat="1" ht="12.75" customHeight="1" x14ac:dyDescent="0.25">
      <c r="A10" s="176" t="s">
        <v>812</v>
      </c>
      <c r="B10" s="177">
        <v>46132</v>
      </c>
      <c r="C10" s="241" t="s">
        <v>361</v>
      </c>
      <c r="D10" s="241" t="s">
        <v>362</v>
      </c>
      <c r="E10" s="258" t="s">
        <v>811</v>
      </c>
      <c r="F10" s="272" t="s">
        <v>810</v>
      </c>
      <c r="G10" s="237">
        <v>400</v>
      </c>
      <c r="H10" s="260">
        <f>H9+G10</f>
        <v>413.5</v>
      </c>
    </row>
    <row r="11" spans="1:8" s="223" customFormat="1" ht="12.75" customHeight="1" x14ac:dyDescent="0.25">
      <c r="A11" s="176" t="s">
        <v>857</v>
      </c>
      <c r="B11" s="177">
        <v>46153</v>
      </c>
      <c r="C11" s="241" t="s">
        <v>361</v>
      </c>
      <c r="D11" s="241" t="s">
        <v>362</v>
      </c>
      <c r="E11" s="258" t="s">
        <v>811</v>
      </c>
      <c r="F11" s="272" t="s">
        <v>856</v>
      </c>
      <c r="G11" s="237">
        <v>3375.2</v>
      </c>
      <c r="H11" s="260">
        <f t="shared" ref="H11:H20" si="0">H10+G11</f>
        <v>3788.7</v>
      </c>
    </row>
    <row r="12" spans="1:8" s="223" customFormat="1" ht="12.75" customHeight="1" x14ac:dyDescent="0.25">
      <c r="A12" s="176" t="s">
        <v>1445</v>
      </c>
      <c r="B12" s="177">
        <v>46251</v>
      </c>
      <c r="C12" s="241" t="s">
        <v>361</v>
      </c>
      <c r="D12" s="241" t="s">
        <v>362</v>
      </c>
      <c r="E12" s="258" t="s">
        <v>811</v>
      </c>
      <c r="F12" s="272" t="s">
        <v>1446</v>
      </c>
      <c r="G12" s="237">
        <v>1400</v>
      </c>
      <c r="H12" s="260">
        <f t="shared" si="0"/>
        <v>5188.7</v>
      </c>
    </row>
    <row r="13" spans="1:8" s="223" customFormat="1" ht="12.75" customHeight="1" x14ac:dyDescent="0.25">
      <c r="A13" s="241" t="s">
        <v>2</v>
      </c>
      <c r="B13" s="177" t="s">
        <v>2</v>
      </c>
      <c r="C13" s="177"/>
      <c r="D13" s="177"/>
      <c r="E13" s="258" t="s">
        <v>2</v>
      </c>
      <c r="F13" s="252"/>
      <c r="G13" s="260"/>
      <c r="H13" s="260">
        <f t="shared" si="0"/>
        <v>5188.7</v>
      </c>
    </row>
    <row r="14" spans="1:8" s="223" customFormat="1" ht="12.75" customHeight="1" x14ac:dyDescent="0.25">
      <c r="A14" s="241"/>
      <c r="B14" s="177"/>
      <c r="C14" s="177"/>
      <c r="D14" s="177"/>
      <c r="E14" s="258"/>
      <c r="F14" s="252"/>
      <c r="G14" s="260"/>
      <c r="H14" s="260">
        <f t="shared" si="0"/>
        <v>5188.7</v>
      </c>
    </row>
    <row r="15" spans="1:8" s="223" customFormat="1" ht="12.75" customHeight="1" x14ac:dyDescent="0.25">
      <c r="A15" s="241"/>
      <c r="B15" s="177"/>
      <c r="C15" s="177"/>
      <c r="D15" s="177"/>
      <c r="E15" s="261"/>
      <c r="F15" s="252"/>
      <c r="G15" s="260"/>
      <c r="H15" s="260">
        <f t="shared" si="0"/>
        <v>5188.7</v>
      </c>
    </row>
    <row r="16" spans="1:8" s="223" customFormat="1" ht="12.75" customHeight="1" x14ac:dyDescent="0.25">
      <c r="A16" s="241"/>
      <c r="B16" s="177"/>
      <c r="C16" s="177"/>
      <c r="D16" s="177"/>
      <c r="E16" s="258"/>
      <c r="F16" s="252"/>
      <c r="G16" s="260"/>
      <c r="H16" s="260">
        <f t="shared" si="0"/>
        <v>5188.7</v>
      </c>
    </row>
    <row r="17" spans="1:8" s="223" customFormat="1" ht="12.75" customHeight="1" x14ac:dyDescent="0.25">
      <c r="A17" s="230"/>
      <c r="B17" s="177"/>
      <c r="C17" s="177"/>
      <c r="D17" s="177"/>
      <c r="E17" s="258"/>
      <c r="F17" s="252"/>
      <c r="G17" s="260"/>
      <c r="H17" s="260">
        <f t="shared" si="0"/>
        <v>5188.7</v>
      </c>
    </row>
    <row r="18" spans="1:8" s="223" customFormat="1" ht="12.75" customHeight="1" x14ac:dyDescent="0.25">
      <c r="A18" s="230"/>
      <c r="B18" s="177"/>
      <c r="C18" s="177"/>
      <c r="D18" s="177"/>
      <c r="E18" s="258"/>
      <c r="F18" s="252"/>
      <c r="G18" s="260"/>
      <c r="H18" s="260">
        <f t="shared" si="0"/>
        <v>5188.7</v>
      </c>
    </row>
    <row r="19" spans="1:8" s="223" customFormat="1" ht="12.75" customHeight="1" x14ac:dyDescent="0.25">
      <c r="A19" s="230"/>
      <c r="B19" s="177"/>
      <c r="C19" s="177"/>
      <c r="D19" s="177"/>
      <c r="E19" s="258"/>
      <c r="F19" s="252"/>
      <c r="G19" s="260"/>
      <c r="H19" s="260">
        <f t="shared" si="0"/>
        <v>5188.7</v>
      </c>
    </row>
    <row r="20" spans="1:8" s="223" customFormat="1" ht="12.75" customHeight="1" x14ac:dyDescent="0.25">
      <c r="A20" s="230"/>
      <c r="B20" s="177"/>
      <c r="C20" s="177"/>
      <c r="D20" s="177"/>
      <c r="E20" s="258"/>
      <c r="F20" s="252"/>
      <c r="G20" s="260"/>
      <c r="H20" s="260">
        <f t="shared" si="0"/>
        <v>5188.7</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5188.7</v>
      </c>
      <c r="H22" s="265"/>
    </row>
    <row r="23" spans="1:8" s="223" customFormat="1" ht="12.75" customHeight="1" thickTop="1" x14ac:dyDescent="0.25"/>
  </sheetData>
  <pageMargins left="0.25" right="0.25" top="0.95" bottom="0.75" header="0.09" footer="0.3"/>
  <pageSetup scale="7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83583-8DB4-44B0-BAEE-C32CC3EA24E9}">
  <sheetPr>
    <pageSetUpPr fitToPage="1"/>
  </sheetPr>
  <dimension ref="A1:I31"/>
  <sheetViews>
    <sheetView topLeftCell="A2" zoomScaleNormal="100" workbookViewId="0">
      <selection activeCell="A21" sqref="A21"/>
    </sheetView>
  </sheetViews>
  <sheetFormatPr defaultColWidth="11.42578125" defaultRowHeight="15" customHeight="1" x14ac:dyDescent="0.25"/>
  <cols>
    <col min="1" max="1" width="24.5703125" customWidth="1"/>
    <col min="2" max="2" width="9.42578125" customWidth="1"/>
    <col min="3" max="3" width="19.28515625" bestFit="1" customWidth="1"/>
    <col min="4" max="4" width="14.42578125" customWidth="1"/>
    <col min="5" max="5" width="13.5703125" customWidth="1"/>
    <col min="6" max="6" width="12.42578125" customWidth="1"/>
    <col min="7" max="7" width="10.5703125" customWidth="1"/>
    <col min="8" max="8" width="12.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#9506.00'!B1</f>
        <v>DOC MPCF Perimeter Fence and Wagon Gates</v>
      </c>
      <c r="B1" s="3"/>
      <c r="C1" s="4"/>
      <c r="D1" s="4"/>
      <c r="E1" s="4"/>
      <c r="F1" s="28"/>
      <c r="G1" s="28"/>
      <c r="H1" s="29"/>
      <c r="I1" s="29"/>
    </row>
    <row r="2" spans="1:9" ht="15.75" x14ac:dyDescent="0.25">
      <c r="A2" s="6" t="str">
        <f>'RECAP #9506.00'!B2</f>
        <v>Project # 9506.00</v>
      </c>
      <c r="B2" s="5"/>
      <c r="C2" s="4"/>
      <c r="D2" s="4"/>
      <c r="E2" s="4"/>
      <c r="F2" s="28"/>
      <c r="G2" s="28"/>
      <c r="H2" s="29"/>
      <c r="I2" s="29"/>
    </row>
    <row r="3" spans="1:9" ht="15.75" x14ac:dyDescent="0.25">
      <c r="A3" s="7" t="str">
        <f>'RECAP #9506.00'!B3</f>
        <v>Program code 950600</v>
      </c>
      <c r="B3" s="5"/>
      <c r="C3" s="4"/>
      <c r="D3" s="8" t="str">
        <f>'RECAP #9506.00'!E3</f>
        <v>Major Program 4E01</v>
      </c>
      <c r="E3" s="4"/>
      <c r="F3" s="28"/>
      <c r="G3" s="28"/>
      <c r="H3" s="29"/>
      <c r="I3" s="29"/>
    </row>
    <row r="4" spans="1:9" ht="15.75" x14ac:dyDescent="0.25">
      <c r="A4" s="30" t="s">
        <v>536</v>
      </c>
      <c r="B4" s="31"/>
      <c r="C4" s="32"/>
      <c r="D4" s="33" t="s">
        <v>537</v>
      </c>
      <c r="E4" s="28"/>
      <c r="F4" s="28"/>
      <c r="G4" s="28"/>
      <c r="H4" s="29"/>
      <c r="I4" s="29"/>
    </row>
    <row r="5" spans="1:9" ht="15.75" x14ac:dyDescent="0.25">
      <c r="A5" s="34" t="s">
        <v>541</v>
      </c>
      <c r="B5" s="35"/>
      <c r="C5" s="36"/>
      <c r="D5" s="37" t="s">
        <v>647</v>
      </c>
      <c r="E5" s="38"/>
      <c r="F5" s="39"/>
      <c r="G5" s="39"/>
      <c r="H5" s="35"/>
      <c r="I5" s="29"/>
    </row>
    <row r="6" spans="1:9" ht="15.75" x14ac:dyDescent="0.25">
      <c r="A6" s="11" t="str">
        <f>'RECAP #9506.00'!B6</f>
        <v>Project Manager - Brandon A.</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648</v>
      </c>
      <c r="B9" s="177">
        <v>46091</v>
      </c>
      <c r="C9" s="231" t="s">
        <v>109</v>
      </c>
      <c r="D9" s="232">
        <v>152244</v>
      </c>
      <c r="E9" s="233">
        <f>D9</f>
        <v>152244</v>
      </c>
      <c r="F9" s="234"/>
      <c r="G9" s="234"/>
      <c r="H9" s="234">
        <f>E9</f>
        <v>152244</v>
      </c>
      <c r="I9" s="235"/>
    </row>
    <row r="10" spans="1:9" s="223" customFormat="1" ht="12.75" customHeight="1" x14ac:dyDescent="0.25">
      <c r="A10" s="230" t="s">
        <v>755</v>
      </c>
      <c r="B10" s="236">
        <v>46121</v>
      </c>
      <c r="C10" s="231" t="s">
        <v>756</v>
      </c>
      <c r="D10" s="233"/>
      <c r="E10" s="233">
        <f t="shared" ref="E10:E21" si="0">E9+D10</f>
        <v>152244</v>
      </c>
      <c r="F10" s="237">
        <v>20929.2</v>
      </c>
      <c r="G10" s="234">
        <f t="shared" ref="G10:G21" si="1">G9+F10</f>
        <v>20929.2</v>
      </c>
      <c r="H10" s="234">
        <f t="shared" ref="H10:H21" si="2">H9-F10+D10</f>
        <v>131314.79999999999</v>
      </c>
      <c r="I10" s="235"/>
    </row>
    <row r="11" spans="1:9" s="223" customFormat="1" ht="12.75" customHeight="1" x14ac:dyDescent="0.25">
      <c r="A11" s="230" t="s">
        <v>880</v>
      </c>
      <c r="B11" s="177">
        <v>46161</v>
      </c>
      <c r="C11" s="231" t="s">
        <v>881</v>
      </c>
      <c r="D11" s="233"/>
      <c r="E11" s="233">
        <f t="shared" si="0"/>
        <v>152244</v>
      </c>
      <c r="F11" s="237">
        <v>48834.8</v>
      </c>
      <c r="G11" s="234">
        <f t="shared" si="1"/>
        <v>69764</v>
      </c>
      <c r="H11" s="234">
        <f t="shared" si="2"/>
        <v>82479.999999999985</v>
      </c>
      <c r="I11" s="235"/>
    </row>
    <row r="12" spans="1:9" s="223" customFormat="1" ht="12.75" customHeight="1" x14ac:dyDescent="0.25">
      <c r="A12" s="230" t="s">
        <v>1069</v>
      </c>
      <c r="B12" s="177">
        <v>46191</v>
      </c>
      <c r="C12" s="231" t="s">
        <v>1068</v>
      </c>
      <c r="D12" s="233"/>
      <c r="E12" s="233">
        <f t="shared" si="0"/>
        <v>152244</v>
      </c>
      <c r="F12" s="237">
        <v>25497</v>
      </c>
      <c r="G12" s="234">
        <f t="shared" si="1"/>
        <v>95261</v>
      </c>
      <c r="H12" s="234">
        <f t="shared" si="2"/>
        <v>56982.999999999985</v>
      </c>
      <c r="I12" s="235"/>
    </row>
    <row r="13" spans="1:9" s="223" customFormat="1" ht="12.75" customHeight="1" x14ac:dyDescent="0.25">
      <c r="A13" s="328" t="s">
        <v>1207</v>
      </c>
      <c r="B13" s="329">
        <v>46216</v>
      </c>
      <c r="C13" s="330" t="s">
        <v>1208</v>
      </c>
      <c r="D13" s="331"/>
      <c r="E13" s="331">
        <f t="shared" si="0"/>
        <v>152244</v>
      </c>
      <c r="F13" s="338">
        <v>12748.5</v>
      </c>
      <c r="G13" s="332">
        <f t="shared" si="1"/>
        <v>108009.5</v>
      </c>
      <c r="H13" s="332">
        <f t="shared" si="2"/>
        <v>44234.499999999985</v>
      </c>
      <c r="I13" s="333" t="s">
        <v>1285</v>
      </c>
    </row>
    <row r="14" spans="1:9" s="223" customFormat="1" ht="12.75" customHeight="1" x14ac:dyDescent="0.25">
      <c r="A14" s="230" t="s">
        <v>1321</v>
      </c>
      <c r="B14" s="177">
        <v>46225</v>
      </c>
      <c r="C14" s="231" t="s">
        <v>1286</v>
      </c>
      <c r="D14" s="232">
        <v>0</v>
      </c>
      <c r="E14" s="233">
        <f t="shared" si="0"/>
        <v>152244</v>
      </c>
      <c r="F14" s="234"/>
      <c r="G14" s="234">
        <f t="shared" si="1"/>
        <v>108009.5</v>
      </c>
      <c r="H14" s="234">
        <f t="shared" si="2"/>
        <v>44234.499999999985</v>
      </c>
      <c r="I14" s="235"/>
    </row>
    <row r="15" spans="1:9" s="223" customFormat="1" ht="12.75" customHeight="1" x14ac:dyDescent="0.25">
      <c r="A15" s="230"/>
      <c r="B15" s="177"/>
      <c r="C15" s="231"/>
      <c r="D15" s="233"/>
      <c r="E15" s="233">
        <f t="shared" si="0"/>
        <v>152244</v>
      </c>
      <c r="F15" s="238"/>
      <c r="G15" s="234">
        <f t="shared" si="1"/>
        <v>108009.5</v>
      </c>
      <c r="H15" s="234">
        <f t="shared" si="2"/>
        <v>44234.499999999985</v>
      </c>
      <c r="I15" s="235"/>
    </row>
    <row r="16" spans="1:9" s="223" customFormat="1" ht="12.75" customHeight="1" x14ac:dyDescent="0.25">
      <c r="A16" s="230"/>
      <c r="B16" s="177"/>
      <c r="C16" s="231"/>
      <c r="D16" s="233"/>
      <c r="E16" s="233">
        <f t="shared" si="0"/>
        <v>152244</v>
      </c>
      <c r="F16" s="238"/>
      <c r="G16" s="234">
        <f t="shared" si="1"/>
        <v>108009.5</v>
      </c>
      <c r="H16" s="234">
        <f t="shared" si="2"/>
        <v>44234.499999999985</v>
      </c>
      <c r="I16" s="235"/>
    </row>
    <row r="17" spans="1:9" s="223" customFormat="1" ht="12.75" customHeight="1" x14ac:dyDescent="0.25">
      <c r="A17" s="230"/>
      <c r="B17" s="177"/>
      <c r="C17" s="231"/>
      <c r="D17" s="233"/>
      <c r="E17" s="233">
        <f t="shared" si="0"/>
        <v>152244</v>
      </c>
      <c r="F17" s="238"/>
      <c r="G17" s="234">
        <f t="shared" si="1"/>
        <v>108009.5</v>
      </c>
      <c r="H17" s="234">
        <f t="shared" si="2"/>
        <v>44234.499999999985</v>
      </c>
      <c r="I17" s="235"/>
    </row>
    <row r="18" spans="1:9" s="223" customFormat="1" ht="12.75" customHeight="1" x14ac:dyDescent="0.25">
      <c r="A18" s="230"/>
      <c r="B18" s="177"/>
      <c r="C18" s="231"/>
      <c r="D18" s="233"/>
      <c r="E18" s="233">
        <f t="shared" si="0"/>
        <v>152244</v>
      </c>
      <c r="F18" s="238"/>
      <c r="G18" s="234">
        <f t="shared" si="1"/>
        <v>108009.5</v>
      </c>
      <c r="H18" s="234">
        <f t="shared" si="2"/>
        <v>44234.499999999985</v>
      </c>
      <c r="I18" s="235"/>
    </row>
    <row r="19" spans="1:9" s="223" customFormat="1" ht="12.75" customHeight="1" x14ac:dyDescent="0.25">
      <c r="A19" s="230"/>
      <c r="B19" s="177"/>
      <c r="C19" s="231"/>
      <c r="D19" s="233"/>
      <c r="E19" s="233">
        <f t="shared" si="0"/>
        <v>152244</v>
      </c>
      <c r="F19" s="234"/>
      <c r="G19" s="234">
        <f t="shared" si="1"/>
        <v>108009.5</v>
      </c>
      <c r="H19" s="234">
        <f t="shared" si="2"/>
        <v>44234.499999999985</v>
      </c>
      <c r="I19" s="235"/>
    </row>
    <row r="20" spans="1:9" s="223" customFormat="1" ht="12.75" customHeight="1" x14ac:dyDescent="0.25">
      <c r="A20" s="230"/>
      <c r="B20" s="177"/>
      <c r="C20" s="231"/>
      <c r="D20" s="233"/>
      <c r="E20" s="233">
        <f t="shared" si="0"/>
        <v>152244</v>
      </c>
      <c r="F20" s="234"/>
      <c r="G20" s="234">
        <f t="shared" si="1"/>
        <v>108009.5</v>
      </c>
      <c r="H20" s="234">
        <f t="shared" si="2"/>
        <v>44234.499999999985</v>
      </c>
      <c r="I20" s="235"/>
    </row>
    <row r="21" spans="1:9" s="223" customFormat="1" ht="12.75" customHeight="1" x14ac:dyDescent="0.25">
      <c r="A21" s="230"/>
      <c r="B21" s="177"/>
      <c r="C21" s="239"/>
      <c r="D21" s="233"/>
      <c r="E21" s="233">
        <f t="shared" si="0"/>
        <v>152244</v>
      </c>
      <c r="F21" s="234"/>
      <c r="G21" s="234">
        <f t="shared" si="1"/>
        <v>108009.5</v>
      </c>
      <c r="H21" s="234">
        <f t="shared" si="2"/>
        <v>44234.499999999985</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152244</v>
      </c>
      <c r="E23" s="245"/>
      <c r="F23" s="245">
        <f>SUM(F9:F22)</f>
        <v>108009.5</v>
      </c>
      <c r="G23" s="245"/>
      <c r="H23" s="245">
        <f>D23-F23</f>
        <v>44234.5</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t="s">
        <v>457</v>
      </c>
      <c r="D26" s="234">
        <v>69764</v>
      </c>
      <c r="E26" s="234"/>
      <c r="F26" s="234">
        <f>20929.2+48834.8</f>
        <v>69764</v>
      </c>
      <c r="G26" s="234"/>
      <c r="H26" s="234">
        <f>D26-F26</f>
        <v>0</v>
      </c>
      <c r="I26" s="235"/>
    </row>
    <row r="27" spans="1:9" s="223" customFormat="1" ht="12.75" customHeight="1" x14ac:dyDescent="0.25">
      <c r="A27" s="230"/>
      <c r="B27" s="231"/>
      <c r="C27" s="240" t="s">
        <v>121</v>
      </c>
      <c r="D27" s="234">
        <v>50994</v>
      </c>
      <c r="E27" s="234"/>
      <c r="F27" s="234">
        <f>25497+12748.5</f>
        <v>38245.5</v>
      </c>
      <c r="G27" s="234"/>
      <c r="H27" s="234">
        <f>D27-F27</f>
        <v>12748.5</v>
      </c>
      <c r="I27" s="235"/>
    </row>
    <row r="28" spans="1:9" s="223" customFormat="1" ht="12.75" customHeight="1" x14ac:dyDescent="0.25">
      <c r="A28" s="230"/>
      <c r="B28" s="231"/>
      <c r="C28" s="253" t="s">
        <v>300</v>
      </c>
      <c r="D28" s="254">
        <v>2592</v>
      </c>
      <c r="E28" s="254"/>
      <c r="F28" s="254"/>
      <c r="G28" s="254"/>
      <c r="H28" s="234">
        <f>D28-F28</f>
        <v>2592</v>
      </c>
      <c r="I28" s="235"/>
    </row>
    <row r="29" spans="1:9" s="223" customFormat="1" ht="12.75" customHeight="1" x14ac:dyDescent="0.25">
      <c r="A29" s="230"/>
      <c r="B29" s="231"/>
      <c r="C29" s="253" t="s">
        <v>649</v>
      </c>
      <c r="D29" s="254">
        <v>28894</v>
      </c>
      <c r="E29" s="254"/>
      <c r="F29" s="254"/>
      <c r="G29" s="254"/>
      <c r="H29" s="234">
        <f>D29-F29</f>
        <v>28894</v>
      </c>
      <c r="I29" s="235"/>
    </row>
    <row r="30" spans="1:9" s="223" customFormat="1" ht="12.75" customHeight="1" thickBot="1" x14ac:dyDescent="0.3">
      <c r="A30" s="230"/>
      <c r="B30" s="231"/>
      <c r="C30" s="255" t="s">
        <v>67</v>
      </c>
      <c r="D30" s="256">
        <f>SUM(D26:D29)</f>
        <v>152244</v>
      </c>
      <c r="E30" s="257"/>
      <c r="F30" s="256">
        <f>SUM(F26:F29)</f>
        <v>108009.5</v>
      </c>
      <c r="G30" s="257"/>
      <c r="H30" s="256">
        <f>SUM(H26:H29)</f>
        <v>44234.5</v>
      </c>
      <c r="I30" s="235"/>
    </row>
    <row r="31" spans="1:9" s="223" customFormat="1" ht="12.75" customHeight="1" thickTop="1" x14ac:dyDescent="0.25"/>
  </sheetData>
  <conditionalFormatting sqref="I8:I12 I14:I23">
    <cfRule type="cellIs" dxfId="23" priority="1" operator="greaterThan">
      <formula>$H$23</formula>
    </cfRule>
  </conditionalFormatting>
  <pageMargins left="0.25" right="0.25" top="0.95" bottom="0.75" header="0.09" footer="0.3"/>
  <pageSetup scale="8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68808-0781-46C2-9ADA-8028B5088C6E}">
  <sheetPr>
    <pageSetUpPr fitToPage="1"/>
  </sheetPr>
  <dimension ref="A1:I35"/>
  <sheetViews>
    <sheetView zoomScaleNormal="100" workbookViewId="0">
      <selection activeCell="A18" sqref="A18"/>
    </sheetView>
  </sheetViews>
  <sheetFormatPr defaultColWidth="11.42578125" defaultRowHeight="15" customHeight="1" x14ac:dyDescent="0.25"/>
  <cols>
    <col min="1" max="1" width="24.5703125" customWidth="1"/>
    <col min="2" max="2" width="9.42578125" customWidth="1"/>
    <col min="3" max="3" width="27.7109375" customWidth="1"/>
    <col min="4" max="4" width="14.42578125" customWidth="1"/>
    <col min="5" max="5" width="13.5703125" customWidth="1"/>
    <col min="6" max="6" width="12.42578125" customWidth="1"/>
    <col min="7" max="7" width="10.5703125" customWidth="1"/>
    <col min="8" max="8" width="12.28515625" bestFit="1"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#9506.00'!B1</f>
        <v>DOC MPCF Perimeter Fence and Wagon Gates</v>
      </c>
      <c r="B1" s="3"/>
      <c r="C1" s="4"/>
      <c r="D1" s="4"/>
      <c r="E1" s="4"/>
      <c r="F1" s="28"/>
      <c r="G1" s="28"/>
      <c r="H1" s="29"/>
      <c r="I1" s="29"/>
    </row>
    <row r="2" spans="1:9" ht="15.75" x14ac:dyDescent="0.25">
      <c r="A2" s="6" t="str">
        <f>'RECAP #9506.00'!B2</f>
        <v>Project # 9506.00</v>
      </c>
      <c r="B2" s="5"/>
      <c r="C2" s="4"/>
      <c r="D2" s="4"/>
      <c r="E2" s="4"/>
      <c r="F2" s="28"/>
      <c r="G2" s="28"/>
      <c r="H2" s="29"/>
      <c r="I2" s="29"/>
    </row>
    <row r="3" spans="1:9" ht="15.75" x14ac:dyDescent="0.25">
      <c r="A3" s="7" t="str">
        <f>'RECAP #9506.00'!B3</f>
        <v>Program code 950600</v>
      </c>
      <c r="B3" s="5"/>
      <c r="C3" s="4"/>
      <c r="D3" s="8" t="str">
        <f>'RECAP #9506.00'!E3</f>
        <v>Major Program 4E01</v>
      </c>
      <c r="E3" s="4"/>
      <c r="F3" s="28"/>
      <c r="G3" s="28"/>
      <c r="H3" s="29"/>
      <c r="I3" s="29"/>
    </row>
    <row r="4" spans="1:9" ht="15.75" x14ac:dyDescent="0.25">
      <c r="A4" s="30" t="s">
        <v>567</v>
      </c>
      <c r="B4" s="31"/>
      <c r="C4" s="32"/>
      <c r="D4" s="33" t="s">
        <v>569</v>
      </c>
      <c r="E4" s="28"/>
      <c r="F4" s="28"/>
      <c r="G4" s="28"/>
      <c r="H4" s="29"/>
      <c r="I4" s="29"/>
    </row>
    <row r="5" spans="1:9" ht="15.75" x14ac:dyDescent="0.25">
      <c r="A5" s="34" t="s">
        <v>321</v>
      </c>
      <c r="B5" s="35"/>
      <c r="C5" s="36"/>
      <c r="D5" s="37" t="s">
        <v>568</v>
      </c>
      <c r="E5" s="38"/>
      <c r="F5" s="39"/>
      <c r="G5" s="39"/>
      <c r="H5" s="35"/>
      <c r="I5" s="29"/>
    </row>
    <row r="6" spans="1:9" ht="15.75" x14ac:dyDescent="0.25">
      <c r="A6" s="11" t="str">
        <f>'RECAP #9506.00'!B6</f>
        <v>Project Manager - Brandon A.</v>
      </c>
      <c r="B6" s="11"/>
      <c r="C6" s="40"/>
      <c r="D6" s="41" t="s">
        <v>287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766</v>
      </c>
      <c r="B9" s="177">
        <v>46125</v>
      </c>
      <c r="C9" s="231" t="s">
        <v>109</v>
      </c>
      <c r="D9" s="232">
        <v>7815</v>
      </c>
      <c r="E9" s="233">
        <f>D9</f>
        <v>7815</v>
      </c>
      <c r="F9" s="234"/>
      <c r="G9" s="234"/>
      <c r="H9" s="234">
        <f>E9</f>
        <v>7815</v>
      </c>
      <c r="I9" s="235"/>
    </row>
    <row r="10" spans="1:9" s="223" customFormat="1" ht="12.75" customHeight="1" x14ac:dyDescent="0.25">
      <c r="A10" s="328" t="s">
        <v>1385</v>
      </c>
      <c r="B10" s="335">
        <v>46233</v>
      </c>
      <c r="C10" s="330" t="s">
        <v>1386</v>
      </c>
      <c r="D10" s="331"/>
      <c r="E10" s="331">
        <f t="shared" ref="E10:E21" si="0">E9+D10</f>
        <v>7815</v>
      </c>
      <c r="F10" s="338">
        <v>2165.5</v>
      </c>
      <c r="G10" s="332">
        <f t="shared" ref="G10:G21" si="1">G9+F10</f>
        <v>2165.5</v>
      </c>
      <c r="H10" s="332">
        <f t="shared" ref="H10:H21" si="2">H9-F10+D10</f>
        <v>5649.5</v>
      </c>
      <c r="I10" s="333" t="s">
        <v>1285</v>
      </c>
    </row>
    <row r="11" spans="1:9" s="223" customFormat="1" ht="12.75" customHeight="1" x14ac:dyDescent="0.25">
      <c r="A11" s="230" t="s">
        <v>1387</v>
      </c>
      <c r="B11" s="177">
        <v>46233</v>
      </c>
      <c r="C11" s="231" t="s">
        <v>1286</v>
      </c>
      <c r="D11" s="232">
        <v>0</v>
      </c>
      <c r="E11" s="233">
        <f t="shared" si="0"/>
        <v>7815</v>
      </c>
      <c r="F11" s="238"/>
      <c r="G11" s="234">
        <f t="shared" si="1"/>
        <v>2165.5</v>
      </c>
      <c r="H11" s="234">
        <f t="shared" si="2"/>
        <v>5649.5</v>
      </c>
      <c r="I11" s="235"/>
    </row>
    <row r="12" spans="1:9" s="223" customFormat="1" ht="12.75" customHeight="1" x14ac:dyDescent="0.25">
      <c r="A12" s="230"/>
      <c r="B12" s="177"/>
      <c r="C12" s="231"/>
      <c r="D12" s="233"/>
      <c r="E12" s="233">
        <f t="shared" si="0"/>
        <v>7815</v>
      </c>
      <c r="F12" s="238"/>
      <c r="G12" s="234">
        <f t="shared" si="1"/>
        <v>2165.5</v>
      </c>
      <c r="H12" s="234">
        <f t="shared" si="2"/>
        <v>5649.5</v>
      </c>
      <c r="I12" s="235"/>
    </row>
    <row r="13" spans="1:9" s="223" customFormat="1" ht="12.75" customHeight="1" x14ac:dyDescent="0.25">
      <c r="A13" s="230"/>
      <c r="B13" s="177"/>
      <c r="C13" s="231"/>
      <c r="D13" s="233"/>
      <c r="E13" s="233">
        <f t="shared" si="0"/>
        <v>7815</v>
      </c>
      <c r="F13" s="238"/>
      <c r="G13" s="234">
        <f t="shared" si="1"/>
        <v>2165.5</v>
      </c>
      <c r="H13" s="234">
        <f t="shared" si="2"/>
        <v>5649.5</v>
      </c>
      <c r="I13" s="235"/>
    </row>
    <row r="14" spans="1:9" s="223" customFormat="1" ht="12.75" customHeight="1" x14ac:dyDescent="0.25">
      <c r="A14" s="230"/>
      <c r="B14" s="177"/>
      <c r="C14" s="231"/>
      <c r="D14" s="233"/>
      <c r="E14" s="233">
        <f t="shared" si="0"/>
        <v>7815</v>
      </c>
      <c r="F14" s="234"/>
      <c r="G14" s="234">
        <f t="shared" si="1"/>
        <v>2165.5</v>
      </c>
      <c r="H14" s="234">
        <f t="shared" si="2"/>
        <v>5649.5</v>
      </c>
      <c r="I14" s="235"/>
    </row>
    <row r="15" spans="1:9" s="223" customFormat="1" ht="12.75" customHeight="1" x14ac:dyDescent="0.25">
      <c r="A15" s="230"/>
      <c r="B15" s="177"/>
      <c r="C15" s="231"/>
      <c r="D15" s="233"/>
      <c r="E15" s="233">
        <f t="shared" si="0"/>
        <v>7815</v>
      </c>
      <c r="F15" s="238"/>
      <c r="G15" s="234">
        <f t="shared" si="1"/>
        <v>2165.5</v>
      </c>
      <c r="H15" s="234">
        <f t="shared" si="2"/>
        <v>5649.5</v>
      </c>
      <c r="I15" s="235"/>
    </row>
    <row r="16" spans="1:9" s="223" customFormat="1" ht="12.75" customHeight="1" x14ac:dyDescent="0.25">
      <c r="A16" s="230"/>
      <c r="B16" s="177"/>
      <c r="C16" s="231"/>
      <c r="D16" s="233"/>
      <c r="E16" s="233">
        <f t="shared" si="0"/>
        <v>7815</v>
      </c>
      <c r="F16" s="238"/>
      <c r="G16" s="234">
        <f t="shared" si="1"/>
        <v>2165.5</v>
      </c>
      <c r="H16" s="234">
        <f t="shared" si="2"/>
        <v>5649.5</v>
      </c>
      <c r="I16" s="235"/>
    </row>
    <row r="17" spans="1:9" s="223" customFormat="1" ht="12.75" customHeight="1" x14ac:dyDescent="0.25">
      <c r="A17" s="230"/>
      <c r="B17" s="177"/>
      <c r="C17" s="231"/>
      <c r="D17" s="233"/>
      <c r="E17" s="233">
        <f t="shared" si="0"/>
        <v>7815</v>
      </c>
      <c r="F17" s="238"/>
      <c r="G17" s="234">
        <f t="shared" si="1"/>
        <v>2165.5</v>
      </c>
      <c r="H17" s="234">
        <f t="shared" si="2"/>
        <v>5649.5</v>
      </c>
      <c r="I17" s="235"/>
    </row>
    <row r="18" spans="1:9" s="223" customFormat="1" ht="12.75" customHeight="1" x14ac:dyDescent="0.25">
      <c r="A18" s="230"/>
      <c r="B18" s="177"/>
      <c r="C18" s="231"/>
      <c r="D18" s="233"/>
      <c r="E18" s="233">
        <f t="shared" si="0"/>
        <v>7815</v>
      </c>
      <c r="F18" s="238"/>
      <c r="G18" s="234">
        <f t="shared" si="1"/>
        <v>2165.5</v>
      </c>
      <c r="H18" s="234">
        <f t="shared" si="2"/>
        <v>5649.5</v>
      </c>
      <c r="I18" s="235"/>
    </row>
    <row r="19" spans="1:9" s="223" customFormat="1" ht="12.75" customHeight="1" x14ac:dyDescent="0.25">
      <c r="A19" s="230"/>
      <c r="B19" s="177"/>
      <c r="C19" s="231"/>
      <c r="D19" s="233"/>
      <c r="E19" s="233">
        <f t="shared" si="0"/>
        <v>7815</v>
      </c>
      <c r="F19" s="234"/>
      <c r="G19" s="234">
        <f t="shared" si="1"/>
        <v>2165.5</v>
      </c>
      <c r="H19" s="234">
        <f t="shared" si="2"/>
        <v>5649.5</v>
      </c>
      <c r="I19" s="235"/>
    </row>
    <row r="20" spans="1:9" s="223" customFormat="1" ht="12.75" customHeight="1" x14ac:dyDescent="0.25">
      <c r="A20" s="230"/>
      <c r="B20" s="177"/>
      <c r="C20" s="231"/>
      <c r="D20" s="233"/>
      <c r="E20" s="233">
        <f t="shared" si="0"/>
        <v>7815</v>
      </c>
      <c r="F20" s="234"/>
      <c r="G20" s="234">
        <f t="shared" si="1"/>
        <v>2165.5</v>
      </c>
      <c r="H20" s="234">
        <f t="shared" si="2"/>
        <v>5649.5</v>
      </c>
      <c r="I20" s="235"/>
    </row>
    <row r="21" spans="1:9" s="223" customFormat="1" ht="12.75" customHeight="1" x14ac:dyDescent="0.25">
      <c r="A21" s="230"/>
      <c r="B21" s="177"/>
      <c r="C21" s="239"/>
      <c r="D21" s="233"/>
      <c r="E21" s="233">
        <f t="shared" si="0"/>
        <v>7815</v>
      </c>
      <c r="F21" s="234"/>
      <c r="G21" s="234">
        <f t="shared" si="1"/>
        <v>2165.5</v>
      </c>
      <c r="H21" s="234">
        <f t="shared" si="2"/>
        <v>5649.5</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7815</v>
      </c>
      <c r="E23" s="245"/>
      <c r="F23" s="245">
        <f>SUM(F9:F22)</f>
        <v>2165.5</v>
      </c>
      <c r="G23" s="245"/>
      <c r="H23" s="245">
        <f>D23-F23</f>
        <v>5649.5</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t="s">
        <v>768</v>
      </c>
      <c r="C26" s="240" t="s">
        <v>767</v>
      </c>
      <c r="D26" s="234">
        <v>420</v>
      </c>
      <c r="E26" s="234"/>
      <c r="F26" s="234">
        <f>350</f>
        <v>350</v>
      </c>
      <c r="G26" s="234"/>
      <c r="H26" s="234">
        <f>D26-F26</f>
        <v>70</v>
      </c>
      <c r="I26" s="235"/>
    </row>
    <row r="27" spans="1:9" s="223" customFormat="1" ht="12.75" customHeight="1" x14ac:dyDescent="0.25">
      <c r="A27" s="230"/>
      <c r="B27" s="231" t="s">
        <v>769</v>
      </c>
      <c r="C27" s="240" t="s">
        <v>835</v>
      </c>
      <c r="D27" s="234">
        <v>260</v>
      </c>
      <c r="E27" s="234"/>
      <c r="F27" s="234"/>
      <c r="G27" s="234"/>
      <c r="H27" s="234">
        <f t="shared" ref="H27:H33" si="3">D27-F27</f>
        <v>260</v>
      </c>
      <c r="I27" s="235"/>
    </row>
    <row r="28" spans="1:9" s="223" customFormat="1" ht="12.75" customHeight="1" x14ac:dyDescent="0.25">
      <c r="A28" s="230"/>
      <c r="B28" s="231" t="s">
        <v>770</v>
      </c>
      <c r="C28" s="240" t="s">
        <v>836</v>
      </c>
      <c r="D28" s="234">
        <v>210</v>
      </c>
      <c r="E28" s="234"/>
      <c r="F28" s="234"/>
      <c r="G28" s="234"/>
      <c r="H28" s="234">
        <f t="shared" si="3"/>
        <v>210</v>
      </c>
      <c r="I28" s="235"/>
    </row>
    <row r="29" spans="1:9" s="223" customFormat="1" ht="12.75" customHeight="1" x14ac:dyDescent="0.25">
      <c r="A29" s="230"/>
      <c r="B29" s="231" t="s">
        <v>770</v>
      </c>
      <c r="C29" s="240" t="s">
        <v>837</v>
      </c>
      <c r="D29" s="234">
        <v>300</v>
      </c>
      <c r="E29" s="234"/>
      <c r="F29" s="234"/>
      <c r="G29" s="234"/>
      <c r="H29" s="234">
        <f t="shared" si="3"/>
        <v>300</v>
      </c>
      <c r="I29" s="235"/>
    </row>
    <row r="30" spans="1:9" s="223" customFormat="1" ht="12.75" customHeight="1" x14ac:dyDescent="0.25">
      <c r="A30" s="230"/>
      <c r="B30" s="231" t="s">
        <v>771</v>
      </c>
      <c r="C30" s="240" t="s">
        <v>772</v>
      </c>
      <c r="D30" s="234">
        <v>4420</v>
      </c>
      <c r="E30" s="234"/>
      <c r="F30" s="234">
        <f>487.5</f>
        <v>487.5</v>
      </c>
      <c r="G30" s="234"/>
      <c r="H30" s="234">
        <f t="shared" si="3"/>
        <v>3932.5</v>
      </c>
      <c r="I30" s="235"/>
    </row>
    <row r="31" spans="1:9" s="223" customFormat="1" ht="12.75" customHeight="1" x14ac:dyDescent="0.25">
      <c r="A31" s="230"/>
      <c r="B31" s="231" t="s">
        <v>773</v>
      </c>
      <c r="C31" s="240" t="s">
        <v>774</v>
      </c>
      <c r="D31" s="234">
        <v>1610</v>
      </c>
      <c r="E31" s="234"/>
      <c r="F31" s="234">
        <f>735</f>
        <v>735</v>
      </c>
      <c r="G31" s="234"/>
      <c r="H31" s="234">
        <f t="shared" si="3"/>
        <v>875</v>
      </c>
      <c r="I31" s="235"/>
    </row>
    <row r="32" spans="1:9" s="223" customFormat="1" ht="12.75" customHeight="1" x14ac:dyDescent="0.25">
      <c r="A32" s="230"/>
      <c r="B32" s="231" t="s">
        <v>775</v>
      </c>
      <c r="C32" s="253" t="s">
        <v>776</v>
      </c>
      <c r="D32" s="254">
        <v>75</v>
      </c>
      <c r="E32" s="254"/>
      <c r="F32" s="254">
        <f>73</f>
        <v>73</v>
      </c>
      <c r="G32" s="254"/>
      <c r="H32" s="234">
        <f t="shared" si="3"/>
        <v>2</v>
      </c>
      <c r="I32" s="235"/>
    </row>
    <row r="33" spans="1:9" s="223" customFormat="1" ht="12.75" customHeight="1" x14ac:dyDescent="0.25">
      <c r="A33" s="230"/>
      <c r="B33" s="231" t="s">
        <v>777</v>
      </c>
      <c r="C33" s="253" t="s">
        <v>778</v>
      </c>
      <c r="D33" s="254">
        <v>520</v>
      </c>
      <c r="E33" s="254"/>
      <c r="F33" s="254">
        <f>520</f>
        <v>520</v>
      </c>
      <c r="G33" s="254"/>
      <c r="H33" s="234">
        <f t="shared" si="3"/>
        <v>0</v>
      </c>
      <c r="I33" s="235"/>
    </row>
    <row r="34" spans="1:9" s="223" customFormat="1" ht="12.75" customHeight="1" thickBot="1" x14ac:dyDescent="0.3">
      <c r="A34" s="230"/>
      <c r="B34" s="231"/>
      <c r="C34" s="255" t="s">
        <v>67</v>
      </c>
      <c r="D34" s="256">
        <f>SUM(D26:D33)</f>
        <v>7815</v>
      </c>
      <c r="E34" s="257"/>
      <c r="F34" s="256">
        <f>SUM(F26:F33)</f>
        <v>2165.5</v>
      </c>
      <c r="G34" s="257"/>
      <c r="H34" s="256">
        <f>SUM(H26:H33)</f>
        <v>5649.5</v>
      </c>
      <c r="I34" s="235"/>
    </row>
    <row r="35" spans="1:9" s="223" customFormat="1" ht="12.7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E07D7-66AE-413B-BB70-53B61458D7DB}">
  <sheetPr>
    <pageSetUpPr fitToPage="1"/>
  </sheetPr>
  <dimension ref="A1:G15"/>
  <sheetViews>
    <sheetView zoomScaleNormal="100" workbookViewId="0">
      <selection activeCell="B21" sqref="B21"/>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158</v>
      </c>
      <c r="C1" s="3"/>
      <c r="D1" s="4"/>
      <c r="E1" s="4"/>
      <c r="F1" s="4"/>
      <c r="G1" s="4"/>
    </row>
    <row r="2" spans="1:7" ht="15.75" x14ac:dyDescent="0.25">
      <c r="A2" s="1"/>
      <c r="B2" s="6" t="s">
        <v>211</v>
      </c>
      <c r="C2" s="5"/>
      <c r="D2" s="4"/>
      <c r="E2" s="4"/>
      <c r="F2" s="4"/>
      <c r="G2" s="4"/>
    </row>
    <row r="3" spans="1:7" ht="15.75" x14ac:dyDescent="0.25">
      <c r="A3" s="1"/>
      <c r="B3" s="7" t="s">
        <v>212</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213</v>
      </c>
      <c r="C6" s="12"/>
      <c r="D6" s="13" t="s">
        <v>2</v>
      </c>
      <c r="E6" s="4"/>
      <c r="F6" s="4"/>
      <c r="G6" s="4"/>
    </row>
    <row r="7" spans="1:7" ht="36.75" customHeight="1" thickBot="1" x14ac:dyDescent="0.3">
      <c r="A7" s="1"/>
      <c r="B7" s="14" t="s">
        <v>2</v>
      </c>
      <c r="C7" s="15" t="s">
        <v>3</v>
      </c>
      <c r="D7" s="16" t="s">
        <v>4</v>
      </c>
      <c r="E7" s="17" t="s">
        <v>5</v>
      </c>
      <c r="F7" s="18" t="s">
        <v>6</v>
      </c>
      <c r="G7" s="18" t="s">
        <v>7</v>
      </c>
    </row>
    <row r="8" spans="1:7" ht="28.35" customHeight="1" x14ac:dyDescent="0.25">
      <c r="A8" s="1"/>
      <c r="B8" s="1" t="s">
        <v>8</v>
      </c>
      <c r="C8" s="19">
        <f>FINANCIAL!G30</f>
        <v>700000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46"/>
      <c r="B10" s="247" t="s">
        <v>1055</v>
      </c>
      <c r="C10" s="248"/>
      <c r="D10" s="251">
        <f>'#9507.00 SYSKool'!D23</f>
        <v>436832</v>
      </c>
      <c r="E10" s="251">
        <f>'#9507.00 SYSKool'!F23</f>
        <v>0</v>
      </c>
      <c r="F10" s="251">
        <f>'#9507.00 SYSKool'!H23</f>
        <v>436832</v>
      </c>
      <c r="G10" s="250"/>
    </row>
    <row r="11" spans="1:7" s="223" customFormat="1" ht="12.75" customHeight="1" x14ac:dyDescent="0.25">
      <c r="A11" s="246"/>
      <c r="B11" s="247" t="s">
        <v>10</v>
      </c>
      <c r="C11" s="248"/>
      <c r="D11" s="251">
        <f>'#9507.00 PM TIME'!E23</f>
        <v>15000</v>
      </c>
      <c r="E11" s="251">
        <f>'#9507.00 PM TIME'!G23</f>
        <v>734.36</v>
      </c>
      <c r="F11" s="251">
        <f>'#9507.00 PM TIME'!I23</f>
        <v>14265.64</v>
      </c>
      <c r="G11" s="250"/>
    </row>
    <row r="12" spans="1:7" s="223" customFormat="1" ht="12.75" customHeight="1" x14ac:dyDescent="0.25">
      <c r="A12" s="246"/>
      <c r="B12" s="247" t="s">
        <v>11</v>
      </c>
      <c r="C12" s="249"/>
      <c r="D12" s="252">
        <f>'#9507.00 Misc'!G22</f>
        <v>0</v>
      </c>
      <c r="E12" s="252">
        <f>'#9507.00 Misc'!H22</f>
        <v>0</v>
      </c>
      <c r="F12" s="251">
        <f>D12-E12</f>
        <v>0</v>
      </c>
      <c r="G12" s="250"/>
    </row>
    <row r="13" spans="1:7" s="223" customFormat="1" ht="12.75" customHeight="1" x14ac:dyDescent="0.25">
      <c r="A13" s="246"/>
      <c r="B13" s="247"/>
      <c r="C13" s="249"/>
      <c r="D13" s="252"/>
      <c r="E13" s="252"/>
      <c r="F13" s="251"/>
      <c r="G13" s="250"/>
    </row>
    <row r="14" spans="1:7" ht="24" customHeight="1" thickBot="1" x14ac:dyDescent="0.3">
      <c r="A14" s="25"/>
      <c r="B14" s="26" t="s">
        <v>12</v>
      </c>
      <c r="C14" s="27">
        <f>SUM(C8:C13)</f>
        <v>700000</v>
      </c>
      <c r="D14" s="27">
        <f>SUM(D8:D13)</f>
        <v>451832</v>
      </c>
      <c r="E14" s="27">
        <f>SUM(E8:E13)</f>
        <v>734.36</v>
      </c>
      <c r="F14" s="27">
        <f>SUM(D14-E14)</f>
        <v>451097.64</v>
      </c>
      <c r="G14" s="27">
        <f>C8-D14</f>
        <v>248168</v>
      </c>
    </row>
    <row r="15"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C8226-4A81-4D15-B4AF-C2B37C6B1E57}">
  <sheetPr>
    <pageSetUpPr fitToPage="1"/>
  </sheetPr>
  <dimension ref="A1:I26"/>
  <sheetViews>
    <sheetView zoomScaleNormal="100" workbookViewId="0">
      <selection activeCell="A20" sqref="A20"/>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425781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#9507.00'!B1</f>
        <v>DOC IMCC Cooling Tower Replacement</v>
      </c>
      <c r="B1" s="3"/>
      <c r="C1" s="4"/>
      <c r="D1" s="4"/>
      <c r="E1" s="4"/>
      <c r="F1" s="28"/>
      <c r="G1" s="28"/>
      <c r="H1" s="29"/>
      <c r="I1" s="29"/>
    </row>
    <row r="2" spans="1:9" ht="15.75" x14ac:dyDescent="0.25">
      <c r="A2" s="6" t="str">
        <f>'RECAP #9507.00'!B2</f>
        <v>Project # 9507.00</v>
      </c>
      <c r="B2" s="5"/>
      <c r="C2" s="4"/>
      <c r="D2" s="4"/>
      <c r="E2" s="4"/>
      <c r="F2" s="28"/>
      <c r="G2" s="28"/>
      <c r="H2" s="29"/>
      <c r="I2" s="29"/>
    </row>
    <row r="3" spans="1:9" ht="15.75" x14ac:dyDescent="0.25">
      <c r="A3" s="7" t="str">
        <f>'RECAP #9507.00'!B3</f>
        <v>Program code 950700</v>
      </c>
      <c r="B3" s="5"/>
      <c r="C3" s="4"/>
      <c r="D3" s="8" t="str">
        <f>'RECAP #9507.00'!E3</f>
        <v>Major Program 4E01</v>
      </c>
      <c r="E3" s="4"/>
      <c r="F3" s="28"/>
      <c r="G3" s="28"/>
      <c r="H3" s="29"/>
      <c r="I3" s="29"/>
    </row>
    <row r="4" spans="1:9" ht="15.75" x14ac:dyDescent="0.25">
      <c r="A4" s="30" t="s">
        <v>1056</v>
      </c>
      <c r="B4" s="31"/>
      <c r="C4" s="32"/>
      <c r="D4" s="33" t="s">
        <v>1058</v>
      </c>
      <c r="E4" s="28"/>
      <c r="F4" s="28"/>
      <c r="G4" s="28"/>
      <c r="H4" s="29"/>
      <c r="I4" s="29"/>
    </row>
    <row r="5" spans="1:9" ht="15.75" x14ac:dyDescent="0.25">
      <c r="A5" s="34" t="s">
        <v>104</v>
      </c>
      <c r="B5" s="35"/>
      <c r="C5" s="36"/>
      <c r="D5" s="37" t="s">
        <v>1059</v>
      </c>
      <c r="E5" s="38"/>
      <c r="F5" s="39"/>
      <c r="G5" s="39"/>
      <c r="H5" s="35"/>
      <c r="I5" s="29"/>
    </row>
    <row r="6" spans="1:9" ht="15.75" x14ac:dyDescent="0.25">
      <c r="A6" s="11" t="str">
        <f>'RECAP #9507.00'!B6</f>
        <v>Project Manager - Geoff W.(JK)</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328" t="s">
        <v>1057</v>
      </c>
      <c r="B9" s="329">
        <v>46190</v>
      </c>
      <c r="C9" s="330" t="s">
        <v>109</v>
      </c>
      <c r="D9" s="345">
        <v>436832</v>
      </c>
      <c r="E9" s="331">
        <f>D9</f>
        <v>436832</v>
      </c>
      <c r="F9" s="332"/>
      <c r="G9" s="332"/>
      <c r="H9" s="332">
        <f>E9</f>
        <v>436832</v>
      </c>
      <c r="I9" s="333" t="s">
        <v>1285</v>
      </c>
    </row>
    <row r="10" spans="1:9" s="223" customFormat="1" ht="12.75" customHeight="1" x14ac:dyDescent="0.25">
      <c r="A10" s="230" t="s">
        <v>1388</v>
      </c>
      <c r="B10" s="236">
        <v>46233</v>
      </c>
      <c r="C10" s="231" t="s">
        <v>1286</v>
      </c>
      <c r="D10" s="232">
        <v>0</v>
      </c>
      <c r="E10" s="233">
        <f t="shared" ref="E10:E21" si="0">E9+D10</f>
        <v>436832</v>
      </c>
      <c r="F10" s="238"/>
      <c r="G10" s="234">
        <f t="shared" ref="G10:G21" si="1">G9+F10</f>
        <v>0</v>
      </c>
      <c r="H10" s="234">
        <f t="shared" ref="H10:H21" si="2">H9-F10+D10</f>
        <v>436832</v>
      </c>
      <c r="I10" s="235"/>
    </row>
    <row r="11" spans="1:9" s="223" customFormat="1" ht="12.75" customHeight="1" x14ac:dyDescent="0.25">
      <c r="A11" s="230"/>
      <c r="B11" s="177"/>
      <c r="C11" s="231"/>
      <c r="D11" s="233"/>
      <c r="E11" s="233">
        <f t="shared" si="0"/>
        <v>436832</v>
      </c>
      <c r="F11" s="238"/>
      <c r="G11" s="234">
        <f t="shared" si="1"/>
        <v>0</v>
      </c>
      <c r="H11" s="234">
        <f t="shared" si="2"/>
        <v>436832</v>
      </c>
      <c r="I11" s="235"/>
    </row>
    <row r="12" spans="1:9" s="223" customFormat="1" ht="12.75" customHeight="1" x14ac:dyDescent="0.25">
      <c r="A12" s="230"/>
      <c r="B12" s="177"/>
      <c r="C12" s="231"/>
      <c r="D12" s="233"/>
      <c r="E12" s="233">
        <f t="shared" si="0"/>
        <v>436832</v>
      </c>
      <c r="F12" s="238"/>
      <c r="G12" s="234">
        <f t="shared" si="1"/>
        <v>0</v>
      </c>
      <c r="H12" s="234">
        <f t="shared" si="2"/>
        <v>436832</v>
      </c>
      <c r="I12" s="235"/>
    </row>
    <row r="13" spans="1:9" s="223" customFormat="1" ht="12.75" customHeight="1" x14ac:dyDescent="0.25">
      <c r="A13" s="230"/>
      <c r="B13" s="177"/>
      <c r="C13" s="231"/>
      <c r="D13" s="233"/>
      <c r="E13" s="233">
        <f t="shared" si="0"/>
        <v>436832</v>
      </c>
      <c r="F13" s="238"/>
      <c r="G13" s="234">
        <f t="shared" si="1"/>
        <v>0</v>
      </c>
      <c r="H13" s="234">
        <f t="shared" si="2"/>
        <v>436832</v>
      </c>
      <c r="I13" s="235"/>
    </row>
    <row r="14" spans="1:9" s="223" customFormat="1" ht="12.75" customHeight="1" x14ac:dyDescent="0.25">
      <c r="A14" s="230"/>
      <c r="B14" s="177"/>
      <c r="C14" s="231"/>
      <c r="D14" s="233"/>
      <c r="E14" s="233">
        <f t="shared" si="0"/>
        <v>436832</v>
      </c>
      <c r="F14" s="234"/>
      <c r="G14" s="234">
        <f t="shared" si="1"/>
        <v>0</v>
      </c>
      <c r="H14" s="234">
        <f t="shared" si="2"/>
        <v>436832</v>
      </c>
      <c r="I14" s="235"/>
    </row>
    <row r="15" spans="1:9" s="223" customFormat="1" ht="12.75" customHeight="1" x14ac:dyDescent="0.25">
      <c r="A15" s="230"/>
      <c r="B15" s="177"/>
      <c r="C15" s="231"/>
      <c r="D15" s="233"/>
      <c r="E15" s="233">
        <f t="shared" si="0"/>
        <v>436832</v>
      </c>
      <c r="F15" s="238"/>
      <c r="G15" s="234">
        <f t="shared" si="1"/>
        <v>0</v>
      </c>
      <c r="H15" s="234">
        <f t="shared" si="2"/>
        <v>436832</v>
      </c>
      <c r="I15" s="235"/>
    </row>
    <row r="16" spans="1:9" s="223" customFormat="1" ht="12.75" customHeight="1" x14ac:dyDescent="0.25">
      <c r="A16" s="230"/>
      <c r="B16" s="177"/>
      <c r="C16" s="231"/>
      <c r="D16" s="233"/>
      <c r="E16" s="233">
        <f t="shared" si="0"/>
        <v>436832</v>
      </c>
      <c r="F16" s="238"/>
      <c r="G16" s="234">
        <f t="shared" si="1"/>
        <v>0</v>
      </c>
      <c r="H16" s="234">
        <f t="shared" si="2"/>
        <v>436832</v>
      </c>
      <c r="I16" s="235"/>
    </row>
    <row r="17" spans="1:9" s="223" customFormat="1" ht="12.75" customHeight="1" x14ac:dyDescent="0.25">
      <c r="A17" s="230"/>
      <c r="B17" s="177"/>
      <c r="C17" s="231"/>
      <c r="D17" s="233"/>
      <c r="E17" s="233">
        <f t="shared" si="0"/>
        <v>436832</v>
      </c>
      <c r="F17" s="238"/>
      <c r="G17" s="234">
        <f t="shared" si="1"/>
        <v>0</v>
      </c>
      <c r="H17" s="234">
        <f t="shared" si="2"/>
        <v>436832</v>
      </c>
      <c r="I17" s="235"/>
    </row>
    <row r="18" spans="1:9" s="223" customFormat="1" ht="12.75" customHeight="1" x14ac:dyDescent="0.25">
      <c r="A18" s="230"/>
      <c r="B18" s="177"/>
      <c r="C18" s="231"/>
      <c r="D18" s="233"/>
      <c r="E18" s="233">
        <f t="shared" si="0"/>
        <v>436832</v>
      </c>
      <c r="F18" s="238"/>
      <c r="G18" s="234">
        <f t="shared" si="1"/>
        <v>0</v>
      </c>
      <c r="H18" s="234">
        <f t="shared" si="2"/>
        <v>436832</v>
      </c>
      <c r="I18" s="235"/>
    </row>
    <row r="19" spans="1:9" s="223" customFormat="1" ht="12.75" customHeight="1" x14ac:dyDescent="0.25">
      <c r="A19" s="230"/>
      <c r="B19" s="177"/>
      <c r="C19" s="231"/>
      <c r="D19" s="233"/>
      <c r="E19" s="233">
        <f t="shared" si="0"/>
        <v>436832</v>
      </c>
      <c r="F19" s="234"/>
      <c r="G19" s="234">
        <f t="shared" si="1"/>
        <v>0</v>
      </c>
      <c r="H19" s="234">
        <f t="shared" si="2"/>
        <v>436832</v>
      </c>
      <c r="I19" s="235"/>
    </row>
    <row r="20" spans="1:9" s="223" customFormat="1" ht="12.75" customHeight="1" x14ac:dyDescent="0.25">
      <c r="A20" s="230"/>
      <c r="B20" s="177"/>
      <c r="C20" s="231"/>
      <c r="D20" s="233"/>
      <c r="E20" s="233">
        <f t="shared" si="0"/>
        <v>436832</v>
      </c>
      <c r="F20" s="234"/>
      <c r="G20" s="234">
        <f t="shared" si="1"/>
        <v>0</v>
      </c>
      <c r="H20" s="234">
        <f t="shared" si="2"/>
        <v>436832</v>
      </c>
      <c r="I20" s="235"/>
    </row>
    <row r="21" spans="1:9" s="223" customFormat="1" ht="12.75" customHeight="1" x14ac:dyDescent="0.25">
      <c r="A21" s="230"/>
      <c r="B21" s="177"/>
      <c r="C21" s="239"/>
      <c r="D21" s="233"/>
      <c r="E21" s="233">
        <f t="shared" si="0"/>
        <v>436832</v>
      </c>
      <c r="F21" s="234"/>
      <c r="G21" s="234">
        <f t="shared" si="1"/>
        <v>0</v>
      </c>
      <c r="H21" s="234">
        <f t="shared" si="2"/>
        <v>436832</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436832</v>
      </c>
      <c r="E23" s="245"/>
      <c r="F23" s="245">
        <f>SUM(F9:F22)</f>
        <v>0</v>
      </c>
      <c r="G23" s="245"/>
      <c r="H23" s="245">
        <f>D23-F23</f>
        <v>436832</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row r="26" spans="1:9" s="223" customFormat="1" ht="12.75" customHeight="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9A492-FBCD-4096-B8B0-797C1B269306}">
  <sheetPr>
    <pageSetUpPr fitToPage="1"/>
  </sheetPr>
  <dimension ref="A1:J24"/>
  <sheetViews>
    <sheetView zoomScaleNormal="100" workbookViewId="0">
      <selection activeCell="A17" sqref="A17"/>
    </sheetView>
  </sheetViews>
  <sheetFormatPr defaultColWidth="11.42578125" defaultRowHeight="15" customHeight="1" x14ac:dyDescent="0.25"/>
  <cols>
    <col min="1" max="1" width="24.5703125" customWidth="1"/>
    <col min="2" max="3" width="9.42578125" customWidth="1"/>
    <col min="4" max="4" width="34.28515625" customWidth="1"/>
    <col min="5" max="5" width="12.5703125" customWidth="1"/>
    <col min="6" max="6" width="13.5703125" customWidth="1"/>
    <col min="7" max="7" width="12.42578125" customWidth="1"/>
    <col min="8" max="8" width="10.5703125" customWidth="1"/>
    <col min="9" max="9" width="11.710937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#9507.00'!B1</f>
        <v>DOC IMCC Cooling Tower Replacement</v>
      </c>
      <c r="B1" s="3"/>
      <c r="C1" s="3"/>
      <c r="D1" s="4"/>
      <c r="E1" s="4"/>
      <c r="F1" s="4"/>
      <c r="G1" s="28"/>
      <c r="H1" s="28"/>
      <c r="I1" s="29"/>
      <c r="J1" s="29"/>
    </row>
    <row r="2" spans="1:10" ht="15.75" x14ac:dyDescent="0.25">
      <c r="A2" s="6" t="str">
        <f>'RECAP #9507.00'!B2</f>
        <v>Project # 9507.00</v>
      </c>
      <c r="B2" s="5"/>
      <c r="C2" s="5"/>
      <c r="D2" s="4"/>
      <c r="E2" s="4"/>
      <c r="F2" s="4"/>
      <c r="G2" s="28"/>
      <c r="H2" s="28"/>
      <c r="I2" s="29"/>
      <c r="J2" s="29"/>
    </row>
    <row r="3" spans="1:10" ht="15.75" x14ac:dyDescent="0.25">
      <c r="A3" s="7" t="str">
        <f>'RECAP #9507.00'!B3</f>
        <v>Program code 950700</v>
      </c>
      <c r="B3" s="5"/>
      <c r="C3" s="5"/>
      <c r="D3" s="4"/>
      <c r="E3" s="8" t="str">
        <f>'RECAP #9507.00'!E3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243</v>
      </c>
      <c r="F6" s="42"/>
      <c r="G6" s="43"/>
      <c r="H6" s="39"/>
      <c r="I6" s="35"/>
      <c r="J6" s="29"/>
    </row>
    <row r="7" spans="1:10" ht="15.75" x14ac:dyDescent="0.25">
      <c r="A7" s="11" t="str">
        <f>'RECAP #9507.00'!B6</f>
        <v>Project Manager - Geoff W.(JK)</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v>15000</v>
      </c>
      <c r="F9" s="233">
        <f>E9</f>
        <v>15000</v>
      </c>
      <c r="G9" s="234"/>
      <c r="H9" s="234"/>
      <c r="I9" s="234">
        <f>F9</f>
        <v>15000</v>
      </c>
      <c r="J9" s="235"/>
    </row>
    <row r="10" spans="1:10" s="223" customFormat="1" ht="12.75" customHeight="1" x14ac:dyDescent="0.25">
      <c r="A10" s="176" t="s">
        <v>314</v>
      </c>
      <c r="B10" s="177">
        <v>45968</v>
      </c>
      <c r="C10" s="241" t="s">
        <v>261</v>
      </c>
      <c r="D10" s="148" t="s">
        <v>315</v>
      </c>
      <c r="E10" s="233"/>
      <c r="F10" s="233">
        <f t="shared" ref="F10:F21" si="0">F9+E10</f>
        <v>15000</v>
      </c>
      <c r="G10" s="237">
        <v>45.28</v>
      </c>
      <c r="H10" s="234">
        <f t="shared" ref="H10:H21" si="1">H9+G10</f>
        <v>45.28</v>
      </c>
      <c r="I10" s="234">
        <f t="shared" ref="I10:I21" si="2">I9-G10+E10</f>
        <v>14954.72</v>
      </c>
      <c r="J10" s="235"/>
    </row>
    <row r="11" spans="1:10" s="223" customFormat="1" ht="12.75" customHeight="1" x14ac:dyDescent="0.25">
      <c r="A11" s="176" t="s">
        <v>314</v>
      </c>
      <c r="B11" s="177">
        <v>45968</v>
      </c>
      <c r="C11" s="241">
        <v>9500</v>
      </c>
      <c r="D11" s="149" t="s">
        <v>316</v>
      </c>
      <c r="E11" s="233"/>
      <c r="F11" s="233">
        <f t="shared" si="0"/>
        <v>15000</v>
      </c>
      <c r="G11" s="237">
        <v>446.3</v>
      </c>
      <c r="H11" s="234">
        <f t="shared" si="1"/>
        <v>491.58000000000004</v>
      </c>
      <c r="I11" s="234">
        <f t="shared" si="2"/>
        <v>14508.42</v>
      </c>
      <c r="J11" s="235"/>
    </row>
    <row r="12" spans="1:10" s="223" customFormat="1" ht="12.75" customHeight="1" x14ac:dyDescent="0.2">
      <c r="A12" s="70" t="s">
        <v>548</v>
      </c>
      <c r="B12" s="50">
        <v>46062</v>
      </c>
      <c r="C12" s="53" t="s">
        <v>261</v>
      </c>
      <c r="D12" s="144" t="s">
        <v>549</v>
      </c>
      <c r="E12" s="233"/>
      <c r="F12" s="233">
        <f t="shared" si="0"/>
        <v>15000</v>
      </c>
      <c r="G12" s="237">
        <v>18.079999999999998</v>
      </c>
      <c r="H12" s="234">
        <f t="shared" si="1"/>
        <v>509.66</v>
      </c>
      <c r="I12" s="234">
        <f t="shared" si="2"/>
        <v>14490.34</v>
      </c>
      <c r="J12" s="235"/>
    </row>
    <row r="13" spans="1:10" s="223" customFormat="1" ht="12.75" customHeight="1" x14ac:dyDescent="0.2">
      <c r="A13" s="70" t="s">
        <v>548</v>
      </c>
      <c r="B13" s="50">
        <v>46062</v>
      </c>
      <c r="C13" s="268">
        <v>9500</v>
      </c>
      <c r="D13" s="66" t="s">
        <v>550</v>
      </c>
      <c r="E13" s="233"/>
      <c r="F13" s="233">
        <f t="shared" si="0"/>
        <v>15000</v>
      </c>
      <c r="G13" s="237">
        <v>224.7</v>
      </c>
      <c r="H13" s="234">
        <f t="shared" si="1"/>
        <v>734.36</v>
      </c>
      <c r="I13" s="234">
        <f t="shared" si="2"/>
        <v>14265.64</v>
      </c>
      <c r="J13" s="235"/>
    </row>
    <row r="14" spans="1:10" s="223" customFormat="1" ht="12.75" customHeight="1" x14ac:dyDescent="0.25">
      <c r="A14" s="241"/>
      <c r="B14" s="177"/>
      <c r="C14" s="241"/>
      <c r="D14" s="240"/>
      <c r="E14" s="233"/>
      <c r="F14" s="233">
        <f t="shared" si="0"/>
        <v>15000</v>
      </c>
      <c r="G14" s="234"/>
      <c r="H14" s="234">
        <f t="shared" si="1"/>
        <v>734.36</v>
      </c>
      <c r="I14" s="234">
        <f t="shared" si="2"/>
        <v>14265.64</v>
      </c>
      <c r="J14" s="235"/>
    </row>
    <row r="15" spans="1:10" s="223" customFormat="1" ht="12.75" customHeight="1" x14ac:dyDescent="0.25">
      <c r="A15" s="241"/>
      <c r="B15" s="177"/>
      <c r="C15" s="241"/>
      <c r="D15" s="240"/>
      <c r="E15" s="233"/>
      <c r="F15" s="233">
        <f t="shared" si="0"/>
        <v>15000</v>
      </c>
      <c r="G15" s="238"/>
      <c r="H15" s="234">
        <f t="shared" si="1"/>
        <v>734.36</v>
      </c>
      <c r="I15" s="234">
        <f t="shared" si="2"/>
        <v>14265.64</v>
      </c>
      <c r="J15" s="235"/>
    </row>
    <row r="16" spans="1:10" s="223" customFormat="1" ht="12.75" customHeight="1" x14ac:dyDescent="0.25">
      <c r="A16" s="241"/>
      <c r="B16" s="177"/>
      <c r="C16" s="241"/>
      <c r="D16" s="240"/>
      <c r="E16" s="233"/>
      <c r="F16" s="233">
        <f t="shared" si="0"/>
        <v>15000</v>
      </c>
      <c r="G16" s="238"/>
      <c r="H16" s="234">
        <f t="shared" si="1"/>
        <v>734.36</v>
      </c>
      <c r="I16" s="234">
        <f t="shared" si="2"/>
        <v>14265.64</v>
      </c>
      <c r="J16" s="235"/>
    </row>
    <row r="17" spans="1:10" s="223" customFormat="1" ht="12.75" customHeight="1" x14ac:dyDescent="0.25">
      <c r="A17" s="241"/>
      <c r="B17" s="177"/>
      <c r="C17" s="241"/>
      <c r="D17" s="240"/>
      <c r="E17" s="233"/>
      <c r="F17" s="233">
        <f t="shared" si="0"/>
        <v>15000</v>
      </c>
      <c r="G17" s="238"/>
      <c r="H17" s="234">
        <f t="shared" si="1"/>
        <v>734.36</v>
      </c>
      <c r="I17" s="234">
        <f t="shared" si="2"/>
        <v>14265.64</v>
      </c>
      <c r="J17" s="235"/>
    </row>
    <row r="18" spans="1:10" s="223" customFormat="1" ht="12.75" customHeight="1" x14ac:dyDescent="0.25">
      <c r="A18" s="241"/>
      <c r="B18" s="177"/>
      <c r="C18" s="241"/>
      <c r="D18" s="240"/>
      <c r="E18" s="233"/>
      <c r="F18" s="233">
        <f t="shared" si="0"/>
        <v>15000</v>
      </c>
      <c r="G18" s="238"/>
      <c r="H18" s="234">
        <f t="shared" si="1"/>
        <v>734.36</v>
      </c>
      <c r="I18" s="234">
        <f t="shared" si="2"/>
        <v>14265.64</v>
      </c>
      <c r="J18" s="235"/>
    </row>
    <row r="19" spans="1:10" s="223" customFormat="1" ht="12.75" customHeight="1" x14ac:dyDescent="0.25">
      <c r="A19" s="241"/>
      <c r="B19" s="177"/>
      <c r="C19" s="241"/>
      <c r="D19" s="240"/>
      <c r="E19" s="233"/>
      <c r="F19" s="233">
        <f t="shared" si="0"/>
        <v>15000</v>
      </c>
      <c r="G19" s="234"/>
      <c r="H19" s="234">
        <f t="shared" si="1"/>
        <v>734.36</v>
      </c>
      <c r="I19" s="234">
        <f t="shared" si="2"/>
        <v>14265.64</v>
      </c>
      <c r="J19" s="235"/>
    </row>
    <row r="20" spans="1:10" s="223" customFormat="1" ht="12.75" customHeight="1" x14ac:dyDescent="0.25">
      <c r="A20" s="241"/>
      <c r="B20" s="177"/>
      <c r="C20" s="241"/>
      <c r="D20" s="240"/>
      <c r="E20" s="233"/>
      <c r="F20" s="233">
        <f t="shared" si="0"/>
        <v>15000</v>
      </c>
      <c r="G20" s="234"/>
      <c r="H20" s="234">
        <f t="shared" si="1"/>
        <v>734.36</v>
      </c>
      <c r="I20" s="234">
        <f t="shared" si="2"/>
        <v>14265.64</v>
      </c>
      <c r="J20" s="235"/>
    </row>
    <row r="21" spans="1:10" s="223" customFormat="1" ht="12.75" customHeight="1" x14ac:dyDescent="0.25">
      <c r="A21" s="241"/>
      <c r="B21" s="177"/>
      <c r="C21" s="241"/>
      <c r="D21" s="258"/>
      <c r="E21" s="233"/>
      <c r="F21" s="233">
        <f t="shared" si="0"/>
        <v>15000</v>
      </c>
      <c r="G21" s="234"/>
      <c r="H21" s="234">
        <f t="shared" si="1"/>
        <v>734.36</v>
      </c>
      <c r="I21" s="234">
        <f t="shared" si="2"/>
        <v>14265.64</v>
      </c>
      <c r="J21" s="235"/>
    </row>
    <row r="22" spans="1:10" s="223" customFormat="1" ht="12.75" customHeight="1" x14ac:dyDescent="0.25">
      <c r="A22" s="230"/>
      <c r="B22" s="231"/>
      <c r="C22" s="241"/>
      <c r="D22" s="240"/>
      <c r="E22" s="234"/>
      <c r="F22" s="234"/>
      <c r="G22" s="234"/>
      <c r="H22" s="234"/>
      <c r="I22" s="234"/>
      <c r="J22" s="235"/>
    </row>
    <row r="23" spans="1:10" s="223" customFormat="1" ht="12.75" customHeight="1" thickBot="1" x14ac:dyDescent="0.3">
      <c r="A23" s="230"/>
      <c r="B23" s="243"/>
      <c r="C23" s="241"/>
      <c r="D23" s="244" t="s">
        <v>24</v>
      </c>
      <c r="E23" s="245">
        <f>SUM(E9:E22)</f>
        <v>15000</v>
      </c>
      <c r="F23" s="245"/>
      <c r="G23" s="245">
        <f>SUM(G9:G22)</f>
        <v>734.36</v>
      </c>
      <c r="H23" s="245"/>
      <c r="I23" s="245">
        <f>E23-G23</f>
        <v>14265.64</v>
      </c>
      <c r="J23" s="235"/>
    </row>
    <row r="24" spans="1:10" ht="15" customHeight="1" thickTop="1" x14ac:dyDescent="0.25"/>
  </sheetData>
  <pageMargins left="0.25" right="0.25" top="0.95" bottom="0.75" header="0.09" footer="0.3"/>
  <pageSetup scale="67"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DD41C-95E9-4DC3-8A61-AFAC2C629854}">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#9507.00'!B1</f>
        <v>DOC IMCC Cooling Tower Replacement</v>
      </c>
      <c r="B1" s="3"/>
      <c r="C1" s="3"/>
      <c r="D1" s="3"/>
      <c r="E1" s="4"/>
      <c r="F1" s="4"/>
      <c r="G1" s="4"/>
      <c r="H1" s="28"/>
    </row>
    <row r="2" spans="1:8" ht="15.75" x14ac:dyDescent="0.25">
      <c r="A2" s="6" t="str">
        <f>'RECAP #9507.00'!B2</f>
        <v>Project # 9507.00</v>
      </c>
      <c r="B2" s="5"/>
      <c r="C2" s="5"/>
      <c r="D2" s="5"/>
      <c r="E2" s="4"/>
      <c r="F2" s="4"/>
      <c r="G2" s="4"/>
      <c r="H2" s="28"/>
    </row>
    <row r="3" spans="1:8" ht="15.75" x14ac:dyDescent="0.25">
      <c r="A3" s="7" t="str">
        <f>'RECAP #9507.00'!B3</f>
        <v>Program code 950700</v>
      </c>
      <c r="B3" s="5"/>
      <c r="C3" s="5"/>
      <c r="D3" s="5"/>
      <c r="E3" s="8" t="str">
        <f>'RECAP #9507.00'!E3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1060</v>
      </c>
      <c r="F6" s="35"/>
      <c r="G6" s="38"/>
      <c r="H6" s="39"/>
    </row>
    <row r="7" spans="1:8" ht="15.75" x14ac:dyDescent="0.25">
      <c r="A7" s="11" t="str">
        <f>'RECAP #9507.00'!B6</f>
        <v>Project Manager - Geoff W.(JK)</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5">
      <c r="A9" s="239"/>
      <c r="B9" s="177"/>
      <c r="C9" s="230"/>
      <c r="D9" s="230"/>
      <c r="E9" s="176"/>
      <c r="F9" s="259"/>
      <c r="G9" s="260"/>
      <c r="H9" s="260">
        <f>G9</f>
        <v>0</v>
      </c>
    </row>
    <row r="10" spans="1:8" s="223" customFormat="1" ht="12.75" customHeight="1" x14ac:dyDescent="0.25">
      <c r="A10" s="241"/>
      <c r="B10" s="177"/>
      <c r="C10" s="240"/>
      <c r="D10" s="240"/>
      <c r="E10" s="258"/>
      <c r="F10" s="252"/>
      <c r="G10" s="260"/>
      <c r="H10" s="260">
        <f>H9+G10</f>
        <v>0</v>
      </c>
    </row>
    <row r="11" spans="1:8" s="223" customFormat="1" ht="12.75" customHeight="1" x14ac:dyDescent="0.25">
      <c r="A11" s="241"/>
      <c r="B11" s="177"/>
      <c r="C11" s="177"/>
      <c r="D11" s="177"/>
      <c r="E11" s="258"/>
      <c r="F11" s="252"/>
      <c r="G11" s="260"/>
      <c r="H11" s="260">
        <f t="shared" ref="H11:H20" si="0">H10+G11</f>
        <v>0</v>
      </c>
    </row>
    <row r="12" spans="1:8" s="223" customFormat="1" ht="12.75" customHeight="1" x14ac:dyDescent="0.25">
      <c r="A12" s="241" t="s">
        <v>2</v>
      </c>
      <c r="B12" s="177" t="s">
        <v>2</v>
      </c>
      <c r="C12" s="177"/>
      <c r="D12" s="177"/>
      <c r="E12" s="258" t="s">
        <v>2</v>
      </c>
      <c r="F12" s="252"/>
      <c r="G12" s="260"/>
      <c r="H12" s="260">
        <f t="shared" si="0"/>
        <v>0</v>
      </c>
    </row>
    <row r="13" spans="1:8" s="223" customFormat="1" ht="12.75" customHeight="1" x14ac:dyDescent="0.25">
      <c r="A13" s="241" t="s">
        <v>2</v>
      </c>
      <c r="B13" s="177" t="s">
        <v>2</v>
      </c>
      <c r="C13" s="177"/>
      <c r="D13" s="177"/>
      <c r="E13" s="258" t="s">
        <v>2</v>
      </c>
      <c r="F13" s="252"/>
      <c r="G13" s="260"/>
      <c r="H13" s="260">
        <f t="shared" si="0"/>
        <v>0</v>
      </c>
    </row>
    <row r="14" spans="1:8" s="223" customFormat="1" ht="12.75" customHeight="1" x14ac:dyDescent="0.25">
      <c r="A14" s="241"/>
      <c r="B14" s="177"/>
      <c r="C14" s="177"/>
      <c r="D14" s="177"/>
      <c r="E14" s="258"/>
      <c r="F14" s="252"/>
      <c r="G14" s="260"/>
      <c r="H14" s="260">
        <f t="shared" si="0"/>
        <v>0</v>
      </c>
    </row>
    <row r="15" spans="1:8" s="223" customFormat="1" ht="12.75" customHeight="1" x14ac:dyDescent="0.25">
      <c r="A15" s="241"/>
      <c r="B15" s="177"/>
      <c r="C15" s="177"/>
      <c r="D15" s="177"/>
      <c r="E15" s="261"/>
      <c r="F15" s="252"/>
      <c r="G15" s="260"/>
      <c r="H15" s="260">
        <f t="shared" si="0"/>
        <v>0</v>
      </c>
    </row>
    <row r="16" spans="1:8" s="223" customFormat="1" ht="12.75" customHeight="1" x14ac:dyDescent="0.25">
      <c r="A16" s="241"/>
      <c r="B16" s="177"/>
      <c r="C16" s="177"/>
      <c r="D16" s="177"/>
      <c r="E16" s="258"/>
      <c r="F16" s="252"/>
      <c r="G16" s="260"/>
      <c r="H16" s="260">
        <f t="shared" si="0"/>
        <v>0</v>
      </c>
    </row>
    <row r="17" spans="1:8" s="223" customFormat="1" ht="12.75" customHeight="1" x14ac:dyDescent="0.25">
      <c r="A17" s="230"/>
      <c r="B17" s="177"/>
      <c r="C17" s="177"/>
      <c r="D17" s="177"/>
      <c r="E17" s="258"/>
      <c r="F17" s="252"/>
      <c r="G17" s="260"/>
      <c r="H17" s="260">
        <f t="shared" si="0"/>
        <v>0</v>
      </c>
    </row>
    <row r="18" spans="1:8" s="223" customFormat="1" ht="12.75" customHeight="1" x14ac:dyDescent="0.25">
      <c r="A18" s="230"/>
      <c r="B18" s="177"/>
      <c r="C18" s="177"/>
      <c r="D18" s="177"/>
      <c r="E18" s="258"/>
      <c r="F18" s="252"/>
      <c r="G18" s="260"/>
      <c r="H18" s="260">
        <f t="shared" si="0"/>
        <v>0</v>
      </c>
    </row>
    <row r="19" spans="1:8" s="223" customFormat="1" ht="12.75" customHeight="1" x14ac:dyDescent="0.25">
      <c r="A19" s="230"/>
      <c r="B19" s="177"/>
      <c r="C19" s="177"/>
      <c r="D19" s="177"/>
      <c r="E19" s="258"/>
      <c r="F19" s="252"/>
      <c r="G19" s="260"/>
      <c r="H19" s="260">
        <f t="shared" si="0"/>
        <v>0</v>
      </c>
    </row>
    <row r="20" spans="1:8" s="223" customFormat="1" ht="12.75" customHeight="1" x14ac:dyDescent="0.25">
      <c r="A20" s="230"/>
      <c r="B20" s="177"/>
      <c r="C20" s="177"/>
      <c r="D20" s="177"/>
      <c r="E20" s="258"/>
      <c r="F20" s="252"/>
      <c r="G20" s="260"/>
      <c r="H20" s="260">
        <f t="shared" si="0"/>
        <v>0</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0</v>
      </c>
      <c r="H22" s="265"/>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B3016-D3F8-404C-8D6D-B11951686A25}">
  <sheetPr>
    <pageSetUpPr fitToPage="1"/>
  </sheetPr>
  <dimension ref="A1:G18"/>
  <sheetViews>
    <sheetView zoomScaleNormal="100" workbookViewId="0">
      <selection activeCell="E5" sqref="E5:F5"/>
    </sheetView>
  </sheetViews>
  <sheetFormatPr defaultColWidth="11.42578125" defaultRowHeight="15" customHeight="1" x14ac:dyDescent="0.25"/>
  <cols>
    <col min="1" max="1" width="3.5703125" customWidth="1"/>
    <col min="2" max="2" width="31.1406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159</v>
      </c>
      <c r="C1" s="3"/>
      <c r="D1" s="4"/>
      <c r="E1" s="4"/>
      <c r="F1" s="4"/>
      <c r="G1" s="4"/>
    </row>
    <row r="2" spans="1:7" ht="15.75" x14ac:dyDescent="0.25">
      <c r="A2" s="1"/>
      <c r="B2" s="6" t="s">
        <v>214</v>
      </c>
      <c r="C2" s="5"/>
      <c r="D2" s="4"/>
      <c r="E2" s="4"/>
      <c r="F2" s="4"/>
      <c r="G2" s="4"/>
    </row>
    <row r="3" spans="1:7" ht="15.75" x14ac:dyDescent="0.25">
      <c r="A3" s="1"/>
      <c r="B3" s="7" t="s">
        <v>215</v>
      </c>
      <c r="C3" s="5"/>
      <c r="D3" s="4"/>
      <c r="E3" s="8" t="s">
        <v>180</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216</v>
      </c>
      <c r="C6" s="12"/>
      <c r="D6" s="13" t="s">
        <v>2</v>
      </c>
      <c r="E6" s="4"/>
      <c r="F6" s="4"/>
      <c r="G6" s="4"/>
    </row>
    <row r="7" spans="1:7" ht="41.25" customHeight="1" thickBot="1" x14ac:dyDescent="0.3">
      <c r="A7" s="1"/>
      <c r="B7" s="14" t="s">
        <v>2</v>
      </c>
      <c r="C7" s="15" t="s">
        <v>3</v>
      </c>
      <c r="D7" s="16" t="s">
        <v>4</v>
      </c>
      <c r="E7" s="17" t="s">
        <v>5</v>
      </c>
      <c r="F7" s="18" t="s">
        <v>6</v>
      </c>
      <c r="G7" s="18" t="s">
        <v>7</v>
      </c>
    </row>
    <row r="8" spans="1:7" ht="28.35" customHeight="1" x14ac:dyDescent="0.25">
      <c r="A8" s="1"/>
      <c r="B8" s="1" t="s">
        <v>8</v>
      </c>
      <c r="C8" s="19">
        <f>FINANCIAL!G31</f>
        <v>1707300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73" t="s">
        <v>250</v>
      </c>
      <c r="B10" s="247" t="s">
        <v>278</v>
      </c>
      <c r="C10" s="248"/>
      <c r="D10" s="251">
        <f>'#9508.00 Story Construction'!D23</f>
        <v>19193.36</v>
      </c>
      <c r="E10" s="251">
        <f>'#9508.00 Story Construction'!F23</f>
        <v>19193.36</v>
      </c>
      <c r="F10" s="251">
        <f>'#9508.00 Story Construction'!H23</f>
        <v>0</v>
      </c>
      <c r="G10" s="250"/>
    </row>
    <row r="11" spans="1:7" s="223" customFormat="1" ht="12.75" customHeight="1" x14ac:dyDescent="0.25">
      <c r="A11" s="246"/>
      <c r="B11" s="247" t="s">
        <v>10</v>
      </c>
      <c r="C11" s="248"/>
      <c r="D11" s="251">
        <f>'#9508.00 PM TIME'!E37</f>
        <v>36000</v>
      </c>
      <c r="E11" s="251">
        <f>'#9508.00 PM TIME'!G37</f>
        <v>8465.5500000000011</v>
      </c>
      <c r="F11" s="251">
        <f>'#9508.00 PM TIME'!I37</f>
        <v>27534.449999999997</v>
      </c>
      <c r="G11" s="250"/>
    </row>
    <row r="12" spans="1:7" s="223" customFormat="1" ht="12.75" customHeight="1" x14ac:dyDescent="0.25">
      <c r="A12" s="246"/>
      <c r="B12" s="247" t="s">
        <v>11</v>
      </c>
      <c r="C12" s="249"/>
      <c r="D12" s="252">
        <f>'#9508.00 Misc '!G22</f>
        <v>6445.22</v>
      </c>
      <c r="E12" s="252">
        <f>'#9508.00 Misc '!G22</f>
        <v>6445.22</v>
      </c>
      <c r="F12" s="251">
        <f>D12-E12</f>
        <v>0</v>
      </c>
      <c r="G12" s="250"/>
    </row>
    <row r="13" spans="1:7" s="223" customFormat="1" ht="12.75" customHeight="1" x14ac:dyDescent="0.25">
      <c r="A13" s="246"/>
      <c r="B13" s="247" t="s">
        <v>394</v>
      </c>
      <c r="C13" s="249"/>
      <c r="D13" s="252">
        <f>'#9508.00 CMB Architects'!D23</f>
        <v>56340</v>
      </c>
      <c r="E13" s="252">
        <f>'#9508.00 CMB Architects'!F23</f>
        <v>41767</v>
      </c>
      <c r="F13" s="251">
        <f>'#9508.00 CMB Architects'!H23</f>
        <v>14573</v>
      </c>
      <c r="G13" s="250"/>
    </row>
    <row r="14" spans="1:7" s="223" customFormat="1" ht="12.75" customHeight="1" x14ac:dyDescent="0.25">
      <c r="A14" s="246"/>
      <c r="B14" s="247" t="s">
        <v>826</v>
      </c>
      <c r="C14" s="249"/>
      <c r="D14" s="252">
        <f>'#9508.00 Story Construction (2)'!D23</f>
        <v>150120.32000000001</v>
      </c>
      <c r="E14" s="252">
        <f>'#9508.00 Story Construction (2)'!F23</f>
        <v>39472.699999999997</v>
      </c>
      <c r="F14" s="251">
        <f>'#9508.00 Story Construction (2)'!H23</f>
        <v>110647.62000000001</v>
      </c>
      <c r="G14" s="250"/>
    </row>
    <row r="15" spans="1:7" s="223" customFormat="1" ht="12.75" customHeight="1" x14ac:dyDescent="0.25">
      <c r="A15" s="246"/>
      <c r="B15" s="247" t="s">
        <v>962</v>
      </c>
      <c r="C15" s="249"/>
      <c r="D15" s="252">
        <f>'#9508.00 White Castle Roofing'!D23</f>
        <v>1000000</v>
      </c>
      <c r="E15" s="252">
        <f>'#9508.00 White Castle Roofing'!F23</f>
        <v>670111.21</v>
      </c>
      <c r="F15" s="251">
        <f>'#9508.00 White Castle Roofing'!H23</f>
        <v>329888.79000000004</v>
      </c>
      <c r="G15" s="250"/>
    </row>
    <row r="16" spans="1:7" s="223" customFormat="1" ht="12.75" customHeight="1" x14ac:dyDescent="0.25">
      <c r="A16" s="246"/>
      <c r="B16" s="247"/>
      <c r="C16" s="249"/>
      <c r="D16" s="252"/>
      <c r="E16" s="252"/>
      <c r="F16" s="251"/>
      <c r="G16" s="250"/>
    </row>
    <row r="17" spans="1:7" ht="24" customHeight="1" thickBot="1" x14ac:dyDescent="0.3">
      <c r="A17" s="25"/>
      <c r="B17" s="26" t="s">
        <v>12</v>
      </c>
      <c r="C17" s="27">
        <f>SUM(C8:C16)</f>
        <v>1707300</v>
      </c>
      <c r="D17" s="27">
        <f>SUM(D8:D16)</f>
        <v>1268098.8999999999</v>
      </c>
      <c r="E17" s="27">
        <f>SUM(E8:E16)</f>
        <v>785455.03999999992</v>
      </c>
      <c r="F17" s="27">
        <f>SUM(D17-E17)</f>
        <v>482643.86</v>
      </c>
      <c r="G17" s="27">
        <f>C8-D17</f>
        <v>439201.10000000009</v>
      </c>
    </row>
    <row r="18" spans="1:7" ht="15" customHeight="1" thickTop="1" x14ac:dyDescent="0.25"/>
  </sheetData>
  <pageMargins left="0.25" right="0.25" top="1.2496875000000001" bottom="0.75" header="0.09" footer="0.3"/>
  <pageSetup scale="8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67894-7576-44C8-B22E-C67596609E9F}">
  <sheetPr>
    <tabColor rgb="FF0070C0"/>
    <pageSetUpPr fitToPage="1"/>
  </sheetPr>
  <dimension ref="A1:I29"/>
  <sheetViews>
    <sheetView topLeftCell="A5" zoomScaleNormal="100" workbookViewId="0">
      <selection activeCell="A32" sqref="A32"/>
    </sheetView>
  </sheetViews>
  <sheetFormatPr defaultColWidth="11.42578125" defaultRowHeight="15" customHeight="1" x14ac:dyDescent="0.25"/>
  <cols>
    <col min="1" max="1" width="24.5703125" style="274" customWidth="1"/>
    <col min="2" max="2" width="9.42578125" style="274" customWidth="1"/>
    <col min="3" max="3" width="14.85546875" style="274" customWidth="1"/>
    <col min="4" max="4" width="14.42578125" style="274" customWidth="1"/>
    <col min="5" max="5" width="13.5703125" style="274" customWidth="1"/>
    <col min="6" max="6" width="12.42578125" style="274" customWidth="1"/>
    <col min="7" max="7" width="10.5703125" style="274" customWidth="1"/>
    <col min="8" max="8" width="13.140625" style="274"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#9508.00'!B1</f>
        <v>DOC FDCF Unit A Roof Replacement</v>
      </c>
      <c r="B1" s="30"/>
      <c r="C1" s="153"/>
      <c r="D1" s="153"/>
      <c r="E1" s="153"/>
      <c r="F1" s="156"/>
      <c r="G1" s="156"/>
      <c r="H1" s="179"/>
      <c r="I1" s="179"/>
    </row>
    <row r="2" spans="1:9" ht="15.75" x14ac:dyDescent="0.25">
      <c r="A2" s="31" t="str">
        <f>'RECAP #9508.00'!B2</f>
        <v>Project # 9508.00</v>
      </c>
      <c r="B2" s="150"/>
      <c r="C2" s="153"/>
      <c r="D2" s="153"/>
      <c r="E2" s="153"/>
      <c r="F2" s="156"/>
      <c r="G2" s="156"/>
      <c r="H2" s="179"/>
      <c r="I2" s="179"/>
    </row>
    <row r="3" spans="1:9" ht="15.75" x14ac:dyDescent="0.25">
      <c r="A3" s="154" t="str">
        <f>'RECAP #9508.00'!B3</f>
        <v>Program code 950800</v>
      </c>
      <c r="B3" s="150"/>
      <c r="C3" s="153"/>
      <c r="D3" s="155" t="str">
        <f>'RECAP #9508.00'!E3</f>
        <v>Major Program 4E02</v>
      </c>
      <c r="E3" s="153"/>
      <c r="F3" s="156"/>
      <c r="G3" s="156"/>
      <c r="H3" s="179"/>
      <c r="I3" s="179"/>
    </row>
    <row r="4" spans="1:9" ht="15.75" x14ac:dyDescent="0.25">
      <c r="A4" s="30" t="s">
        <v>278</v>
      </c>
      <c r="B4" s="31"/>
      <c r="C4" s="179"/>
      <c r="D4" s="180" t="s">
        <v>279</v>
      </c>
      <c r="E4" s="156"/>
      <c r="F4" s="156"/>
      <c r="G4" s="156"/>
      <c r="H4" s="179"/>
      <c r="I4" s="179"/>
    </row>
    <row r="5" spans="1:9" ht="15.75" x14ac:dyDescent="0.25">
      <c r="A5" s="181" t="s">
        <v>104</v>
      </c>
      <c r="B5" s="179"/>
      <c r="C5" s="182"/>
      <c r="D5" s="37" t="s">
        <v>280</v>
      </c>
      <c r="E5" s="42"/>
      <c r="F5" s="156"/>
      <c r="G5" s="156"/>
      <c r="H5" s="179"/>
      <c r="I5" s="179"/>
    </row>
    <row r="6" spans="1:9" ht="15.75" x14ac:dyDescent="0.25">
      <c r="A6" s="31" t="str">
        <f>'RECAP #9508.00'!B6</f>
        <v>Project Manager - Geoff W.(JE)</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307</v>
      </c>
      <c r="B9" s="276">
        <v>45965</v>
      </c>
      <c r="C9" s="277" t="s">
        <v>109</v>
      </c>
      <c r="D9" s="278">
        <v>19497.16</v>
      </c>
      <c r="E9" s="279">
        <f>D9</f>
        <v>19497.16</v>
      </c>
      <c r="F9" s="280"/>
      <c r="G9" s="280"/>
      <c r="H9" s="280">
        <f>E9</f>
        <v>19497.16</v>
      </c>
      <c r="I9" s="281"/>
    </row>
    <row r="10" spans="1:9" s="282" customFormat="1" ht="12.75" customHeight="1" x14ac:dyDescent="0.25">
      <c r="A10" s="275" t="s">
        <v>382</v>
      </c>
      <c r="B10" s="283">
        <v>46020</v>
      </c>
      <c r="C10" s="277" t="s">
        <v>383</v>
      </c>
      <c r="D10" s="279"/>
      <c r="E10" s="279">
        <f t="shared" ref="E10:E21" si="0">E9+D10</f>
        <v>19497.16</v>
      </c>
      <c r="F10" s="284">
        <v>2918.78</v>
      </c>
      <c r="G10" s="280">
        <f t="shared" ref="G10:G21" si="1">G9+F10</f>
        <v>2918.78</v>
      </c>
      <c r="H10" s="280">
        <f t="shared" ref="H10:H21" si="2">H9-F10+D10</f>
        <v>16578.38</v>
      </c>
      <c r="I10" s="281"/>
    </row>
    <row r="11" spans="1:9" s="282" customFormat="1" ht="12.75" customHeight="1" x14ac:dyDescent="0.25">
      <c r="A11" s="275" t="s">
        <v>438</v>
      </c>
      <c r="B11" s="276">
        <v>46042</v>
      </c>
      <c r="C11" s="277" t="s">
        <v>439</v>
      </c>
      <c r="D11" s="279"/>
      <c r="E11" s="279">
        <f t="shared" si="0"/>
        <v>19497.16</v>
      </c>
      <c r="F11" s="284">
        <v>1893.34</v>
      </c>
      <c r="G11" s="280">
        <f t="shared" si="1"/>
        <v>4812.12</v>
      </c>
      <c r="H11" s="280">
        <f t="shared" si="2"/>
        <v>14685.04</v>
      </c>
      <c r="I11" s="281"/>
    </row>
    <row r="12" spans="1:9" s="282" customFormat="1" ht="12.75" customHeight="1" x14ac:dyDescent="0.25">
      <c r="A12" s="275" t="s">
        <v>584</v>
      </c>
      <c r="B12" s="276">
        <v>46076</v>
      </c>
      <c r="C12" s="277" t="s">
        <v>585</v>
      </c>
      <c r="D12" s="279"/>
      <c r="E12" s="279">
        <f t="shared" si="0"/>
        <v>19497.16</v>
      </c>
      <c r="F12" s="284">
        <v>2210.73</v>
      </c>
      <c r="G12" s="280">
        <f t="shared" si="1"/>
        <v>7022.85</v>
      </c>
      <c r="H12" s="280">
        <f t="shared" si="2"/>
        <v>12474.310000000001</v>
      </c>
      <c r="I12" s="281"/>
    </row>
    <row r="13" spans="1:9" s="282" customFormat="1" ht="12.75" customHeight="1" x14ac:dyDescent="0.25">
      <c r="A13" s="275" t="s">
        <v>655</v>
      </c>
      <c r="B13" s="276">
        <v>46098</v>
      </c>
      <c r="C13" s="277" t="s">
        <v>656</v>
      </c>
      <c r="D13" s="279"/>
      <c r="E13" s="279">
        <f t="shared" si="0"/>
        <v>19497.16</v>
      </c>
      <c r="F13" s="284">
        <v>2264.64</v>
      </c>
      <c r="G13" s="280">
        <f t="shared" si="1"/>
        <v>9287.49</v>
      </c>
      <c r="H13" s="280">
        <f t="shared" si="2"/>
        <v>10209.670000000002</v>
      </c>
      <c r="I13" s="281"/>
    </row>
    <row r="14" spans="1:9" s="282" customFormat="1" ht="12.75" customHeight="1" x14ac:dyDescent="0.25">
      <c r="A14" s="275" t="s">
        <v>794</v>
      </c>
      <c r="B14" s="276">
        <v>46128</v>
      </c>
      <c r="C14" s="277" t="s">
        <v>795</v>
      </c>
      <c r="D14" s="279"/>
      <c r="E14" s="279">
        <f t="shared" si="0"/>
        <v>19497.16</v>
      </c>
      <c r="F14" s="284">
        <v>3229.54</v>
      </c>
      <c r="G14" s="280">
        <f t="shared" si="1"/>
        <v>12517.029999999999</v>
      </c>
      <c r="H14" s="280">
        <f t="shared" si="2"/>
        <v>6980.1300000000019</v>
      </c>
      <c r="I14" s="281"/>
    </row>
    <row r="15" spans="1:9" s="282" customFormat="1" ht="12.75" customHeight="1" x14ac:dyDescent="0.25">
      <c r="A15" s="275" t="s">
        <v>970</v>
      </c>
      <c r="B15" s="276">
        <v>46176</v>
      </c>
      <c r="C15" s="277" t="s">
        <v>971</v>
      </c>
      <c r="D15" s="285">
        <v>-303.8</v>
      </c>
      <c r="E15" s="279">
        <f t="shared" si="0"/>
        <v>19193.36</v>
      </c>
      <c r="F15" s="284">
        <v>6676.33</v>
      </c>
      <c r="G15" s="280">
        <f t="shared" si="1"/>
        <v>19193.36</v>
      </c>
      <c r="H15" s="280">
        <f t="shared" si="2"/>
        <v>1.9895196601282805E-12</v>
      </c>
      <c r="I15" s="281"/>
    </row>
    <row r="16" spans="1:9" s="282" customFormat="1" ht="12.75" customHeight="1" x14ac:dyDescent="0.25">
      <c r="A16" s="275"/>
      <c r="B16" s="276"/>
      <c r="C16" s="277"/>
      <c r="D16" s="279"/>
      <c r="E16" s="279">
        <f t="shared" si="0"/>
        <v>19193.36</v>
      </c>
      <c r="F16" s="284"/>
      <c r="G16" s="280">
        <f t="shared" si="1"/>
        <v>19193.36</v>
      </c>
      <c r="H16" s="280">
        <f t="shared" si="2"/>
        <v>1.9895196601282805E-12</v>
      </c>
      <c r="I16" s="281"/>
    </row>
    <row r="17" spans="1:9" s="282" customFormat="1" ht="12.75" customHeight="1" x14ac:dyDescent="0.25">
      <c r="A17" s="275"/>
      <c r="B17" s="276"/>
      <c r="C17" s="277"/>
      <c r="D17" s="279"/>
      <c r="E17" s="279">
        <f t="shared" si="0"/>
        <v>19193.36</v>
      </c>
      <c r="F17" s="284"/>
      <c r="G17" s="280">
        <f t="shared" si="1"/>
        <v>19193.36</v>
      </c>
      <c r="H17" s="280">
        <f t="shared" si="2"/>
        <v>1.9895196601282805E-12</v>
      </c>
      <c r="I17" s="281"/>
    </row>
    <row r="18" spans="1:9" s="282" customFormat="1" ht="12.75" customHeight="1" x14ac:dyDescent="0.25">
      <c r="A18" s="275"/>
      <c r="B18" s="276"/>
      <c r="C18" s="277"/>
      <c r="D18" s="279"/>
      <c r="E18" s="279">
        <f t="shared" si="0"/>
        <v>19193.36</v>
      </c>
      <c r="F18" s="284"/>
      <c r="G18" s="280">
        <f t="shared" si="1"/>
        <v>19193.36</v>
      </c>
      <c r="H18" s="280">
        <f t="shared" si="2"/>
        <v>1.9895196601282805E-12</v>
      </c>
      <c r="I18" s="281"/>
    </row>
    <row r="19" spans="1:9" s="282" customFormat="1" ht="12.75" customHeight="1" x14ac:dyDescent="0.25">
      <c r="A19" s="275"/>
      <c r="B19" s="276"/>
      <c r="C19" s="277"/>
      <c r="D19" s="279"/>
      <c r="E19" s="279">
        <f t="shared" si="0"/>
        <v>19193.36</v>
      </c>
      <c r="F19" s="280"/>
      <c r="G19" s="280">
        <f t="shared" si="1"/>
        <v>19193.36</v>
      </c>
      <c r="H19" s="280">
        <f t="shared" si="2"/>
        <v>1.9895196601282805E-12</v>
      </c>
      <c r="I19" s="281"/>
    </row>
    <row r="20" spans="1:9" s="282" customFormat="1" ht="12.75" customHeight="1" x14ac:dyDescent="0.25">
      <c r="A20" s="275"/>
      <c r="B20" s="276"/>
      <c r="C20" s="277"/>
      <c r="D20" s="279"/>
      <c r="E20" s="279">
        <f t="shared" si="0"/>
        <v>19193.36</v>
      </c>
      <c r="F20" s="280"/>
      <c r="G20" s="280">
        <f t="shared" si="1"/>
        <v>19193.36</v>
      </c>
      <c r="H20" s="280">
        <f t="shared" si="2"/>
        <v>1.9895196601282805E-12</v>
      </c>
      <c r="I20" s="281"/>
    </row>
    <row r="21" spans="1:9" s="282" customFormat="1" ht="12.75" customHeight="1" x14ac:dyDescent="0.25">
      <c r="A21" s="275"/>
      <c r="B21" s="276"/>
      <c r="C21" s="286"/>
      <c r="D21" s="279"/>
      <c r="E21" s="279">
        <f t="shared" si="0"/>
        <v>19193.36</v>
      </c>
      <c r="F21" s="280"/>
      <c r="G21" s="280">
        <f t="shared" si="1"/>
        <v>19193.36</v>
      </c>
      <c r="H21" s="280">
        <f t="shared" si="2"/>
        <v>1.9895196601282805E-12</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19193.36</v>
      </c>
      <c r="E23" s="290"/>
      <c r="F23" s="290">
        <f>SUM(F9:F22)</f>
        <v>19193.36</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f>19294.66-303.8</f>
        <v>18990.86</v>
      </c>
      <c r="E26" s="292"/>
      <c r="F26" s="292">
        <f>2851.28+1893.34+2143.23+2197.14+3229.54+6676.33</f>
        <v>18990.86</v>
      </c>
      <c r="G26" s="292"/>
      <c r="H26" s="292">
        <f>D26-F26</f>
        <v>0</v>
      </c>
      <c r="I26" s="281"/>
    </row>
    <row r="27" spans="1:9" s="282" customFormat="1" ht="12.75" customHeight="1" x14ac:dyDescent="0.25">
      <c r="A27" s="275"/>
      <c r="B27" s="277"/>
      <c r="C27" s="287" t="s">
        <v>111</v>
      </c>
      <c r="D27" s="292">
        <v>202.5</v>
      </c>
      <c r="E27" s="292"/>
      <c r="F27" s="292">
        <f>67.5+67.5+67.5</f>
        <v>202.5</v>
      </c>
      <c r="G27" s="292"/>
      <c r="H27" s="292">
        <f>D27-F27</f>
        <v>0</v>
      </c>
      <c r="I27" s="281"/>
    </row>
    <row r="28" spans="1:9" s="282" customFormat="1" ht="12.75" customHeight="1" thickBot="1" x14ac:dyDescent="0.3">
      <c r="A28" s="275"/>
      <c r="B28" s="277"/>
      <c r="C28" s="293" t="s">
        <v>67</v>
      </c>
      <c r="D28" s="290">
        <f>SUM(D26:D27)</f>
        <v>19193.36</v>
      </c>
      <c r="E28" s="294"/>
      <c r="F28" s="290">
        <f>SUM(F26:F27)</f>
        <v>19193.36</v>
      </c>
      <c r="G28" s="294"/>
      <c r="H28" s="290">
        <f>SUM(H26:H27)</f>
        <v>0</v>
      </c>
      <c r="I28" s="281"/>
    </row>
    <row r="29" spans="1:9" s="282" customFormat="1" ht="12.75" customHeight="1" thickTop="1" x14ac:dyDescent="0.25"/>
  </sheetData>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A0146-8EF8-41E4-862E-2E1D878FFFFB}">
  <sheetPr>
    <pageSetUpPr fitToPage="1"/>
  </sheetPr>
  <dimension ref="A1:J42"/>
  <sheetViews>
    <sheetView topLeftCell="A10" zoomScaleNormal="100" workbookViewId="0">
      <selection activeCell="H40" sqref="H40:H41"/>
    </sheetView>
  </sheetViews>
  <sheetFormatPr defaultColWidth="11.42578125" defaultRowHeight="15" customHeight="1" x14ac:dyDescent="0.25"/>
  <cols>
    <col min="1" max="1" width="24.5703125" customWidth="1"/>
    <col min="2" max="3" width="9.42578125" customWidth="1"/>
    <col min="4" max="4" width="41.5703125" customWidth="1"/>
    <col min="5" max="5" width="12.5703125" customWidth="1"/>
    <col min="6" max="6" width="13.5703125" customWidth="1"/>
    <col min="7" max="7" width="12.42578125" customWidth="1"/>
    <col min="8" max="8" width="10.5703125" customWidth="1"/>
    <col min="9" max="9" width="11.42578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#9508.00'!B1</f>
        <v>DOC FDCF Unit A Roof Replacement</v>
      </c>
      <c r="B1" s="3"/>
      <c r="C1" s="3"/>
      <c r="D1" s="4"/>
      <c r="E1" s="4"/>
      <c r="F1" s="4"/>
      <c r="G1" s="28"/>
      <c r="H1" s="28"/>
      <c r="I1" s="29"/>
      <c r="J1" s="29"/>
    </row>
    <row r="2" spans="1:10" ht="15.75" x14ac:dyDescent="0.25">
      <c r="A2" s="6" t="str">
        <f>'RECAP #9508.00'!B2</f>
        <v>Project # 9508.00</v>
      </c>
      <c r="B2" s="5"/>
      <c r="C2" s="5"/>
      <c r="D2" s="4"/>
      <c r="E2" s="4"/>
      <c r="F2" s="4"/>
      <c r="G2" s="28"/>
      <c r="H2" s="28"/>
      <c r="I2" s="29"/>
      <c r="J2" s="29"/>
    </row>
    <row r="3" spans="1:10" ht="15.75" x14ac:dyDescent="0.25">
      <c r="A3" s="7" t="str">
        <f>'RECAP #9508.00'!B3</f>
        <v>Program code 950800</v>
      </c>
      <c r="B3" s="5"/>
      <c r="C3" s="5"/>
      <c r="D3" s="4"/>
      <c r="E3" s="8" t="str">
        <f>'RECAP #9508.00'!E3</f>
        <v>Major Program 4E02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244</v>
      </c>
      <c r="F6" s="42"/>
      <c r="G6" s="43"/>
      <c r="H6" s="39"/>
      <c r="I6" s="35"/>
      <c r="J6" s="29"/>
    </row>
    <row r="7" spans="1:10" ht="15.75" x14ac:dyDescent="0.25">
      <c r="A7" s="11" t="str">
        <f>'RECAP #9508.00'!B6</f>
        <v>Project Manager - Geoff W.(JE)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f>9500+26500</f>
        <v>36000</v>
      </c>
      <c r="F9" s="233">
        <f>E9</f>
        <v>36000</v>
      </c>
      <c r="G9" s="234"/>
      <c r="H9" s="234"/>
      <c r="I9" s="234">
        <f>F9</f>
        <v>36000</v>
      </c>
      <c r="J9" s="235"/>
    </row>
    <row r="10" spans="1:10" s="223" customFormat="1" ht="12.75" customHeight="1" x14ac:dyDescent="0.25">
      <c r="A10" s="176" t="s">
        <v>314</v>
      </c>
      <c r="B10" s="177">
        <v>45968</v>
      </c>
      <c r="C10" s="241" t="s">
        <v>261</v>
      </c>
      <c r="D10" s="148" t="s">
        <v>315</v>
      </c>
      <c r="E10" s="233"/>
      <c r="F10" s="233">
        <f t="shared" ref="F10:F35" si="0">F9+E10</f>
        <v>36000</v>
      </c>
      <c r="G10" s="237">
        <v>68.53</v>
      </c>
      <c r="H10" s="234">
        <f t="shared" ref="H10:H35" si="1">H9+G10</f>
        <v>68.53</v>
      </c>
      <c r="I10" s="234">
        <f t="shared" ref="I10:I35" si="2">I9-G10+E10</f>
        <v>35931.47</v>
      </c>
      <c r="J10" s="235"/>
    </row>
    <row r="11" spans="1:10" s="223" customFormat="1" ht="12.75" customHeight="1" x14ac:dyDescent="0.25">
      <c r="A11" s="176" t="s">
        <v>314</v>
      </c>
      <c r="B11" s="177">
        <v>45968</v>
      </c>
      <c r="C11" s="241">
        <v>9500</v>
      </c>
      <c r="D11" s="149" t="s">
        <v>316</v>
      </c>
      <c r="E11" s="233"/>
      <c r="F11" s="233">
        <f t="shared" si="0"/>
        <v>36000</v>
      </c>
      <c r="G11" s="237">
        <v>677.1</v>
      </c>
      <c r="H11" s="234">
        <f t="shared" si="1"/>
        <v>745.63</v>
      </c>
      <c r="I11" s="234">
        <f t="shared" si="2"/>
        <v>35254.370000000003</v>
      </c>
      <c r="J11" s="235"/>
    </row>
    <row r="12" spans="1:10" s="223" customFormat="1" ht="12.75" customHeight="1" x14ac:dyDescent="0.2">
      <c r="A12" s="70" t="s">
        <v>364</v>
      </c>
      <c r="B12" s="50">
        <v>45996</v>
      </c>
      <c r="C12" s="53" t="s">
        <v>261</v>
      </c>
      <c r="D12" s="144" t="s">
        <v>365</v>
      </c>
      <c r="E12" s="233"/>
      <c r="F12" s="233">
        <f t="shared" si="0"/>
        <v>36000</v>
      </c>
      <c r="G12" s="237">
        <v>167.12</v>
      </c>
      <c r="H12" s="234">
        <f t="shared" si="1"/>
        <v>912.75</v>
      </c>
      <c r="I12" s="234">
        <f t="shared" si="2"/>
        <v>35087.25</v>
      </c>
      <c r="J12" s="235"/>
    </row>
    <row r="13" spans="1:10" s="223" customFormat="1" ht="12.75" customHeight="1" x14ac:dyDescent="0.2">
      <c r="A13" s="70" t="s">
        <v>364</v>
      </c>
      <c r="B13" s="50">
        <v>45996</v>
      </c>
      <c r="C13" s="268">
        <v>9500</v>
      </c>
      <c r="D13" s="66" t="s">
        <v>366</v>
      </c>
      <c r="E13" s="233"/>
      <c r="F13" s="233">
        <f t="shared" si="0"/>
        <v>36000</v>
      </c>
      <c r="G13" s="237">
        <v>1065.2</v>
      </c>
      <c r="H13" s="234">
        <f t="shared" si="1"/>
        <v>1977.95</v>
      </c>
      <c r="I13" s="234">
        <f t="shared" si="2"/>
        <v>34022.050000000003</v>
      </c>
      <c r="J13" s="235"/>
    </row>
    <row r="14" spans="1:10" s="223" customFormat="1" ht="12.75" customHeight="1" x14ac:dyDescent="0.2">
      <c r="A14" s="70" t="s">
        <v>423</v>
      </c>
      <c r="B14" s="50">
        <v>46030</v>
      </c>
      <c r="C14" s="53" t="s">
        <v>261</v>
      </c>
      <c r="D14" s="144" t="s">
        <v>424</v>
      </c>
      <c r="E14" s="233"/>
      <c r="F14" s="233">
        <f t="shared" si="0"/>
        <v>36000</v>
      </c>
      <c r="G14" s="237">
        <v>73.989999999999995</v>
      </c>
      <c r="H14" s="234">
        <f t="shared" si="1"/>
        <v>2051.94</v>
      </c>
      <c r="I14" s="234">
        <f t="shared" si="2"/>
        <v>33948.060000000005</v>
      </c>
      <c r="J14" s="235"/>
    </row>
    <row r="15" spans="1:10" s="223" customFormat="1" ht="12.75" customHeight="1" x14ac:dyDescent="0.2">
      <c r="A15" s="70" t="s">
        <v>423</v>
      </c>
      <c r="B15" s="50">
        <v>46030</v>
      </c>
      <c r="C15" s="268">
        <v>9500</v>
      </c>
      <c r="D15" s="66" t="s">
        <v>425</v>
      </c>
      <c r="E15" s="233"/>
      <c r="F15" s="233">
        <f t="shared" si="0"/>
        <v>36000</v>
      </c>
      <c r="G15" s="237">
        <v>836.5</v>
      </c>
      <c r="H15" s="234">
        <f t="shared" si="1"/>
        <v>2888.44</v>
      </c>
      <c r="I15" s="234">
        <f t="shared" si="2"/>
        <v>33111.560000000005</v>
      </c>
      <c r="J15" s="235"/>
    </row>
    <row r="16" spans="1:10" s="223" customFormat="1" ht="12.75" customHeight="1" x14ac:dyDescent="0.2">
      <c r="A16" s="70" t="s">
        <v>548</v>
      </c>
      <c r="B16" s="50">
        <v>46062</v>
      </c>
      <c r="C16" s="53" t="s">
        <v>261</v>
      </c>
      <c r="D16" s="144" t="s">
        <v>549</v>
      </c>
      <c r="E16" s="233"/>
      <c r="F16" s="233">
        <f t="shared" si="0"/>
        <v>36000</v>
      </c>
      <c r="G16" s="237">
        <v>113.03</v>
      </c>
      <c r="H16" s="234">
        <f t="shared" si="1"/>
        <v>3001.4700000000003</v>
      </c>
      <c r="I16" s="234">
        <f t="shared" si="2"/>
        <v>32998.530000000006</v>
      </c>
      <c r="J16" s="235"/>
    </row>
    <row r="17" spans="1:10" s="223" customFormat="1" ht="12.75" customHeight="1" x14ac:dyDescent="0.2">
      <c r="A17" s="70" t="s">
        <v>548</v>
      </c>
      <c r="B17" s="50">
        <v>46062</v>
      </c>
      <c r="C17" s="268">
        <v>9500</v>
      </c>
      <c r="D17" s="66" t="s">
        <v>550</v>
      </c>
      <c r="E17" s="233"/>
      <c r="F17" s="233">
        <f t="shared" si="0"/>
        <v>36000</v>
      </c>
      <c r="G17" s="237">
        <v>1400.8</v>
      </c>
      <c r="H17" s="234">
        <f t="shared" si="1"/>
        <v>4402.2700000000004</v>
      </c>
      <c r="I17" s="234">
        <f t="shared" si="2"/>
        <v>31597.730000000007</v>
      </c>
      <c r="J17" s="235"/>
    </row>
    <row r="18" spans="1:10" s="223" customFormat="1" ht="12.75" customHeight="1" x14ac:dyDescent="0.2">
      <c r="A18" s="70" t="s">
        <v>644</v>
      </c>
      <c r="B18" s="50">
        <v>46090</v>
      </c>
      <c r="C18" s="53" t="s">
        <v>261</v>
      </c>
      <c r="D18" s="144" t="s">
        <v>645</v>
      </c>
      <c r="E18" s="233"/>
      <c r="F18" s="233">
        <f t="shared" si="0"/>
        <v>36000</v>
      </c>
      <c r="G18" s="237">
        <v>49.67</v>
      </c>
      <c r="H18" s="234">
        <f t="shared" si="1"/>
        <v>4451.9400000000005</v>
      </c>
      <c r="I18" s="234">
        <f t="shared" si="2"/>
        <v>31548.060000000009</v>
      </c>
      <c r="J18" s="235"/>
    </row>
    <row r="19" spans="1:10" s="223" customFormat="1" ht="12.75" customHeight="1" x14ac:dyDescent="0.2">
      <c r="A19" s="70" t="s">
        <v>644</v>
      </c>
      <c r="B19" s="50">
        <v>46090</v>
      </c>
      <c r="C19" s="268">
        <v>9500</v>
      </c>
      <c r="D19" s="66" t="s">
        <v>646</v>
      </c>
      <c r="E19" s="233"/>
      <c r="F19" s="233">
        <f t="shared" si="0"/>
        <v>36000</v>
      </c>
      <c r="G19" s="237">
        <v>576.79999999999995</v>
      </c>
      <c r="H19" s="234">
        <f t="shared" si="1"/>
        <v>5028.7400000000007</v>
      </c>
      <c r="I19" s="234">
        <f t="shared" si="2"/>
        <v>30971.260000000009</v>
      </c>
      <c r="J19" s="235"/>
    </row>
    <row r="20" spans="1:10" s="223" customFormat="1" ht="12.75" customHeight="1" x14ac:dyDescent="0.2">
      <c r="A20" s="70" t="s">
        <v>744</v>
      </c>
      <c r="B20" s="50">
        <v>46118</v>
      </c>
      <c r="C20" s="53" t="s">
        <v>261</v>
      </c>
      <c r="D20" s="144" t="s">
        <v>745</v>
      </c>
      <c r="E20" s="233"/>
      <c r="F20" s="233">
        <f t="shared" si="0"/>
        <v>36000</v>
      </c>
      <c r="G20" s="237">
        <v>83.22</v>
      </c>
      <c r="H20" s="234">
        <f t="shared" si="1"/>
        <v>5111.9600000000009</v>
      </c>
      <c r="I20" s="234">
        <f t="shared" si="2"/>
        <v>30888.040000000008</v>
      </c>
      <c r="J20" s="235"/>
    </row>
    <row r="21" spans="1:10" s="223" customFormat="1" ht="12.75" customHeight="1" x14ac:dyDescent="0.2">
      <c r="A21" s="70" t="s">
        <v>744</v>
      </c>
      <c r="B21" s="50">
        <v>46118</v>
      </c>
      <c r="C21" s="268">
        <v>9500</v>
      </c>
      <c r="D21" s="66" t="s">
        <v>746</v>
      </c>
      <c r="E21" s="233"/>
      <c r="F21" s="233">
        <f t="shared" si="0"/>
        <v>36000</v>
      </c>
      <c r="G21" s="237">
        <v>674</v>
      </c>
      <c r="H21" s="234">
        <f t="shared" si="1"/>
        <v>5785.9600000000009</v>
      </c>
      <c r="I21" s="234">
        <f t="shared" si="2"/>
        <v>30214.040000000008</v>
      </c>
      <c r="J21" s="235"/>
    </row>
    <row r="22" spans="1:10" s="223" customFormat="1" ht="12.75" customHeight="1" x14ac:dyDescent="0.2">
      <c r="A22" s="70" t="s">
        <v>869</v>
      </c>
      <c r="B22" s="50">
        <v>46149</v>
      </c>
      <c r="C22" s="53" t="s">
        <v>261</v>
      </c>
      <c r="D22" s="144" t="s">
        <v>870</v>
      </c>
      <c r="E22" s="233"/>
      <c r="F22" s="233">
        <f t="shared" si="0"/>
        <v>36000</v>
      </c>
      <c r="G22" s="237">
        <v>8.6</v>
      </c>
      <c r="H22" s="234">
        <f t="shared" si="1"/>
        <v>5794.5600000000013</v>
      </c>
      <c r="I22" s="234">
        <f t="shared" si="2"/>
        <v>30205.44000000001</v>
      </c>
      <c r="J22" s="235"/>
    </row>
    <row r="23" spans="1:10" s="223" customFormat="1" ht="12.75" customHeight="1" x14ac:dyDescent="0.2">
      <c r="A23" s="70" t="s">
        <v>869</v>
      </c>
      <c r="B23" s="50">
        <v>46149</v>
      </c>
      <c r="C23" s="268">
        <v>9500</v>
      </c>
      <c r="D23" s="66" t="s">
        <v>871</v>
      </c>
      <c r="E23" s="233"/>
      <c r="F23" s="233">
        <f t="shared" si="0"/>
        <v>36000</v>
      </c>
      <c r="G23" s="237">
        <v>87</v>
      </c>
      <c r="H23" s="234">
        <f t="shared" si="1"/>
        <v>5881.5600000000013</v>
      </c>
      <c r="I23" s="234">
        <f t="shared" si="2"/>
        <v>30118.44000000001</v>
      </c>
      <c r="J23" s="235"/>
    </row>
    <row r="24" spans="1:10" s="223" customFormat="1" ht="12.75" customHeight="1" x14ac:dyDescent="0.2">
      <c r="A24" s="70" t="s">
        <v>984</v>
      </c>
      <c r="B24" s="50">
        <v>46181</v>
      </c>
      <c r="C24" s="53" t="s">
        <v>261</v>
      </c>
      <c r="D24" s="144" t="s">
        <v>985</v>
      </c>
      <c r="E24" s="233"/>
      <c r="F24" s="233">
        <f t="shared" si="0"/>
        <v>36000</v>
      </c>
      <c r="G24" s="237">
        <v>51</v>
      </c>
      <c r="H24" s="234">
        <f t="shared" si="1"/>
        <v>5932.5600000000013</v>
      </c>
      <c r="I24" s="234">
        <f t="shared" si="2"/>
        <v>30067.44000000001</v>
      </c>
      <c r="J24" s="235"/>
    </row>
    <row r="25" spans="1:10" s="223" customFormat="1" ht="12.75" customHeight="1" x14ac:dyDescent="0.2">
      <c r="A25" s="70" t="s">
        <v>984</v>
      </c>
      <c r="B25" s="50">
        <v>46181</v>
      </c>
      <c r="C25" s="268">
        <v>9500</v>
      </c>
      <c r="D25" s="66" t="s">
        <v>986</v>
      </c>
      <c r="E25" s="233"/>
      <c r="F25" s="233">
        <f t="shared" si="0"/>
        <v>36000</v>
      </c>
      <c r="G25" s="237">
        <v>623.70000000000005</v>
      </c>
      <c r="H25" s="234">
        <f t="shared" si="1"/>
        <v>6556.2600000000011</v>
      </c>
      <c r="I25" s="234">
        <f t="shared" si="2"/>
        <v>29443.740000000009</v>
      </c>
      <c r="J25" s="235"/>
    </row>
    <row r="26" spans="1:10" s="223" customFormat="1" ht="12.75" customHeight="1" x14ac:dyDescent="0.2">
      <c r="A26" s="70" t="s">
        <v>1186</v>
      </c>
      <c r="B26" s="50">
        <v>46211</v>
      </c>
      <c r="C26" s="53" t="s">
        <v>261</v>
      </c>
      <c r="D26" s="144" t="s">
        <v>1187</v>
      </c>
      <c r="E26" s="233"/>
      <c r="F26" s="233">
        <f t="shared" si="0"/>
        <v>36000</v>
      </c>
      <c r="G26" s="237">
        <v>16.43</v>
      </c>
      <c r="H26" s="234">
        <f t="shared" si="1"/>
        <v>6572.6900000000014</v>
      </c>
      <c r="I26" s="234">
        <f t="shared" si="2"/>
        <v>29427.310000000009</v>
      </c>
      <c r="J26" s="235"/>
    </row>
    <row r="27" spans="1:10" s="223" customFormat="1" ht="12.75" customHeight="1" x14ac:dyDescent="0.2">
      <c r="A27" s="70" t="s">
        <v>1186</v>
      </c>
      <c r="B27" s="50">
        <v>46211</v>
      </c>
      <c r="C27" s="268">
        <v>9500</v>
      </c>
      <c r="D27" s="66" t="s">
        <v>1188</v>
      </c>
      <c r="E27" s="233"/>
      <c r="F27" s="233">
        <f t="shared" si="0"/>
        <v>36000</v>
      </c>
      <c r="G27" s="237">
        <v>273.39999999999998</v>
      </c>
      <c r="H27" s="234">
        <f t="shared" si="1"/>
        <v>6846.0900000000011</v>
      </c>
      <c r="I27" s="234">
        <f t="shared" si="2"/>
        <v>29153.910000000007</v>
      </c>
      <c r="J27" s="235"/>
    </row>
    <row r="28" spans="1:10" s="223" customFormat="1" ht="12.75" customHeight="1" x14ac:dyDescent="0.2">
      <c r="A28" s="70" t="s">
        <v>1265</v>
      </c>
      <c r="B28" s="50">
        <v>46218</v>
      </c>
      <c r="C28" s="53" t="s">
        <v>261</v>
      </c>
      <c r="D28" s="144" t="s">
        <v>1266</v>
      </c>
      <c r="E28" s="233"/>
      <c r="F28" s="233">
        <f t="shared" si="0"/>
        <v>36000</v>
      </c>
      <c r="G28" s="237">
        <v>6.31</v>
      </c>
      <c r="H28" s="234">
        <f t="shared" si="1"/>
        <v>6852.4000000000015</v>
      </c>
      <c r="I28" s="234">
        <f t="shared" si="2"/>
        <v>29147.600000000006</v>
      </c>
      <c r="J28" s="235"/>
    </row>
    <row r="29" spans="1:10" s="223" customFormat="1" ht="12.75" customHeight="1" x14ac:dyDescent="0.2">
      <c r="A29" s="70" t="s">
        <v>1436</v>
      </c>
      <c r="B29" s="365">
        <v>46241</v>
      </c>
      <c r="C29" s="53" t="s">
        <v>261</v>
      </c>
      <c r="D29" s="144" t="s">
        <v>1437</v>
      </c>
      <c r="E29" s="233"/>
      <c r="F29" s="233">
        <f t="shared" si="0"/>
        <v>36000</v>
      </c>
      <c r="G29" s="237">
        <v>68.05</v>
      </c>
      <c r="H29" s="234">
        <f t="shared" si="1"/>
        <v>6920.4500000000016</v>
      </c>
      <c r="I29" s="234">
        <f t="shared" si="2"/>
        <v>29079.550000000007</v>
      </c>
      <c r="J29" s="235"/>
    </row>
    <row r="30" spans="1:10" s="223" customFormat="1" ht="12.75" customHeight="1" x14ac:dyDescent="0.2">
      <c r="A30" s="70" t="s">
        <v>1436</v>
      </c>
      <c r="B30" s="365">
        <v>46241</v>
      </c>
      <c r="C30" s="268">
        <v>9500</v>
      </c>
      <c r="D30" s="66" t="s">
        <v>1438</v>
      </c>
      <c r="E30" s="233"/>
      <c r="F30" s="233">
        <f t="shared" si="0"/>
        <v>36000</v>
      </c>
      <c r="G30" s="237">
        <v>756.4</v>
      </c>
      <c r="H30" s="234">
        <f t="shared" si="1"/>
        <v>7676.8500000000013</v>
      </c>
      <c r="I30" s="234">
        <f t="shared" si="2"/>
        <v>28323.150000000005</v>
      </c>
      <c r="J30" s="235"/>
    </row>
    <row r="31" spans="1:10" s="223" customFormat="1" ht="12.75" customHeight="1" x14ac:dyDescent="0.2">
      <c r="A31" s="70" t="s">
        <v>1531</v>
      </c>
      <c r="B31" s="365">
        <v>46272</v>
      </c>
      <c r="C31" s="53" t="s">
        <v>261</v>
      </c>
      <c r="D31" s="144" t="s">
        <v>1532</v>
      </c>
      <c r="E31" s="233"/>
      <c r="F31" s="233">
        <f t="shared" si="0"/>
        <v>36000</v>
      </c>
      <c r="G31" s="237">
        <v>72.900000000000006</v>
      </c>
      <c r="H31" s="234">
        <f t="shared" si="1"/>
        <v>7749.7500000000009</v>
      </c>
      <c r="I31" s="234">
        <f t="shared" si="2"/>
        <v>28250.250000000004</v>
      </c>
      <c r="J31" s="235"/>
    </row>
    <row r="32" spans="1:10" s="223" customFormat="1" ht="12.75" customHeight="1" x14ac:dyDescent="0.2">
      <c r="A32" s="70" t="s">
        <v>1531</v>
      </c>
      <c r="B32" s="365">
        <v>46272</v>
      </c>
      <c r="C32" s="268">
        <v>9500</v>
      </c>
      <c r="D32" s="66" t="s">
        <v>1533</v>
      </c>
      <c r="E32" s="233"/>
      <c r="F32" s="233">
        <f t="shared" si="0"/>
        <v>36000</v>
      </c>
      <c r="G32" s="237">
        <v>715.8</v>
      </c>
      <c r="H32" s="234">
        <f t="shared" si="1"/>
        <v>8465.5500000000011</v>
      </c>
      <c r="I32" s="234">
        <f t="shared" si="2"/>
        <v>27534.450000000004</v>
      </c>
      <c r="J32" s="235"/>
    </row>
    <row r="33" spans="1:10" s="223" customFormat="1" ht="12.75" customHeight="1" x14ac:dyDescent="0.2">
      <c r="A33" s="70"/>
      <c r="B33" s="365"/>
      <c r="C33" s="268"/>
      <c r="D33" s="66"/>
      <c r="E33" s="233"/>
      <c r="F33" s="233">
        <f t="shared" si="0"/>
        <v>36000</v>
      </c>
      <c r="G33" s="238"/>
      <c r="H33" s="234">
        <f t="shared" si="1"/>
        <v>8465.5500000000011</v>
      </c>
      <c r="I33" s="234">
        <f t="shared" si="2"/>
        <v>27534.450000000004</v>
      </c>
      <c r="J33" s="235"/>
    </row>
    <row r="34" spans="1:10" s="223" customFormat="1" ht="12.75" customHeight="1" x14ac:dyDescent="0.2">
      <c r="A34" s="70"/>
      <c r="B34" s="365"/>
      <c r="C34" s="268"/>
      <c r="D34" s="66"/>
      <c r="E34" s="233"/>
      <c r="F34" s="233">
        <f t="shared" si="0"/>
        <v>36000</v>
      </c>
      <c r="G34" s="238"/>
      <c r="H34" s="234">
        <f t="shared" si="1"/>
        <v>8465.5500000000011</v>
      </c>
      <c r="I34" s="234">
        <f t="shared" si="2"/>
        <v>27534.450000000004</v>
      </c>
      <c r="J34" s="235"/>
    </row>
    <row r="35" spans="1:10" s="223" customFormat="1" ht="12.75" customHeight="1" x14ac:dyDescent="0.2">
      <c r="A35" s="70"/>
      <c r="B35" s="50"/>
      <c r="C35" s="53"/>
      <c r="D35" s="144"/>
      <c r="E35" s="233"/>
      <c r="F35" s="233">
        <f t="shared" si="0"/>
        <v>36000</v>
      </c>
      <c r="G35" s="237"/>
      <c r="H35" s="234">
        <f t="shared" si="1"/>
        <v>8465.5500000000011</v>
      </c>
      <c r="I35" s="234">
        <f t="shared" si="2"/>
        <v>27534.450000000004</v>
      </c>
      <c r="J35" s="235"/>
    </row>
    <row r="36" spans="1:10" s="223" customFormat="1" ht="12.75" customHeight="1" x14ac:dyDescent="0.25">
      <c r="A36" s="230"/>
      <c r="B36" s="231"/>
      <c r="C36" s="231"/>
      <c r="D36" s="240"/>
      <c r="E36" s="234"/>
      <c r="F36" s="234"/>
      <c r="G36" s="234"/>
      <c r="H36" s="234"/>
      <c r="I36" s="234"/>
      <c r="J36" s="235"/>
    </row>
    <row r="37" spans="1:10" s="223" customFormat="1" ht="12.75" customHeight="1" thickBot="1" x14ac:dyDescent="0.3">
      <c r="A37" s="230"/>
      <c r="B37" s="243"/>
      <c r="C37" s="243"/>
      <c r="D37" s="244" t="s">
        <v>24</v>
      </c>
      <c r="E37" s="245">
        <f>SUM(E9:E36)</f>
        <v>36000</v>
      </c>
      <c r="F37" s="245"/>
      <c r="G37" s="245">
        <f>SUM(G9:G36)</f>
        <v>8465.5500000000011</v>
      </c>
      <c r="H37" s="245"/>
      <c r="I37" s="245">
        <f>E37-G37</f>
        <v>27534.449999999997</v>
      </c>
      <c r="J37" s="235"/>
    </row>
    <row r="38" spans="1:10" s="223" customFormat="1" ht="12.75" customHeight="1" thickTop="1" x14ac:dyDescent="0.25"/>
    <row r="39" spans="1:10" s="223" customFormat="1" ht="12.75" customHeight="1" x14ac:dyDescent="0.25"/>
    <row r="40" spans="1:10" s="223" customFormat="1" ht="12.75" customHeight="1" x14ac:dyDescent="0.25"/>
    <row r="41" spans="1:10" s="223" customFormat="1" ht="12.75" customHeight="1" x14ac:dyDescent="0.25"/>
    <row r="42" spans="1:10" s="223"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54CD0-9E06-48A4-AACA-CDD02EBB0353}">
  <sheetPr>
    <pageSetUpPr fitToPage="1"/>
  </sheetPr>
  <dimension ref="A1:H101"/>
  <sheetViews>
    <sheetView zoomScaleNormal="100" workbookViewId="0">
      <selection activeCell="A18" sqref="A18"/>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5703125" customWidth="1"/>
    <col min="6" max="6" width="13.57031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#9508.00'!B1</f>
        <v>DOC FDCF Unit A Roof Replacement</v>
      </c>
      <c r="B1" s="3"/>
      <c r="C1" s="3"/>
      <c r="D1" s="3"/>
      <c r="E1" s="4"/>
      <c r="F1" s="4"/>
      <c r="G1" s="4"/>
      <c r="H1" s="28"/>
    </row>
    <row r="2" spans="1:8" ht="15.75" x14ac:dyDescent="0.25">
      <c r="A2" s="6" t="str">
        <f>'RECAP #9508.00'!B2</f>
        <v>Project # 9508.00</v>
      </c>
      <c r="B2" s="5"/>
      <c r="C2" s="5"/>
      <c r="D2" s="5"/>
      <c r="E2" s="4"/>
      <c r="F2" s="4"/>
      <c r="G2" s="4"/>
      <c r="H2" s="28"/>
    </row>
    <row r="3" spans="1:8" ht="15.75" x14ac:dyDescent="0.25">
      <c r="A3" s="7" t="str">
        <f>'RECAP #9508.00'!B3</f>
        <v>Program code 950800</v>
      </c>
      <c r="B3" s="5"/>
      <c r="C3" s="5"/>
      <c r="D3" s="5"/>
      <c r="E3" s="8" t="str">
        <f>'RECAP #9508.00'!E3</f>
        <v>Major Program 4E02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308</v>
      </c>
      <c r="F6" s="35"/>
      <c r="G6" s="38"/>
      <c r="H6" s="39"/>
    </row>
    <row r="7" spans="1:8" ht="15.75" x14ac:dyDescent="0.25">
      <c r="A7" s="11" t="str">
        <f>'RECAP #9508.00'!B6</f>
        <v>Project Manager - Geoff W.(JE)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5">
      <c r="A9" s="239" t="s">
        <v>446</v>
      </c>
      <c r="B9" s="177">
        <v>46043</v>
      </c>
      <c r="C9" s="241" t="s">
        <v>361</v>
      </c>
      <c r="D9" s="241" t="s">
        <v>362</v>
      </c>
      <c r="E9" s="176" t="s">
        <v>447</v>
      </c>
      <c r="F9" s="259" t="s">
        <v>445</v>
      </c>
      <c r="G9" s="237">
        <v>2616</v>
      </c>
      <c r="H9" s="260">
        <f>G9</f>
        <v>2616</v>
      </c>
    </row>
    <row r="10" spans="1:8" s="223" customFormat="1" ht="12.75" customHeight="1" x14ac:dyDescent="0.25">
      <c r="A10" s="176" t="s">
        <v>845</v>
      </c>
      <c r="B10" s="177">
        <v>46148</v>
      </c>
      <c r="C10" s="241" t="s">
        <v>361</v>
      </c>
      <c r="D10" s="241" t="s">
        <v>362</v>
      </c>
      <c r="E10" s="258" t="s">
        <v>698</v>
      </c>
      <c r="F10" s="272" t="s">
        <v>844</v>
      </c>
      <c r="G10" s="237">
        <v>3500</v>
      </c>
      <c r="H10" s="260">
        <f>H9+G10</f>
        <v>6116</v>
      </c>
    </row>
    <row r="11" spans="1:8" s="223" customFormat="1" ht="12.75" customHeight="1" x14ac:dyDescent="0.2">
      <c r="A11" s="176" t="s">
        <v>950</v>
      </c>
      <c r="B11" s="177">
        <v>46168</v>
      </c>
      <c r="C11" s="241" t="s">
        <v>361</v>
      </c>
      <c r="D11" s="241" t="s">
        <v>362</v>
      </c>
      <c r="E11" s="38" t="s">
        <v>368</v>
      </c>
      <c r="F11" s="252" t="s">
        <v>949</v>
      </c>
      <c r="G11" s="237">
        <v>329.22</v>
      </c>
      <c r="H11" s="260">
        <f t="shared" ref="H11:H20" si="0">H10+G11</f>
        <v>6445.22</v>
      </c>
    </row>
    <row r="12" spans="1:8" s="223" customFormat="1" ht="12.75" customHeight="1" x14ac:dyDescent="0.25">
      <c r="A12" s="241" t="s">
        <v>2</v>
      </c>
      <c r="B12" s="177" t="s">
        <v>2</v>
      </c>
      <c r="C12" s="177"/>
      <c r="D12" s="177"/>
      <c r="E12" s="258" t="s">
        <v>2</v>
      </c>
      <c r="F12" s="252"/>
      <c r="G12" s="260"/>
      <c r="H12" s="260">
        <f t="shared" si="0"/>
        <v>6445.22</v>
      </c>
    </row>
    <row r="13" spans="1:8" s="223" customFormat="1" ht="12.75" customHeight="1" x14ac:dyDescent="0.25">
      <c r="A13" s="241" t="s">
        <v>2</v>
      </c>
      <c r="B13" s="177" t="s">
        <v>2</v>
      </c>
      <c r="C13" s="177"/>
      <c r="D13" s="177"/>
      <c r="E13" s="258" t="s">
        <v>2</v>
      </c>
      <c r="F13" s="252"/>
      <c r="G13" s="260"/>
      <c r="H13" s="260">
        <f t="shared" si="0"/>
        <v>6445.22</v>
      </c>
    </row>
    <row r="14" spans="1:8" s="223" customFormat="1" ht="12.75" customHeight="1" x14ac:dyDescent="0.25">
      <c r="A14" s="241"/>
      <c r="B14" s="177"/>
      <c r="C14" s="177"/>
      <c r="D14" s="177"/>
      <c r="E14" s="258"/>
      <c r="F14" s="252"/>
      <c r="G14" s="260"/>
      <c r="H14" s="260">
        <f t="shared" si="0"/>
        <v>6445.22</v>
      </c>
    </row>
    <row r="15" spans="1:8" s="223" customFormat="1" ht="12.75" customHeight="1" x14ac:dyDescent="0.25">
      <c r="A15" s="241"/>
      <c r="B15" s="177"/>
      <c r="C15" s="177"/>
      <c r="D15" s="177"/>
      <c r="E15" s="261"/>
      <c r="F15" s="252"/>
      <c r="G15" s="260"/>
      <c r="H15" s="260">
        <f t="shared" si="0"/>
        <v>6445.22</v>
      </c>
    </row>
    <row r="16" spans="1:8" s="223" customFormat="1" ht="12.75" customHeight="1" x14ac:dyDescent="0.25">
      <c r="A16" s="241"/>
      <c r="B16" s="177"/>
      <c r="C16" s="177"/>
      <c r="D16" s="177"/>
      <c r="E16" s="258"/>
      <c r="F16" s="252"/>
      <c r="G16" s="260"/>
      <c r="H16" s="260">
        <f t="shared" si="0"/>
        <v>6445.22</v>
      </c>
    </row>
    <row r="17" spans="1:8" s="223" customFormat="1" ht="12.75" customHeight="1" x14ac:dyDescent="0.25">
      <c r="A17" s="230"/>
      <c r="B17" s="177"/>
      <c r="C17" s="177"/>
      <c r="D17" s="177"/>
      <c r="E17" s="258"/>
      <c r="F17" s="252"/>
      <c r="G17" s="260"/>
      <c r="H17" s="260">
        <f t="shared" si="0"/>
        <v>6445.22</v>
      </c>
    </row>
    <row r="18" spans="1:8" s="223" customFormat="1" ht="12.75" customHeight="1" x14ac:dyDescent="0.25">
      <c r="A18" s="230"/>
      <c r="B18" s="177"/>
      <c r="C18" s="177"/>
      <c r="D18" s="177"/>
      <c r="E18" s="258"/>
      <c r="F18" s="252"/>
      <c r="G18" s="260"/>
      <c r="H18" s="260">
        <f t="shared" si="0"/>
        <v>6445.22</v>
      </c>
    </row>
    <row r="19" spans="1:8" s="223" customFormat="1" ht="12.75" customHeight="1" x14ac:dyDescent="0.25">
      <c r="A19" s="230"/>
      <c r="B19" s="177"/>
      <c r="C19" s="177"/>
      <c r="D19" s="177"/>
      <c r="E19" s="258"/>
      <c r="F19" s="252"/>
      <c r="G19" s="260"/>
      <c r="H19" s="260">
        <f t="shared" si="0"/>
        <v>6445.22</v>
      </c>
    </row>
    <row r="20" spans="1:8" s="223" customFormat="1" ht="12.75" customHeight="1" x14ac:dyDescent="0.25">
      <c r="A20" s="230"/>
      <c r="B20" s="177"/>
      <c r="C20" s="177"/>
      <c r="D20" s="177"/>
      <c r="E20" s="258"/>
      <c r="F20" s="252"/>
      <c r="G20" s="260"/>
      <c r="H20" s="260">
        <f t="shared" si="0"/>
        <v>6445.22</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6445.22</v>
      </c>
      <c r="H22" s="265"/>
    </row>
    <row r="23" spans="1:8" s="223" customFormat="1" ht="12.75" customHeight="1" thickTop="1" x14ac:dyDescent="0.25"/>
    <row r="24" spans="1:8" s="223" customFormat="1" ht="12.75" customHeight="1" x14ac:dyDescent="0.25"/>
    <row r="25" spans="1:8" s="223" customFormat="1" ht="12.75" customHeight="1" x14ac:dyDescent="0.25"/>
    <row r="26" spans="1:8" s="223" customFormat="1" ht="12.75" customHeight="1" x14ac:dyDescent="0.25"/>
    <row r="27" spans="1:8" s="223" customFormat="1" ht="12.75" customHeight="1" x14ac:dyDescent="0.25"/>
    <row r="28" spans="1:8" s="223" customFormat="1" ht="12.75" customHeight="1" x14ac:dyDescent="0.25"/>
    <row r="29" spans="1:8" s="223" customFormat="1" ht="12.75" customHeight="1" x14ac:dyDescent="0.25"/>
    <row r="30" spans="1:8" s="223" customFormat="1" ht="12.75" customHeight="1" x14ac:dyDescent="0.25"/>
    <row r="31" spans="1:8" s="223" customFormat="1" ht="12.75" customHeight="1" x14ac:dyDescent="0.25"/>
    <row r="32" spans="1:8" s="223" customFormat="1" ht="12.75" customHeight="1" x14ac:dyDescent="0.25"/>
    <row r="33" s="223" customFormat="1" ht="12.75" customHeight="1" x14ac:dyDescent="0.25"/>
    <row r="34" s="223" customFormat="1" ht="12.75" customHeight="1" x14ac:dyDescent="0.25"/>
    <row r="35" s="223" customFormat="1" ht="12.75" customHeight="1" x14ac:dyDescent="0.25"/>
    <row r="36" s="223" customFormat="1" ht="12.75" customHeight="1" x14ac:dyDescent="0.25"/>
    <row r="37" s="223" customFormat="1" ht="12.75" customHeight="1" x14ac:dyDescent="0.25"/>
    <row r="38" s="223" customFormat="1" ht="12.75" customHeight="1" x14ac:dyDescent="0.25"/>
    <row r="39" s="223" customFormat="1" ht="12.75" customHeight="1" x14ac:dyDescent="0.25"/>
    <row r="40" s="223" customFormat="1" ht="12.75" customHeight="1" x14ac:dyDescent="0.25"/>
    <row r="41" s="223" customFormat="1" ht="12.75" customHeight="1" x14ac:dyDescent="0.25"/>
    <row r="42" s="223" customFormat="1" ht="12.75" customHeight="1" x14ac:dyDescent="0.25"/>
    <row r="43" s="223" customFormat="1" ht="12.75" customHeight="1" x14ac:dyDescent="0.25"/>
    <row r="44" s="223" customFormat="1" ht="12.75" customHeight="1" x14ac:dyDescent="0.25"/>
    <row r="45" s="223" customFormat="1" ht="12.75" customHeight="1" x14ac:dyDescent="0.25"/>
    <row r="46" s="223" customFormat="1" ht="12.75" customHeight="1" x14ac:dyDescent="0.25"/>
    <row r="47" s="223" customFormat="1" ht="12.75" customHeight="1" x14ac:dyDescent="0.25"/>
    <row r="48" s="223" customFormat="1" ht="12.75" customHeight="1" x14ac:dyDescent="0.25"/>
    <row r="49" s="223" customFormat="1" ht="12.75" customHeight="1" x14ac:dyDescent="0.25"/>
    <row r="50" s="223" customFormat="1" ht="12.75" customHeight="1" x14ac:dyDescent="0.25"/>
    <row r="51" s="223" customFormat="1" ht="12.75" customHeight="1" x14ac:dyDescent="0.25"/>
    <row r="52" s="223" customFormat="1" ht="12.75" customHeight="1" x14ac:dyDescent="0.25"/>
    <row r="53" s="223" customFormat="1" ht="12.75" customHeight="1" x14ac:dyDescent="0.25"/>
    <row r="54" s="223" customFormat="1" ht="12.75" customHeight="1" x14ac:dyDescent="0.25"/>
    <row r="55" s="223" customFormat="1" ht="12.75" customHeight="1" x14ac:dyDescent="0.25"/>
    <row r="56" s="223" customFormat="1" ht="12.75" customHeight="1" x14ac:dyDescent="0.25"/>
    <row r="57" s="223" customFormat="1" ht="12.75" customHeight="1" x14ac:dyDescent="0.25"/>
    <row r="58" s="223" customFormat="1" ht="12.75" customHeight="1" x14ac:dyDescent="0.25"/>
    <row r="59" s="223" customFormat="1" ht="12.75" customHeight="1" x14ac:dyDescent="0.25"/>
    <row r="60" s="223" customFormat="1" ht="12.75" customHeight="1" x14ac:dyDescent="0.25"/>
    <row r="61" s="223" customFormat="1" ht="12.75" customHeight="1" x14ac:dyDescent="0.25"/>
    <row r="62" s="223" customFormat="1" ht="12.75" customHeight="1" x14ac:dyDescent="0.25"/>
    <row r="63" s="223" customFormat="1" ht="12.75" customHeight="1" x14ac:dyDescent="0.25"/>
    <row r="64" s="223" customFormat="1" ht="12.75" customHeight="1" x14ac:dyDescent="0.25"/>
    <row r="65" s="223" customFormat="1" ht="12.75" customHeight="1" x14ac:dyDescent="0.25"/>
    <row r="66" s="223" customFormat="1" ht="12.75" customHeight="1" x14ac:dyDescent="0.25"/>
    <row r="67" s="223" customFormat="1" ht="12.75" customHeight="1" x14ac:dyDescent="0.25"/>
    <row r="68" s="223" customFormat="1" ht="12.75" customHeight="1" x14ac:dyDescent="0.25"/>
    <row r="69" s="223" customFormat="1" ht="12.75" customHeight="1" x14ac:dyDescent="0.25"/>
    <row r="70" s="223" customFormat="1" ht="12.75" customHeight="1" x14ac:dyDescent="0.25"/>
    <row r="71" s="223" customFormat="1" ht="12.75" customHeight="1" x14ac:dyDescent="0.25"/>
    <row r="72" s="223" customFormat="1" ht="12.75" customHeight="1" x14ac:dyDescent="0.25"/>
    <row r="73" s="223" customFormat="1" ht="12.75" customHeight="1" x14ac:dyDescent="0.25"/>
    <row r="74" s="223" customFormat="1" ht="12.75" customHeight="1" x14ac:dyDescent="0.25"/>
    <row r="75" s="223" customFormat="1" ht="12.75" customHeight="1" x14ac:dyDescent="0.25"/>
    <row r="76" s="223" customFormat="1" ht="12.75" customHeight="1" x14ac:dyDescent="0.25"/>
    <row r="77" s="223" customFormat="1" ht="12.75" customHeight="1" x14ac:dyDescent="0.25"/>
    <row r="78" s="223" customFormat="1" ht="12.75" customHeight="1" x14ac:dyDescent="0.25"/>
    <row r="79" s="223" customFormat="1" ht="12.75" customHeight="1" x14ac:dyDescent="0.25"/>
    <row r="80" s="223" customFormat="1" ht="12.75" customHeight="1" x14ac:dyDescent="0.25"/>
    <row r="81" s="223" customFormat="1" ht="12.75" customHeight="1" x14ac:dyDescent="0.25"/>
    <row r="82" s="223" customFormat="1" ht="12.75" customHeight="1" x14ac:dyDescent="0.25"/>
    <row r="83" s="223" customFormat="1" ht="12.75" customHeight="1" x14ac:dyDescent="0.25"/>
    <row r="84" s="223" customFormat="1" ht="12.75" customHeight="1" x14ac:dyDescent="0.25"/>
    <row r="85" s="223" customFormat="1" ht="12.75" customHeight="1" x14ac:dyDescent="0.25"/>
    <row r="86" s="223" customFormat="1" ht="12.75" customHeight="1" x14ac:dyDescent="0.25"/>
    <row r="87" s="223" customFormat="1" ht="12.75" customHeight="1" x14ac:dyDescent="0.25"/>
    <row r="88" s="223" customFormat="1" ht="12.75" customHeight="1" x14ac:dyDescent="0.25"/>
    <row r="89" s="223" customFormat="1" ht="12.75" customHeight="1" x14ac:dyDescent="0.25"/>
    <row r="90" s="223" customFormat="1" ht="12.75" customHeight="1" x14ac:dyDescent="0.25"/>
    <row r="91" s="223" customFormat="1" ht="12.75" customHeight="1" x14ac:dyDescent="0.25"/>
    <row r="92" s="223" customFormat="1" ht="12.75" customHeight="1" x14ac:dyDescent="0.25"/>
    <row r="93" s="223" customFormat="1" ht="12.75" customHeight="1" x14ac:dyDescent="0.25"/>
    <row r="94" s="223" customFormat="1" ht="12.75" customHeight="1" x14ac:dyDescent="0.25"/>
    <row r="95" s="223" customFormat="1" ht="12.75" customHeight="1" x14ac:dyDescent="0.25"/>
    <row r="96" s="223" customFormat="1" ht="12.75" customHeight="1" x14ac:dyDescent="0.25"/>
    <row r="97" s="223" customFormat="1" ht="12.75" customHeight="1" x14ac:dyDescent="0.25"/>
    <row r="98" s="223" customFormat="1" ht="12.75" customHeight="1" x14ac:dyDescent="0.25"/>
    <row r="99" s="223" customFormat="1" ht="12.75" customHeight="1" x14ac:dyDescent="0.25"/>
    <row r="100" s="223" customFormat="1" ht="12.75" customHeight="1" x14ac:dyDescent="0.25"/>
    <row r="101" s="223"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0DFA7-0513-4505-9609-796DACF783EB}">
  <sheetPr>
    <pageSetUpPr fitToPage="1"/>
  </sheetPr>
  <dimension ref="A1:I30"/>
  <sheetViews>
    <sheetView zoomScaleNormal="100" workbookViewId="0">
      <selection activeCell="F18" sqref="F18"/>
    </sheetView>
  </sheetViews>
  <sheetFormatPr defaultColWidth="11.42578125" defaultRowHeight="15" customHeight="1" x14ac:dyDescent="0.25"/>
  <cols>
    <col min="1" max="1" width="24.5703125" customWidth="1"/>
    <col min="2" max="2" width="9.42578125" customWidth="1"/>
    <col min="3" max="3" width="21.85546875" bestFit="1" customWidth="1"/>
    <col min="4" max="4" width="14.42578125" customWidth="1"/>
    <col min="5" max="5" width="13.5703125" customWidth="1"/>
    <col min="6" max="6" width="12.42578125" customWidth="1"/>
    <col min="7" max="7" width="10.5703125" customWidth="1"/>
    <col min="8" max="8" width="13.140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#9508.00'!B1</f>
        <v>DOC FDCF Unit A Roof Replacement</v>
      </c>
      <c r="B1" s="3"/>
      <c r="C1" s="4"/>
      <c r="D1" s="4"/>
      <c r="E1" s="4"/>
      <c r="F1" s="28"/>
      <c r="G1" s="28"/>
      <c r="H1" s="29"/>
      <c r="I1" s="29"/>
    </row>
    <row r="2" spans="1:9" ht="15.75" x14ac:dyDescent="0.25">
      <c r="A2" s="6" t="str">
        <f>'RECAP #9508.00'!B2</f>
        <v>Project # 9508.00</v>
      </c>
      <c r="B2" s="5"/>
      <c r="C2" s="4"/>
      <c r="D2" s="4"/>
      <c r="E2" s="4"/>
      <c r="F2" s="28"/>
      <c r="G2" s="28"/>
      <c r="H2" s="29"/>
      <c r="I2" s="29"/>
    </row>
    <row r="3" spans="1:9" ht="15.75" x14ac:dyDescent="0.25">
      <c r="A3" s="7" t="str">
        <f>'RECAP #9508.00'!B3</f>
        <v>Program code 950800</v>
      </c>
      <c r="B3" s="5"/>
      <c r="C3" s="4"/>
      <c r="D3" s="8" t="str">
        <f>'RECAP #9508.00'!E3</f>
        <v>Major Program 4E02</v>
      </c>
      <c r="E3" s="4"/>
      <c r="F3" s="28"/>
      <c r="G3" s="28"/>
      <c r="H3" s="29"/>
      <c r="I3" s="29"/>
    </row>
    <row r="4" spans="1:9" ht="15.75" x14ac:dyDescent="0.25">
      <c r="A4" s="30" t="s">
        <v>395</v>
      </c>
      <c r="B4" s="31"/>
      <c r="C4" s="32"/>
      <c r="D4" s="33" t="s">
        <v>396</v>
      </c>
      <c r="E4" s="28"/>
      <c r="F4" s="28"/>
      <c r="G4" s="28"/>
      <c r="H4" s="29"/>
      <c r="I4" s="29"/>
    </row>
    <row r="5" spans="1:9" ht="15.75" x14ac:dyDescent="0.25">
      <c r="A5" s="34" t="s">
        <v>115</v>
      </c>
      <c r="B5" s="35"/>
      <c r="C5" s="36"/>
      <c r="D5" s="37" t="s">
        <v>397</v>
      </c>
      <c r="E5" s="38"/>
      <c r="F5" s="39"/>
      <c r="G5" s="39"/>
      <c r="H5" s="35"/>
      <c r="I5" s="29"/>
    </row>
    <row r="6" spans="1:9" ht="15.75" x14ac:dyDescent="0.25">
      <c r="A6" s="11" t="str">
        <f>'RECAP #9508.00'!B6</f>
        <v>Project Manager - Geoff W.(JE)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398</v>
      </c>
      <c r="B9" s="177">
        <v>46029</v>
      </c>
      <c r="C9" s="231" t="s">
        <v>109</v>
      </c>
      <c r="D9" s="232">
        <v>56340</v>
      </c>
      <c r="E9" s="233">
        <f>D9</f>
        <v>56340</v>
      </c>
      <c r="F9" s="234"/>
      <c r="G9" s="234"/>
      <c r="H9" s="234">
        <f>E9</f>
        <v>56340</v>
      </c>
      <c r="I9" s="235"/>
    </row>
    <row r="10" spans="1:9" s="223" customFormat="1" ht="12.75" customHeight="1" x14ac:dyDescent="0.25">
      <c r="A10" s="230" t="s">
        <v>546</v>
      </c>
      <c r="B10" s="236">
        <v>46062</v>
      </c>
      <c r="C10" s="231" t="s">
        <v>547</v>
      </c>
      <c r="D10" s="233"/>
      <c r="E10" s="233">
        <f t="shared" ref="E10:E21" si="0">E9+D10</f>
        <v>56340</v>
      </c>
      <c r="F10" s="237">
        <v>7254</v>
      </c>
      <c r="G10" s="234">
        <f t="shared" ref="G10:G21" si="1">G9+F10</f>
        <v>7254</v>
      </c>
      <c r="H10" s="234">
        <f t="shared" ref="H10:H21" si="2">H9-F10+D10</f>
        <v>49086</v>
      </c>
      <c r="I10" s="235"/>
    </row>
    <row r="11" spans="1:9" s="223" customFormat="1" ht="12.75" customHeight="1" x14ac:dyDescent="0.25">
      <c r="A11" s="230" t="s">
        <v>633</v>
      </c>
      <c r="B11" s="177">
        <v>46090</v>
      </c>
      <c r="C11" s="231" t="s">
        <v>634</v>
      </c>
      <c r="D11" s="233"/>
      <c r="E11" s="233">
        <f t="shared" si="0"/>
        <v>56340</v>
      </c>
      <c r="F11" s="237">
        <v>12090</v>
      </c>
      <c r="G11" s="234">
        <f t="shared" si="1"/>
        <v>19344</v>
      </c>
      <c r="H11" s="234">
        <f t="shared" si="2"/>
        <v>36996</v>
      </c>
      <c r="I11" s="235"/>
    </row>
    <row r="12" spans="1:9" s="223" customFormat="1" ht="12.75" customHeight="1" x14ac:dyDescent="0.25">
      <c r="A12" s="230" t="s">
        <v>821</v>
      </c>
      <c r="B12" s="177">
        <v>46139</v>
      </c>
      <c r="C12" s="231" t="s">
        <v>822</v>
      </c>
      <c r="D12" s="233"/>
      <c r="E12" s="233">
        <f t="shared" si="0"/>
        <v>56340</v>
      </c>
      <c r="F12" s="237">
        <v>5810</v>
      </c>
      <c r="G12" s="234">
        <f t="shared" si="1"/>
        <v>25154</v>
      </c>
      <c r="H12" s="234">
        <f t="shared" si="2"/>
        <v>31186</v>
      </c>
      <c r="I12" s="235"/>
    </row>
    <row r="13" spans="1:9" s="223" customFormat="1" ht="12.75" customHeight="1" x14ac:dyDescent="0.25">
      <c r="A13" s="230" t="s">
        <v>884</v>
      </c>
      <c r="B13" s="177">
        <v>46161</v>
      </c>
      <c r="C13" s="231" t="s">
        <v>885</v>
      </c>
      <c r="D13" s="233"/>
      <c r="E13" s="233">
        <f t="shared" si="0"/>
        <v>56340</v>
      </c>
      <c r="F13" s="237">
        <v>8766</v>
      </c>
      <c r="G13" s="234">
        <f t="shared" si="1"/>
        <v>33920</v>
      </c>
      <c r="H13" s="234">
        <f t="shared" si="2"/>
        <v>22420</v>
      </c>
      <c r="I13" s="235"/>
    </row>
    <row r="14" spans="1:9" s="223" customFormat="1" ht="12.75" customHeight="1" x14ac:dyDescent="0.25">
      <c r="A14" s="230" t="s">
        <v>1002</v>
      </c>
      <c r="B14" s="177">
        <v>46188</v>
      </c>
      <c r="C14" s="231" t="s">
        <v>1003</v>
      </c>
      <c r="D14" s="233"/>
      <c r="E14" s="233">
        <f t="shared" si="0"/>
        <v>56340</v>
      </c>
      <c r="F14" s="237">
        <v>1121</v>
      </c>
      <c r="G14" s="234">
        <f t="shared" si="1"/>
        <v>35041</v>
      </c>
      <c r="H14" s="234">
        <f t="shared" si="2"/>
        <v>21299</v>
      </c>
      <c r="I14" s="235"/>
    </row>
    <row r="15" spans="1:9" s="223" customFormat="1" ht="12.75" customHeight="1" x14ac:dyDescent="0.25">
      <c r="A15" s="328" t="s">
        <v>1166</v>
      </c>
      <c r="B15" s="329">
        <v>46209</v>
      </c>
      <c r="C15" s="330" t="s">
        <v>1167</v>
      </c>
      <c r="D15" s="331"/>
      <c r="E15" s="331">
        <f t="shared" si="0"/>
        <v>56340</v>
      </c>
      <c r="F15" s="338">
        <v>2242</v>
      </c>
      <c r="G15" s="332">
        <f t="shared" si="1"/>
        <v>37283</v>
      </c>
      <c r="H15" s="332">
        <f t="shared" si="2"/>
        <v>19057</v>
      </c>
      <c r="I15" s="333" t="s">
        <v>1285</v>
      </c>
    </row>
    <row r="16" spans="1:9" s="223" customFormat="1" ht="12.75" customHeight="1" x14ac:dyDescent="0.25">
      <c r="A16" s="230" t="s">
        <v>1324</v>
      </c>
      <c r="B16" s="177">
        <v>46225</v>
      </c>
      <c r="C16" s="231" t="s">
        <v>1286</v>
      </c>
      <c r="D16" s="232">
        <v>0</v>
      </c>
      <c r="E16" s="233">
        <f t="shared" si="0"/>
        <v>56340</v>
      </c>
      <c r="F16" s="238"/>
      <c r="G16" s="234">
        <f t="shared" si="1"/>
        <v>37283</v>
      </c>
      <c r="H16" s="234">
        <f t="shared" si="2"/>
        <v>19057</v>
      </c>
      <c r="I16" s="235"/>
    </row>
    <row r="17" spans="1:9" s="223" customFormat="1" ht="12.75" customHeight="1" x14ac:dyDescent="0.25">
      <c r="A17" s="230" t="s">
        <v>1419</v>
      </c>
      <c r="B17" s="177">
        <v>46246</v>
      </c>
      <c r="C17" s="231" t="s">
        <v>1420</v>
      </c>
      <c r="D17" s="233"/>
      <c r="E17" s="233">
        <f t="shared" si="0"/>
        <v>56340</v>
      </c>
      <c r="F17" s="237">
        <v>1121</v>
      </c>
      <c r="G17" s="234">
        <f t="shared" si="1"/>
        <v>38404</v>
      </c>
      <c r="H17" s="234">
        <f t="shared" si="2"/>
        <v>17936</v>
      </c>
      <c r="I17" s="235"/>
    </row>
    <row r="18" spans="1:9" s="223" customFormat="1" ht="12.75" customHeight="1" x14ac:dyDescent="0.25">
      <c r="A18" s="230" t="s">
        <v>1552</v>
      </c>
      <c r="B18" s="177">
        <v>46280</v>
      </c>
      <c r="C18" s="231" t="s">
        <v>1553</v>
      </c>
      <c r="D18" s="233"/>
      <c r="E18" s="233">
        <f t="shared" si="0"/>
        <v>56340</v>
      </c>
      <c r="F18" s="237">
        <v>3363</v>
      </c>
      <c r="G18" s="234">
        <f t="shared" si="1"/>
        <v>41767</v>
      </c>
      <c r="H18" s="234">
        <f t="shared" si="2"/>
        <v>14573</v>
      </c>
      <c r="I18" s="235"/>
    </row>
    <row r="19" spans="1:9" s="223" customFormat="1" ht="12.75" customHeight="1" x14ac:dyDescent="0.25">
      <c r="A19" s="230"/>
      <c r="B19" s="177"/>
      <c r="C19" s="231"/>
      <c r="D19" s="233"/>
      <c r="E19" s="233">
        <f t="shared" si="0"/>
        <v>56340</v>
      </c>
      <c r="F19" s="234"/>
      <c r="G19" s="234">
        <f t="shared" si="1"/>
        <v>41767</v>
      </c>
      <c r="H19" s="234">
        <f t="shared" si="2"/>
        <v>14573</v>
      </c>
      <c r="I19" s="235"/>
    </row>
    <row r="20" spans="1:9" s="223" customFormat="1" ht="12.75" customHeight="1" x14ac:dyDescent="0.25">
      <c r="A20" s="230"/>
      <c r="B20" s="177"/>
      <c r="C20" s="231"/>
      <c r="D20" s="233"/>
      <c r="E20" s="233">
        <f t="shared" si="0"/>
        <v>56340</v>
      </c>
      <c r="F20" s="234"/>
      <c r="G20" s="234">
        <f t="shared" si="1"/>
        <v>41767</v>
      </c>
      <c r="H20" s="234">
        <f t="shared" si="2"/>
        <v>14573</v>
      </c>
      <c r="I20" s="235"/>
    </row>
    <row r="21" spans="1:9" s="223" customFormat="1" ht="12.75" customHeight="1" x14ac:dyDescent="0.25">
      <c r="A21" s="230"/>
      <c r="B21" s="177"/>
      <c r="C21" s="239"/>
      <c r="D21" s="233"/>
      <c r="E21" s="233">
        <f t="shared" si="0"/>
        <v>56340</v>
      </c>
      <c r="F21" s="234"/>
      <c r="G21" s="234">
        <f t="shared" si="1"/>
        <v>41767</v>
      </c>
      <c r="H21" s="234">
        <f t="shared" si="2"/>
        <v>14573</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56340</v>
      </c>
      <c r="E23" s="245"/>
      <c r="F23" s="245">
        <f>SUM(F9:F22)</f>
        <v>41767</v>
      </c>
      <c r="G23" s="245"/>
      <c r="H23" s="245">
        <f>D23-F23</f>
        <v>14573</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399</v>
      </c>
      <c r="D26" s="254">
        <v>24180</v>
      </c>
      <c r="E26" s="254"/>
      <c r="F26" s="254">
        <f>7254+12090+4836</f>
        <v>24180</v>
      </c>
      <c r="G26" s="254"/>
      <c r="H26" s="254">
        <f>D26-F26</f>
        <v>0</v>
      </c>
      <c r="I26" s="235"/>
    </row>
    <row r="27" spans="1:9" s="223" customFormat="1" ht="12.75" customHeight="1" x14ac:dyDescent="0.25">
      <c r="A27" s="230"/>
      <c r="B27" s="231"/>
      <c r="C27" s="253" t="s">
        <v>400</v>
      </c>
      <c r="D27" s="254">
        <v>9740</v>
      </c>
      <c r="E27" s="254"/>
      <c r="F27" s="254">
        <f>974+8766</f>
        <v>9740</v>
      </c>
      <c r="G27" s="254"/>
      <c r="H27" s="254">
        <f>D27-F27</f>
        <v>0</v>
      </c>
      <c r="I27" s="235"/>
    </row>
    <row r="28" spans="1:9" s="223" customFormat="1" ht="12.75" customHeight="1" x14ac:dyDescent="0.25">
      <c r="A28" s="230"/>
      <c r="B28" s="231"/>
      <c r="C28" s="253" t="s">
        <v>122</v>
      </c>
      <c r="D28" s="254">
        <v>22420</v>
      </c>
      <c r="E28" s="254"/>
      <c r="F28" s="254">
        <f>1121+2242+1121+3363</f>
        <v>7847</v>
      </c>
      <c r="G28" s="254"/>
      <c r="H28" s="254">
        <f>D28-F28</f>
        <v>14573</v>
      </c>
      <c r="I28" s="235"/>
    </row>
    <row r="29" spans="1:9" s="223" customFormat="1" ht="12.75" customHeight="1" thickBot="1" x14ac:dyDescent="0.3">
      <c r="A29" s="230"/>
      <c r="B29" s="231"/>
      <c r="C29" s="255" t="s">
        <v>67</v>
      </c>
      <c r="D29" s="256">
        <f>SUM(D26:D28)</f>
        <v>56340</v>
      </c>
      <c r="E29" s="257"/>
      <c r="F29" s="256">
        <f>SUM(F26:F28)</f>
        <v>41767</v>
      </c>
      <c r="G29" s="257"/>
      <c r="H29" s="256">
        <f>SUM(H26:H28)</f>
        <v>14573</v>
      </c>
      <c r="I29" s="235"/>
    </row>
    <row r="30" spans="1:9" s="223" customFormat="1" ht="12.75" customHeight="1" thickTop="1" x14ac:dyDescent="0.25"/>
  </sheetData>
  <conditionalFormatting sqref="I8:I14 I16:I23">
    <cfRule type="cellIs" dxfId="22" priority="1" operator="greaterThan">
      <formula>$H$23</formula>
    </cfRule>
  </conditionalFormatting>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07E16-88B2-4E15-8F53-66A12A165AC0}">
  <sheetPr>
    <pageSetUpPr fitToPage="1"/>
  </sheetPr>
  <dimension ref="A1:I30"/>
  <sheetViews>
    <sheetView topLeftCell="A2" zoomScaleNormal="100" workbookViewId="0">
      <selection activeCell="F13" sqref="F13"/>
    </sheetView>
  </sheetViews>
  <sheetFormatPr defaultColWidth="11.42578125" defaultRowHeight="15" customHeight="1" x14ac:dyDescent="0.25"/>
  <cols>
    <col min="1" max="1" width="24.5703125" customWidth="1"/>
    <col min="2" max="2" width="9.42578125" customWidth="1"/>
    <col min="3" max="3" width="13.42578125" bestFit="1" customWidth="1"/>
    <col min="4" max="4" width="14.42578125" customWidth="1"/>
    <col min="5" max="5" width="13.5703125" customWidth="1"/>
    <col min="6" max="6" width="12.42578125" customWidth="1"/>
    <col min="7" max="7" width="10.5703125" customWidth="1"/>
    <col min="8" max="8" width="13.140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#9508.00'!B1</f>
        <v>DOC FDCF Unit A Roof Replacement</v>
      </c>
      <c r="B1" s="3"/>
      <c r="C1" s="4"/>
      <c r="D1" s="4"/>
      <c r="E1" s="4"/>
      <c r="F1" s="28"/>
      <c r="G1" s="28"/>
      <c r="H1" s="29"/>
      <c r="I1" s="29"/>
    </row>
    <row r="2" spans="1:9" ht="15.75" x14ac:dyDescent="0.25">
      <c r="A2" s="6" t="str">
        <f>'RECAP #9508.00'!B2</f>
        <v>Project # 9508.00</v>
      </c>
      <c r="B2" s="5"/>
      <c r="C2" s="4"/>
      <c r="D2" s="4"/>
      <c r="E2" s="4"/>
      <c r="F2" s="28"/>
      <c r="G2" s="28"/>
      <c r="H2" s="29"/>
      <c r="I2" s="29"/>
    </row>
    <row r="3" spans="1:9" ht="15.75" x14ac:dyDescent="0.25">
      <c r="A3" s="7" t="str">
        <f>'RECAP #9508.00'!B3</f>
        <v>Program code 950800</v>
      </c>
      <c r="B3" s="5"/>
      <c r="C3" s="4"/>
      <c r="D3" s="8" t="str">
        <f>'RECAP #9508.00'!E3</f>
        <v>Major Program 4E02</v>
      </c>
      <c r="E3" s="4"/>
      <c r="F3" s="28"/>
      <c r="G3" s="28"/>
      <c r="H3" s="29"/>
      <c r="I3" s="29"/>
    </row>
    <row r="4" spans="1:9" ht="15.75" x14ac:dyDescent="0.25">
      <c r="A4" s="30" t="s">
        <v>930</v>
      </c>
      <c r="B4" s="31"/>
      <c r="C4" s="32"/>
      <c r="D4" s="33" t="s">
        <v>279</v>
      </c>
      <c r="E4" s="28"/>
      <c r="F4" s="28"/>
      <c r="G4" s="28"/>
      <c r="H4" s="29"/>
      <c r="I4" s="29"/>
    </row>
    <row r="5" spans="1:9" ht="15.75" x14ac:dyDescent="0.25">
      <c r="A5" s="34" t="s">
        <v>104</v>
      </c>
      <c r="B5" s="35"/>
      <c r="C5" s="36"/>
      <c r="D5" s="37" t="s">
        <v>280</v>
      </c>
      <c r="E5" s="38"/>
      <c r="F5" s="39"/>
      <c r="G5" s="39"/>
      <c r="H5" s="35"/>
      <c r="I5" s="29"/>
    </row>
    <row r="6" spans="1:9" ht="15.75" x14ac:dyDescent="0.25">
      <c r="A6" s="11" t="str">
        <f>'RECAP #9508.00'!B6</f>
        <v>Project Manager - Geoff W.(JE)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932</v>
      </c>
      <c r="B9" s="177">
        <v>46168</v>
      </c>
      <c r="C9" s="231" t="s">
        <v>109</v>
      </c>
      <c r="D9" s="232">
        <v>150120.32000000001</v>
      </c>
      <c r="E9" s="233">
        <f>D9</f>
        <v>150120.32000000001</v>
      </c>
      <c r="F9" s="234"/>
      <c r="G9" s="234"/>
      <c r="H9" s="234">
        <f>E9</f>
        <v>150120.32000000001</v>
      </c>
      <c r="I9" s="235"/>
    </row>
    <row r="10" spans="1:9" s="223" customFormat="1" ht="12.75" customHeight="1" x14ac:dyDescent="0.25">
      <c r="A10" s="328" t="s">
        <v>1271</v>
      </c>
      <c r="B10" s="335">
        <v>46220</v>
      </c>
      <c r="C10" s="330" t="s">
        <v>1272</v>
      </c>
      <c r="D10" s="331"/>
      <c r="E10" s="331">
        <f t="shared" ref="E10:E21" si="0">E9+D10</f>
        <v>150120.32000000001</v>
      </c>
      <c r="F10" s="338">
        <v>5485.69</v>
      </c>
      <c r="G10" s="332">
        <f t="shared" ref="G10:G21" si="1">G9+F10</f>
        <v>5485.69</v>
      </c>
      <c r="H10" s="332">
        <f t="shared" ref="H10:H21" si="2">H9-F10+D10</f>
        <v>144634.63</v>
      </c>
      <c r="I10" s="333" t="s">
        <v>1285</v>
      </c>
    </row>
    <row r="11" spans="1:9" s="223" customFormat="1" ht="12.75" customHeight="1" x14ac:dyDescent="0.25">
      <c r="A11" s="230" t="s">
        <v>1323</v>
      </c>
      <c r="B11" s="177">
        <v>46225</v>
      </c>
      <c r="C11" s="231" t="s">
        <v>1286</v>
      </c>
      <c r="D11" s="232">
        <v>0</v>
      </c>
      <c r="E11" s="233">
        <f t="shared" si="0"/>
        <v>150120.32000000001</v>
      </c>
      <c r="F11" s="237"/>
      <c r="G11" s="234">
        <f t="shared" si="1"/>
        <v>5485.69</v>
      </c>
      <c r="H11" s="234">
        <f t="shared" si="2"/>
        <v>144634.63</v>
      </c>
      <c r="I11" s="235"/>
    </row>
    <row r="12" spans="1:9" s="223" customFormat="1" ht="12.75" customHeight="1" x14ac:dyDescent="0.25">
      <c r="A12" s="230" t="s">
        <v>1464</v>
      </c>
      <c r="B12" s="177">
        <v>46253</v>
      </c>
      <c r="C12" s="231" t="s">
        <v>1465</v>
      </c>
      <c r="D12" s="233"/>
      <c r="E12" s="233">
        <f t="shared" si="0"/>
        <v>150120.32000000001</v>
      </c>
      <c r="F12" s="237">
        <v>9001.9599999999991</v>
      </c>
      <c r="G12" s="234">
        <f t="shared" si="1"/>
        <v>14487.649999999998</v>
      </c>
      <c r="H12" s="234">
        <f t="shared" si="2"/>
        <v>135632.67000000001</v>
      </c>
      <c r="I12" s="235"/>
    </row>
    <row r="13" spans="1:9" s="223" customFormat="1" ht="12.75" customHeight="1" x14ac:dyDescent="0.25">
      <c r="A13" s="230" t="s">
        <v>1587</v>
      </c>
      <c r="B13" s="177">
        <v>46287</v>
      </c>
      <c r="C13" s="231" t="s">
        <v>1588</v>
      </c>
      <c r="D13" s="233"/>
      <c r="E13" s="233">
        <f t="shared" si="0"/>
        <v>150120.32000000001</v>
      </c>
      <c r="F13" s="237">
        <v>24985.05</v>
      </c>
      <c r="G13" s="234">
        <f t="shared" si="1"/>
        <v>39472.699999999997</v>
      </c>
      <c r="H13" s="234">
        <f t="shared" si="2"/>
        <v>110647.62000000001</v>
      </c>
      <c r="I13" s="235"/>
    </row>
    <row r="14" spans="1:9" s="223" customFormat="1" ht="12.75" customHeight="1" x14ac:dyDescent="0.25">
      <c r="A14" s="230"/>
      <c r="B14" s="177"/>
      <c r="C14" s="231"/>
      <c r="D14" s="233"/>
      <c r="E14" s="233">
        <f t="shared" si="0"/>
        <v>150120.32000000001</v>
      </c>
      <c r="F14" s="237"/>
      <c r="G14" s="234">
        <f t="shared" si="1"/>
        <v>39472.699999999997</v>
      </c>
      <c r="H14" s="234">
        <f t="shared" si="2"/>
        <v>110647.62000000001</v>
      </c>
      <c r="I14" s="235"/>
    </row>
    <row r="15" spans="1:9" s="223" customFormat="1" ht="12.75" customHeight="1" x14ac:dyDescent="0.25">
      <c r="A15" s="230"/>
      <c r="B15" s="177"/>
      <c r="C15" s="231"/>
      <c r="D15" s="233"/>
      <c r="E15" s="233">
        <f t="shared" si="0"/>
        <v>150120.32000000001</v>
      </c>
      <c r="F15" s="238"/>
      <c r="G15" s="234">
        <f t="shared" si="1"/>
        <v>39472.699999999997</v>
      </c>
      <c r="H15" s="234">
        <f t="shared" si="2"/>
        <v>110647.62000000001</v>
      </c>
      <c r="I15" s="235"/>
    </row>
    <row r="16" spans="1:9" s="223" customFormat="1" ht="12.75" customHeight="1" x14ac:dyDescent="0.25">
      <c r="A16" s="230"/>
      <c r="B16" s="177"/>
      <c r="C16" s="231"/>
      <c r="D16" s="233"/>
      <c r="E16" s="233">
        <f t="shared" si="0"/>
        <v>150120.32000000001</v>
      </c>
      <c r="F16" s="238"/>
      <c r="G16" s="234">
        <f t="shared" si="1"/>
        <v>39472.699999999997</v>
      </c>
      <c r="H16" s="234">
        <f t="shared" si="2"/>
        <v>110647.62000000001</v>
      </c>
      <c r="I16" s="235"/>
    </row>
    <row r="17" spans="1:9" s="223" customFormat="1" ht="12.75" customHeight="1" x14ac:dyDescent="0.25">
      <c r="A17" s="230"/>
      <c r="B17" s="177"/>
      <c r="C17" s="231"/>
      <c r="D17" s="233"/>
      <c r="E17" s="233">
        <f t="shared" si="0"/>
        <v>150120.32000000001</v>
      </c>
      <c r="F17" s="238"/>
      <c r="G17" s="234">
        <f t="shared" si="1"/>
        <v>39472.699999999997</v>
      </c>
      <c r="H17" s="234">
        <f t="shared" si="2"/>
        <v>110647.62000000001</v>
      </c>
      <c r="I17" s="235"/>
    </row>
    <row r="18" spans="1:9" s="223" customFormat="1" ht="12.75" customHeight="1" x14ac:dyDescent="0.25">
      <c r="A18" s="230"/>
      <c r="B18" s="177"/>
      <c r="C18" s="231"/>
      <c r="D18" s="233"/>
      <c r="E18" s="233">
        <f t="shared" si="0"/>
        <v>150120.32000000001</v>
      </c>
      <c r="F18" s="238"/>
      <c r="G18" s="234">
        <f t="shared" si="1"/>
        <v>39472.699999999997</v>
      </c>
      <c r="H18" s="234">
        <f t="shared" si="2"/>
        <v>110647.62000000001</v>
      </c>
      <c r="I18" s="235"/>
    </row>
    <row r="19" spans="1:9" s="223" customFormat="1" ht="12.75" customHeight="1" x14ac:dyDescent="0.25">
      <c r="A19" s="230"/>
      <c r="B19" s="177"/>
      <c r="C19" s="231"/>
      <c r="D19" s="233"/>
      <c r="E19" s="233">
        <f t="shared" si="0"/>
        <v>150120.32000000001</v>
      </c>
      <c r="F19" s="234"/>
      <c r="G19" s="234">
        <f t="shared" si="1"/>
        <v>39472.699999999997</v>
      </c>
      <c r="H19" s="234">
        <f t="shared" si="2"/>
        <v>110647.62000000001</v>
      </c>
      <c r="I19" s="235"/>
    </row>
    <row r="20" spans="1:9" s="223" customFormat="1" ht="12.75" customHeight="1" x14ac:dyDescent="0.25">
      <c r="A20" s="230"/>
      <c r="B20" s="177"/>
      <c r="C20" s="231"/>
      <c r="D20" s="233"/>
      <c r="E20" s="233">
        <f t="shared" si="0"/>
        <v>150120.32000000001</v>
      </c>
      <c r="F20" s="234"/>
      <c r="G20" s="234">
        <f t="shared" si="1"/>
        <v>39472.699999999997</v>
      </c>
      <c r="H20" s="234">
        <f t="shared" si="2"/>
        <v>110647.62000000001</v>
      </c>
      <c r="I20" s="235"/>
    </row>
    <row r="21" spans="1:9" s="223" customFormat="1" ht="12.75" customHeight="1" x14ac:dyDescent="0.25">
      <c r="A21" s="230"/>
      <c r="B21" s="177"/>
      <c r="C21" s="239"/>
      <c r="D21" s="233"/>
      <c r="E21" s="233">
        <f t="shared" si="0"/>
        <v>150120.32000000001</v>
      </c>
      <c r="F21" s="234"/>
      <c r="G21" s="234">
        <f t="shared" si="1"/>
        <v>39472.699999999997</v>
      </c>
      <c r="H21" s="234">
        <f t="shared" si="2"/>
        <v>110647.62000000001</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150120.32000000001</v>
      </c>
      <c r="E23" s="245"/>
      <c r="F23" s="245">
        <f>SUM(F9:F22)</f>
        <v>39472.699999999997</v>
      </c>
      <c r="G23" s="245"/>
      <c r="H23" s="245">
        <f>D23-F23</f>
        <v>110647.62000000001</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96677.82</v>
      </c>
      <c r="E26" s="254"/>
      <c r="F26" s="254">
        <f>5485.69+8676.46+9770.05</f>
        <v>23932.199999999997</v>
      </c>
      <c r="G26" s="254"/>
      <c r="H26" s="254">
        <f>D26-F26</f>
        <v>72745.62000000001</v>
      </c>
      <c r="I26" s="235"/>
    </row>
    <row r="27" spans="1:9" s="223" customFormat="1" ht="12.75" customHeight="1" x14ac:dyDescent="0.25">
      <c r="A27" s="230"/>
      <c r="B27" s="231"/>
      <c r="C27" s="253" t="s">
        <v>111</v>
      </c>
      <c r="D27" s="254">
        <v>3442.5</v>
      </c>
      <c r="E27" s="254"/>
      <c r="F27" s="254">
        <f>325.5+215</f>
        <v>540.5</v>
      </c>
      <c r="G27" s="254"/>
      <c r="H27" s="254">
        <f>D27-F27</f>
        <v>2902</v>
      </c>
      <c r="I27" s="235"/>
    </row>
    <row r="28" spans="1:9" s="223" customFormat="1" ht="12.75" customHeight="1" x14ac:dyDescent="0.25">
      <c r="A28" s="230"/>
      <c r="B28" s="231"/>
      <c r="C28" s="253" t="s">
        <v>931</v>
      </c>
      <c r="D28" s="254">
        <v>50000</v>
      </c>
      <c r="E28" s="254"/>
      <c r="F28" s="254">
        <f>15000</f>
        <v>15000</v>
      </c>
      <c r="G28" s="254"/>
      <c r="H28" s="254">
        <f>D28-F28</f>
        <v>35000</v>
      </c>
      <c r="I28" s="235"/>
    </row>
    <row r="29" spans="1:9" s="223" customFormat="1" ht="12.75" customHeight="1" thickBot="1" x14ac:dyDescent="0.3">
      <c r="A29" s="230"/>
      <c r="B29" s="231"/>
      <c r="C29" s="255" t="s">
        <v>67</v>
      </c>
      <c r="D29" s="256">
        <f>SUM(D26:D28)</f>
        <v>150120.32000000001</v>
      </c>
      <c r="E29" s="257"/>
      <c r="F29" s="256">
        <f>SUM(F26:F28)</f>
        <v>39472.699999999997</v>
      </c>
      <c r="G29" s="257"/>
      <c r="H29" s="256">
        <f>SUM(H26:H28)</f>
        <v>110647.62000000001</v>
      </c>
      <c r="I29" s="235"/>
    </row>
    <row r="30" spans="1:9" s="223" customFormat="1" ht="12.75" customHeight="1" thickTop="1" x14ac:dyDescent="0.25"/>
  </sheetData>
  <conditionalFormatting sqref="I8:I9 I11:I23">
    <cfRule type="cellIs" dxfId="21" priority="1" operator="greaterThan">
      <formula>$H$23</formula>
    </cfRule>
  </conditionalFormatting>
  <pageMargins left="0.25" right="0.25" top="0.95" bottom="0.75" header="0.09" footer="0.3"/>
  <pageSetup scale="8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A8F94-D04F-426E-A9F7-FCBFBDD4629A}">
  <sheetPr>
    <pageSetUpPr fitToPage="1"/>
  </sheetPr>
  <dimension ref="A1:J30"/>
  <sheetViews>
    <sheetView zoomScaleNormal="100" workbookViewId="0">
      <selection activeCell="F12" sqref="F12"/>
    </sheetView>
  </sheetViews>
  <sheetFormatPr defaultColWidth="11.42578125" defaultRowHeight="15" customHeight="1" x14ac:dyDescent="0.25"/>
  <cols>
    <col min="1" max="1" width="24.5703125" customWidth="1"/>
    <col min="2" max="2" width="9.42578125" customWidth="1"/>
    <col min="3" max="3" width="23.28515625" customWidth="1"/>
    <col min="4" max="4" width="14.42578125" customWidth="1"/>
    <col min="5" max="5" width="13.5703125" customWidth="1"/>
    <col min="6" max="6" width="12.42578125" customWidth="1"/>
    <col min="7" max="7" width="10.5703125" customWidth="1"/>
    <col min="8" max="8" width="16.5703125" customWidth="1"/>
    <col min="9" max="9" width="12.85546875" customWidth="1"/>
    <col min="10" max="10" width="5.140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#9508.00'!B1</f>
        <v>DOC FDCF Unit A Roof Replacement</v>
      </c>
      <c r="B1" s="3"/>
      <c r="C1" s="4"/>
      <c r="D1" s="4"/>
      <c r="E1" s="4"/>
      <c r="F1" s="28"/>
      <c r="G1" s="28"/>
      <c r="H1" s="29"/>
      <c r="I1" s="29"/>
    </row>
    <row r="2" spans="1:10" ht="15.75" x14ac:dyDescent="0.25">
      <c r="A2" s="6" t="str">
        <f>'RECAP #9508.00'!B2</f>
        <v>Project # 9508.00</v>
      </c>
      <c r="B2" s="5"/>
      <c r="C2" s="4"/>
      <c r="D2" s="4"/>
      <c r="E2" s="4"/>
      <c r="F2" s="28"/>
      <c r="G2" s="28"/>
      <c r="H2" s="29"/>
      <c r="I2" s="29"/>
    </row>
    <row r="3" spans="1:10" ht="15.75" x14ac:dyDescent="0.25">
      <c r="A3" s="7" t="str">
        <f>'RECAP #9508.00'!B3</f>
        <v>Program code 950800</v>
      </c>
      <c r="B3" s="5"/>
      <c r="C3" s="4"/>
      <c r="D3" s="8" t="str">
        <f>'RECAP #9508.00'!E3</f>
        <v>Major Program 4E02</v>
      </c>
      <c r="E3" s="4"/>
      <c r="F3" s="28"/>
      <c r="G3" s="28"/>
      <c r="H3" s="29"/>
      <c r="I3" s="29"/>
    </row>
    <row r="4" spans="1:10" ht="15.75" x14ac:dyDescent="0.25">
      <c r="A4" s="30" t="s">
        <v>962</v>
      </c>
      <c r="B4" s="31"/>
      <c r="C4" s="32"/>
      <c r="D4" s="33" t="s">
        <v>963</v>
      </c>
      <c r="E4" s="28"/>
      <c r="F4" s="28"/>
      <c r="G4" s="28"/>
      <c r="H4" s="29"/>
      <c r="I4" s="29"/>
    </row>
    <row r="5" spans="1:10" ht="15.75" x14ac:dyDescent="0.25">
      <c r="A5" s="34" t="s">
        <v>104</v>
      </c>
      <c r="B5" s="35"/>
      <c r="C5" s="36"/>
      <c r="D5" s="37" t="s">
        <v>964</v>
      </c>
      <c r="E5" s="38"/>
      <c r="F5" s="39"/>
      <c r="G5" s="39"/>
      <c r="H5" s="35"/>
      <c r="I5" s="29"/>
    </row>
    <row r="6" spans="1:10" ht="15.75" x14ac:dyDescent="0.25">
      <c r="A6" s="11" t="str">
        <f>'RECAP #9508.00'!B6</f>
        <v>Project Manager - Geoff W.(JE)</v>
      </c>
      <c r="B6" s="11"/>
      <c r="C6" s="40"/>
      <c r="D6" s="41" t="s">
        <v>386</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89" t="s">
        <v>529</v>
      </c>
    </row>
    <row r="9" spans="1:10" s="223" customFormat="1" ht="12.75" customHeight="1" x14ac:dyDescent="0.25">
      <c r="A9" s="230" t="s">
        <v>965</v>
      </c>
      <c r="B9" s="177">
        <v>46175</v>
      </c>
      <c r="C9" s="231" t="s">
        <v>109</v>
      </c>
      <c r="D9" s="232">
        <v>1000000</v>
      </c>
      <c r="E9" s="233">
        <f>D9</f>
        <v>1000000</v>
      </c>
      <c r="F9" s="234"/>
      <c r="G9" s="234"/>
      <c r="H9" s="234">
        <f>E9</f>
        <v>1000000</v>
      </c>
      <c r="I9" s="235"/>
    </row>
    <row r="10" spans="1:10" s="223" customFormat="1" ht="12.75" customHeight="1" x14ac:dyDescent="0.25">
      <c r="A10" s="328" t="s">
        <v>1281</v>
      </c>
      <c r="B10" s="335">
        <v>46224</v>
      </c>
      <c r="C10" s="330" t="s">
        <v>1282</v>
      </c>
      <c r="D10" s="331"/>
      <c r="E10" s="331">
        <f t="shared" ref="E10:E21" si="0">E9+D10</f>
        <v>1000000</v>
      </c>
      <c r="F10" s="338">
        <v>10670</v>
      </c>
      <c r="G10" s="332">
        <f t="shared" ref="G10:G21" si="1">G9+F10</f>
        <v>10670</v>
      </c>
      <c r="H10" s="332">
        <f t="shared" ref="H10:H21" si="2">H9-F10+D10</f>
        <v>989330</v>
      </c>
      <c r="I10" s="336">
        <v>330</v>
      </c>
      <c r="J10" s="350" t="s">
        <v>1285</v>
      </c>
    </row>
    <row r="11" spans="1:10" s="223" customFormat="1" ht="12.75" customHeight="1" x14ac:dyDescent="0.25">
      <c r="A11" s="230" t="s">
        <v>1375</v>
      </c>
      <c r="B11" s="177">
        <v>46231</v>
      </c>
      <c r="C11" s="231" t="s">
        <v>1286</v>
      </c>
      <c r="D11" s="232">
        <v>0</v>
      </c>
      <c r="E11" s="233">
        <f t="shared" si="0"/>
        <v>1000000</v>
      </c>
      <c r="F11" s="237"/>
      <c r="G11" s="234">
        <f t="shared" si="1"/>
        <v>10670</v>
      </c>
      <c r="H11" s="234">
        <f t="shared" si="2"/>
        <v>989330</v>
      </c>
      <c r="I11" s="297"/>
    </row>
    <row r="12" spans="1:10" s="223" customFormat="1" ht="12.75" customHeight="1" x14ac:dyDescent="0.25">
      <c r="A12" s="230" t="s">
        <v>1544</v>
      </c>
      <c r="B12" s="177">
        <v>46279</v>
      </c>
      <c r="C12" s="231" t="s">
        <v>1545</v>
      </c>
      <c r="D12" s="233"/>
      <c r="E12" s="233">
        <f t="shared" si="0"/>
        <v>1000000</v>
      </c>
      <c r="F12" s="237">
        <v>659441.21</v>
      </c>
      <c r="G12" s="234">
        <f t="shared" si="1"/>
        <v>670111.21</v>
      </c>
      <c r="H12" s="234">
        <f t="shared" si="2"/>
        <v>329888.79000000004</v>
      </c>
      <c r="I12" s="297">
        <f>I10+20395.09</f>
        <v>20725.09</v>
      </c>
    </row>
    <row r="13" spans="1:10" s="223" customFormat="1" ht="12.75" customHeight="1" x14ac:dyDescent="0.25">
      <c r="A13" s="230"/>
      <c r="B13" s="177"/>
      <c r="C13" s="231"/>
      <c r="D13" s="233"/>
      <c r="E13" s="233">
        <f t="shared" si="0"/>
        <v>1000000</v>
      </c>
      <c r="F13" s="237"/>
      <c r="G13" s="234">
        <f t="shared" si="1"/>
        <v>670111.21</v>
      </c>
      <c r="H13" s="234">
        <f t="shared" si="2"/>
        <v>329888.79000000004</v>
      </c>
      <c r="I13" s="297"/>
    </row>
    <row r="14" spans="1:10" s="223" customFormat="1" ht="12.75" customHeight="1" x14ac:dyDescent="0.25">
      <c r="A14" s="230"/>
      <c r="B14" s="177"/>
      <c r="C14" s="231"/>
      <c r="D14" s="233"/>
      <c r="E14" s="233">
        <f t="shared" si="0"/>
        <v>1000000</v>
      </c>
      <c r="F14" s="237"/>
      <c r="G14" s="234">
        <f t="shared" si="1"/>
        <v>670111.21</v>
      </c>
      <c r="H14" s="234">
        <f t="shared" si="2"/>
        <v>329888.79000000004</v>
      </c>
      <c r="I14" s="297"/>
    </row>
    <row r="15" spans="1:10" s="223" customFormat="1" ht="12.75" customHeight="1" x14ac:dyDescent="0.25">
      <c r="A15" s="230"/>
      <c r="B15" s="177"/>
      <c r="C15" s="231"/>
      <c r="D15" s="233"/>
      <c r="E15" s="233">
        <f t="shared" si="0"/>
        <v>1000000</v>
      </c>
      <c r="F15" s="238"/>
      <c r="G15" s="234">
        <f t="shared" si="1"/>
        <v>670111.21</v>
      </c>
      <c r="H15" s="234">
        <f t="shared" si="2"/>
        <v>329888.79000000004</v>
      </c>
      <c r="I15" s="297"/>
    </row>
    <row r="16" spans="1:10" s="223" customFormat="1" ht="12.75" customHeight="1" x14ac:dyDescent="0.25">
      <c r="A16" s="230"/>
      <c r="B16" s="177"/>
      <c r="C16" s="231"/>
      <c r="D16" s="233"/>
      <c r="E16" s="233">
        <f t="shared" si="0"/>
        <v>1000000</v>
      </c>
      <c r="F16" s="238"/>
      <c r="G16" s="234">
        <f t="shared" si="1"/>
        <v>670111.21</v>
      </c>
      <c r="H16" s="234">
        <f t="shared" si="2"/>
        <v>329888.79000000004</v>
      </c>
      <c r="I16" s="297"/>
    </row>
    <row r="17" spans="1:9" s="223" customFormat="1" ht="12.75" customHeight="1" x14ac:dyDescent="0.25">
      <c r="A17" s="230"/>
      <c r="B17" s="177"/>
      <c r="C17" s="231"/>
      <c r="D17" s="233"/>
      <c r="E17" s="233">
        <f t="shared" si="0"/>
        <v>1000000</v>
      </c>
      <c r="F17" s="238"/>
      <c r="G17" s="234">
        <f t="shared" si="1"/>
        <v>670111.21</v>
      </c>
      <c r="H17" s="234">
        <f t="shared" si="2"/>
        <v>329888.79000000004</v>
      </c>
      <c r="I17" s="297"/>
    </row>
    <row r="18" spans="1:9" s="223" customFormat="1" ht="12.75" customHeight="1" x14ac:dyDescent="0.25">
      <c r="A18" s="230"/>
      <c r="B18" s="177"/>
      <c r="C18" s="231"/>
      <c r="D18" s="233"/>
      <c r="E18" s="233">
        <f t="shared" si="0"/>
        <v>1000000</v>
      </c>
      <c r="F18" s="238"/>
      <c r="G18" s="234">
        <f t="shared" si="1"/>
        <v>670111.21</v>
      </c>
      <c r="H18" s="234">
        <f t="shared" si="2"/>
        <v>329888.79000000004</v>
      </c>
      <c r="I18" s="297"/>
    </row>
    <row r="19" spans="1:9" s="223" customFormat="1" ht="12.75" customHeight="1" x14ac:dyDescent="0.25">
      <c r="A19" s="230"/>
      <c r="B19" s="177"/>
      <c r="C19" s="231"/>
      <c r="D19" s="233"/>
      <c r="E19" s="233">
        <f t="shared" si="0"/>
        <v>1000000</v>
      </c>
      <c r="F19" s="234"/>
      <c r="G19" s="234">
        <f t="shared" si="1"/>
        <v>670111.21</v>
      </c>
      <c r="H19" s="234">
        <f t="shared" si="2"/>
        <v>329888.79000000004</v>
      </c>
      <c r="I19" s="297"/>
    </row>
    <row r="20" spans="1:9" s="223" customFormat="1" ht="12.75" customHeight="1" x14ac:dyDescent="0.25">
      <c r="A20" s="230"/>
      <c r="B20" s="177"/>
      <c r="C20" s="231"/>
      <c r="D20" s="233"/>
      <c r="E20" s="233">
        <f t="shared" si="0"/>
        <v>1000000</v>
      </c>
      <c r="F20" s="234"/>
      <c r="G20" s="234">
        <f t="shared" si="1"/>
        <v>670111.21</v>
      </c>
      <c r="H20" s="234">
        <f t="shared" si="2"/>
        <v>329888.79000000004</v>
      </c>
      <c r="I20" s="297"/>
    </row>
    <row r="21" spans="1:9" s="223" customFormat="1" ht="12.75" customHeight="1" x14ac:dyDescent="0.25">
      <c r="A21" s="230"/>
      <c r="B21" s="177"/>
      <c r="C21" s="239"/>
      <c r="D21" s="233"/>
      <c r="E21" s="233">
        <f t="shared" si="0"/>
        <v>1000000</v>
      </c>
      <c r="F21" s="234"/>
      <c r="G21" s="234">
        <f t="shared" si="1"/>
        <v>670111.21</v>
      </c>
      <c r="H21" s="234">
        <f t="shared" si="2"/>
        <v>329888.79000000004</v>
      </c>
      <c r="I21" s="297"/>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1000000</v>
      </c>
      <c r="E23" s="245"/>
      <c r="F23" s="245">
        <f>SUM(F9:F22)</f>
        <v>670111.21</v>
      </c>
      <c r="G23" s="245"/>
      <c r="H23" s="245">
        <f>D23-F23</f>
        <v>329888.79000000004</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c r="D26" s="270"/>
      <c r="E26" s="270"/>
      <c r="F26" s="270"/>
      <c r="G26" s="270"/>
      <c r="H26" s="270"/>
      <c r="I26" s="235"/>
    </row>
    <row r="27" spans="1:9" s="223" customFormat="1" ht="12.75" customHeight="1" x14ac:dyDescent="0.25">
      <c r="A27" s="230"/>
      <c r="B27" s="231"/>
      <c r="C27" s="253"/>
      <c r="D27" s="270"/>
      <c r="E27" s="270"/>
      <c r="F27" s="270"/>
      <c r="G27" s="270"/>
      <c r="H27" s="270"/>
      <c r="I27" s="235"/>
    </row>
    <row r="28" spans="1:9" s="223" customFormat="1" ht="12.75" customHeight="1" x14ac:dyDescent="0.25">
      <c r="A28" s="230"/>
      <c r="B28" s="231"/>
      <c r="C28" s="253"/>
      <c r="D28" s="270"/>
      <c r="E28" s="270"/>
      <c r="F28" s="270"/>
      <c r="G28" s="270"/>
      <c r="H28" s="270"/>
      <c r="I28" s="235"/>
    </row>
    <row r="29" spans="1:9" s="223" customFormat="1" ht="12.75" customHeight="1" x14ac:dyDescent="0.25">
      <c r="A29" s="230"/>
      <c r="B29" s="231"/>
      <c r="C29" s="255"/>
      <c r="D29" s="271"/>
      <c r="E29" s="271"/>
      <c r="F29" s="271"/>
      <c r="G29" s="271"/>
      <c r="H29" s="271"/>
      <c r="I29" s="235"/>
    </row>
    <row r="30" spans="1:9" s="223" customFormat="1" ht="12.75" customHeight="1" x14ac:dyDescent="0.25"/>
  </sheetData>
  <conditionalFormatting sqref="I9:I23">
    <cfRule type="cellIs" dxfId="20" priority="1" operator="greaterThan">
      <formula>$H$23</formula>
    </cfRule>
  </conditionalFormatting>
  <pageMargins left="0.25" right="0.25" top="0.95" bottom="0.75" header="0.09" footer="0.3"/>
  <pageSetup scale="7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CBB0A-CCCC-48A6-B938-CF6D7475B79D}">
  <sheetPr>
    <tabColor rgb="FF0070C0"/>
    <pageSetUpPr fitToPage="1"/>
  </sheetPr>
  <dimension ref="A1:G22"/>
  <sheetViews>
    <sheetView zoomScaleNormal="100" workbookViewId="0">
      <selection activeCell="D20" sqref="D20"/>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51"/>
      <c r="B1" s="30" t="s">
        <v>160</v>
      </c>
      <c r="C1" s="30"/>
      <c r="D1" s="153"/>
      <c r="E1" s="153"/>
      <c r="F1" s="153"/>
      <c r="G1" s="153"/>
    </row>
    <row r="2" spans="1:7" ht="15.75" x14ac:dyDescent="0.25">
      <c r="A2" s="151"/>
      <c r="B2" s="31" t="s">
        <v>217</v>
      </c>
      <c r="C2" s="150"/>
      <c r="D2" s="153"/>
      <c r="E2" s="153"/>
      <c r="F2" s="153"/>
      <c r="G2" s="153"/>
    </row>
    <row r="3" spans="1:7" ht="15.75" x14ac:dyDescent="0.25">
      <c r="A3" s="151"/>
      <c r="B3" s="154" t="s">
        <v>218</v>
      </c>
      <c r="C3" s="150"/>
      <c r="D3" s="153"/>
      <c r="E3" s="155" t="s">
        <v>180</v>
      </c>
      <c r="F3" s="153"/>
      <c r="G3" s="153"/>
    </row>
    <row r="4" spans="1:7" ht="15.75" x14ac:dyDescent="0.25">
      <c r="A4" s="151"/>
      <c r="B4" s="156" t="s">
        <v>1</v>
      </c>
      <c r="C4" s="157" t="s">
        <v>2</v>
      </c>
      <c r="D4" s="153"/>
      <c r="E4" s="153"/>
      <c r="F4" s="153"/>
      <c r="G4" s="153"/>
    </row>
    <row r="5" spans="1:7" ht="15.75" x14ac:dyDescent="0.25">
      <c r="A5" s="151"/>
      <c r="B5" s="31" t="s">
        <v>64</v>
      </c>
      <c r="C5" s="150"/>
      <c r="D5" s="153"/>
      <c r="E5" s="13" t="s">
        <v>1280</v>
      </c>
      <c r="F5" s="376">
        <v>45986</v>
      </c>
      <c r="G5" s="153"/>
    </row>
    <row r="6" spans="1:7" ht="15.75" x14ac:dyDescent="0.25">
      <c r="A6" s="151"/>
      <c r="B6" s="31" t="s">
        <v>219</v>
      </c>
      <c r="C6" s="158"/>
      <c r="D6" s="159" t="s">
        <v>2</v>
      </c>
      <c r="E6" s="153"/>
      <c r="F6" s="153"/>
      <c r="G6" s="153"/>
    </row>
    <row r="7" spans="1:7" ht="35.25" customHeight="1" thickBot="1" x14ac:dyDescent="0.3">
      <c r="A7" s="151"/>
      <c r="B7" s="160" t="s">
        <v>2</v>
      </c>
      <c r="C7" s="161" t="s">
        <v>3</v>
      </c>
      <c r="D7" s="162" t="s">
        <v>4</v>
      </c>
      <c r="E7" s="163" t="s">
        <v>5</v>
      </c>
      <c r="F7" s="164" t="s">
        <v>6</v>
      </c>
      <c r="G7" s="164" t="s">
        <v>7</v>
      </c>
    </row>
    <row r="8" spans="1:7" ht="28.35" customHeight="1" x14ac:dyDescent="0.25">
      <c r="A8" s="151"/>
      <c r="B8" s="151" t="s">
        <v>8</v>
      </c>
      <c r="C8" s="165">
        <f>FINANCIAL!G32</f>
        <v>0</v>
      </c>
      <c r="D8" s="166"/>
      <c r="E8" s="166"/>
      <c r="F8" s="166"/>
      <c r="G8" s="167"/>
    </row>
    <row r="9" spans="1:7" x14ac:dyDescent="0.25">
      <c r="A9" s="151"/>
      <c r="B9" s="150"/>
      <c r="C9" s="168"/>
      <c r="D9" s="169"/>
      <c r="E9" s="169"/>
      <c r="F9" s="169"/>
      <c r="G9" s="167"/>
    </row>
    <row r="10" spans="1:7" x14ac:dyDescent="0.25">
      <c r="A10" s="151"/>
      <c r="B10" s="150" t="s">
        <v>9</v>
      </c>
      <c r="C10" s="168"/>
      <c r="D10" s="166">
        <f>'#9509.00 Vendor A'!D23</f>
        <v>0</v>
      </c>
      <c r="E10" s="166">
        <f>'#9509.00 Vendor A'!F23</f>
        <v>0</v>
      </c>
      <c r="F10" s="166">
        <f>'#9509.00 Vendor A'!H23</f>
        <v>0</v>
      </c>
      <c r="G10" s="167"/>
    </row>
    <row r="11" spans="1:7" x14ac:dyDescent="0.25">
      <c r="A11" s="151"/>
      <c r="B11" s="150" t="s">
        <v>10</v>
      </c>
      <c r="C11" s="168"/>
      <c r="D11" s="166">
        <f>'#9509.00 PM TIME'!E23</f>
        <v>0</v>
      </c>
      <c r="E11" s="166">
        <f>'#9509.00 PM TIME'!G23</f>
        <v>0</v>
      </c>
      <c r="F11" s="166">
        <f>'#9509.00 PM TIME'!I23</f>
        <v>0</v>
      </c>
      <c r="G11" s="167"/>
    </row>
    <row r="12" spans="1:7" x14ac:dyDescent="0.25">
      <c r="A12" s="151"/>
      <c r="B12" s="150" t="s">
        <v>11</v>
      </c>
      <c r="C12" s="169"/>
      <c r="D12" s="170">
        <f>'#9509.00 Misc'!G22</f>
        <v>0</v>
      </c>
      <c r="E12" s="170">
        <f>'#9509.00 Misc'!H22</f>
        <v>0</v>
      </c>
      <c r="F12" s="166">
        <f>D12-E12</f>
        <v>0</v>
      </c>
      <c r="G12" s="167"/>
    </row>
    <row r="13" spans="1:7" ht="13.35" customHeight="1" x14ac:dyDescent="0.25">
      <c r="A13" s="151"/>
      <c r="B13" s="150"/>
      <c r="C13" s="169"/>
      <c r="D13" s="170"/>
      <c r="E13" s="170"/>
      <c r="F13" s="166"/>
      <c r="G13" s="167"/>
    </row>
    <row r="14" spans="1:7" ht="24" customHeight="1" thickBot="1" x14ac:dyDescent="0.3">
      <c r="A14" s="171"/>
      <c r="B14" s="172" t="s">
        <v>12</v>
      </c>
      <c r="C14" s="173">
        <f>SUM(C8:C13)</f>
        <v>0</v>
      </c>
      <c r="D14" s="173">
        <f>SUM(D8:D13)</f>
        <v>0</v>
      </c>
      <c r="E14" s="173">
        <f>SUM(E8:E13)</f>
        <v>0</v>
      </c>
      <c r="F14" s="173">
        <f>SUM(D14-E14)</f>
        <v>0</v>
      </c>
      <c r="G14" s="173">
        <f>C8-D14</f>
        <v>0</v>
      </c>
    </row>
    <row r="15" spans="1:7" ht="13.35" customHeight="1" thickTop="1" x14ac:dyDescent="0.25">
      <c r="A15" s="151"/>
      <c r="B15" s="150"/>
      <c r="C15" s="150"/>
      <c r="D15" s="167"/>
      <c r="E15" s="167"/>
      <c r="F15" s="167"/>
      <c r="G15" s="167"/>
    </row>
    <row r="16" spans="1:7" ht="13.35" customHeight="1" x14ac:dyDescent="0.25">
      <c r="A16" s="151"/>
      <c r="B16" s="150"/>
      <c r="C16" s="150"/>
      <c r="D16" s="167"/>
      <c r="E16" s="167"/>
      <c r="F16" s="167"/>
      <c r="G16" s="167"/>
    </row>
    <row r="17" spans="1:7" ht="13.35" customHeight="1" x14ac:dyDescent="0.25">
      <c r="A17" s="151"/>
      <c r="B17" s="151" t="s">
        <v>337</v>
      </c>
      <c r="C17" s="150"/>
      <c r="D17" s="167"/>
      <c r="E17" s="167"/>
      <c r="F17" s="167"/>
      <c r="G17" s="167"/>
    </row>
    <row r="18" spans="1:7" ht="13.35" customHeight="1" x14ac:dyDescent="0.25">
      <c r="A18" s="151"/>
      <c r="B18" s="150"/>
      <c r="C18" s="150"/>
      <c r="D18" s="167"/>
      <c r="E18" s="167"/>
      <c r="F18" s="167"/>
      <c r="G18" s="167"/>
    </row>
    <row r="19" spans="1:7" ht="13.35" customHeight="1" x14ac:dyDescent="0.25">
      <c r="A19" s="151"/>
      <c r="B19" s="150"/>
      <c r="C19" s="150"/>
      <c r="D19" s="167"/>
      <c r="E19" s="167"/>
      <c r="F19" s="167"/>
      <c r="G19" s="167"/>
    </row>
    <row r="20" spans="1:7" ht="13.35" customHeight="1" x14ac:dyDescent="0.25">
      <c r="A20" s="151"/>
      <c r="B20" s="150"/>
      <c r="C20" s="150"/>
      <c r="D20" s="167"/>
      <c r="E20" s="167"/>
      <c r="F20" s="167"/>
      <c r="G20" s="167"/>
    </row>
    <row r="21" spans="1:7" ht="13.35" customHeight="1" x14ac:dyDescent="0.25">
      <c r="A21" s="151"/>
      <c r="B21" s="150"/>
      <c r="C21" s="150"/>
      <c r="D21" s="167"/>
      <c r="E21" s="167"/>
      <c r="F21" s="167"/>
      <c r="G21" s="167"/>
    </row>
    <row r="22" spans="1:7" ht="13.35" customHeight="1" x14ac:dyDescent="0.25">
      <c r="A22" s="151"/>
      <c r="B22" s="150"/>
      <c r="C22" s="150"/>
      <c r="D22" s="167"/>
      <c r="E22" s="167"/>
      <c r="F22" s="167"/>
      <c r="G22" s="167"/>
    </row>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34BCA-A777-414C-82C7-5F8F0B1D5A5E}">
  <sheetPr>
    <tabColor rgb="FF0070C0"/>
    <pageSetUpPr fitToPage="1"/>
  </sheetPr>
  <dimension ref="A1:I29"/>
  <sheetViews>
    <sheetView zoomScaleNormal="100" workbookViewId="0">
      <selection activeCell="B13" sqref="B13:D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30" t="str">
        <f>'RECAP #9509.00'!B1</f>
        <v>DOC FDCF Boone Unit Roof Replacement</v>
      </c>
      <c r="B1" s="30"/>
      <c r="C1" s="153"/>
      <c r="D1" s="153"/>
      <c r="E1" s="153"/>
      <c r="F1" s="156"/>
      <c r="G1" s="156"/>
      <c r="H1" s="179"/>
      <c r="I1" s="179"/>
    </row>
    <row r="2" spans="1:9" ht="15.75" x14ac:dyDescent="0.25">
      <c r="A2" s="31" t="str">
        <f>'RECAP #9509.00'!B2</f>
        <v>Project # 9509.00</v>
      </c>
      <c r="B2" s="150"/>
      <c r="C2" s="153"/>
      <c r="D2" s="153"/>
      <c r="E2" s="153"/>
      <c r="F2" s="156"/>
      <c r="G2" s="156"/>
      <c r="H2" s="179"/>
      <c r="I2" s="179"/>
    </row>
    <row r="3" spans="1:9" ht="15.75" x14ac:dyDescent="0.25">
      <c r="A3" s="154" t="str">
        <f>'RECAP #9509.00'!B3</f>
        <v>Program code 950900</v>
      </c>
      <c r="B3" s="150"/>
      <c r="C3" s="153"/>
      <c r="D3" s="155" t="str">
        <f>'RECAP #9509.00'!E3</f>
        <v>Major Program 4E02</v>
      </c>
      <c r="E3" s="153"/>
      <c r="F3" s="156"/>
      <c r="G3" s="156"/>
      <c r="H3" s="179"/>
      <c r="I3" s="179"/>
    </row>
    <row r="4" spans="1:9" ht="15.75" x14ac:dyDescent="0.25">
      <c r="A4" s="30" t="s">
        <v>13</v>
      </c>
      <c r="B4" s="31"/>
      <c r="C4" s="179"/>
      <c r="D4" s="180" t="s">
        <v>14</v>
      </c>
      <c r="E4" s="156"/>
      <c r="F4" s="156"/>
      <c r="G4" s="156"/>
      <c r="H4" s="179"/>
      <c r="I4" s="179"/>
    </row>
    <row r="5" spans="1:9" ht="15.75" x14ac:dyDescent="0.25">
      <c r="A5" s="181" t="s">
        <v>66</v>
      </c>
      <c r="B5" s="179"/>
      <c r="C5" s="182"/>
      <c r="D5" s="37"/>
      <c r="E5" s="42"/>
      <c r="F5" s="156"/>
      <c r="G5" s="156"/>
      <c r="H5" s="179"/>
      <c r="I5" s="179"/>
    </row>
    <row r="6" spans="1:9" ht="15.75" x14ac:dyDescent="0.25">
      <c r="A6" s="31" t="str">
        <f>'RECAP #9509.00'!B6</f>
        <v>Project Manager - Geoff W. (JE)</v>
      </c>
      <c r="B6" s="31"/>
      <c r="C6" s="183"/>
      <c r="D6" s="184" t="s">
        <v>15</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x14ac:dyDescent="0.25">
      <c r="A9" s="190"/>
      <c r="B9" s="191"/>
      <c r="C9" s="192"/>
      <c r="D9" s="193"/>
      <c r="E9" s="194">
        <f>D9</f>
        <v>0</v>
      </c>
      <c r="F9" s="195"/>
      <c r="G9" s="195"/>
      <c r="H9" s="195">
        <f>E9</f>
        <v>0</v>
      </c>
      <c r="I9" s="42"/>
    </row>
    <row r="10" spans="1:9" x14ac:dyDescent="0.25">
      <c r="A10" s="190"/>
      <c r="B10" s="196"/>
      <c r="C10" s="192"/>
      <c r="D10" s="194"/>
      <c r="E10" s="194">
        <f t="shared" ref="E10:E21" si="0">E9+D10</f>
        <v>0</v>
      </c>
      <c r="F10" s="197"/>
      <c r="G10" s="195">
        <f t="shared" ref="G10:G21" si="1">G9+F10</f>
        <v>0</v>
      </c>
      <c r="H10" s="195">
        <f t="shared" ref="H10:H21" si="2">H9-F10+D10</f>
        <v>0</v>
      </c>
      <c r="I10" s="42"/>
    </row>
    <row r="11" spans="1:9" x14ac:dyDescent="0.25">
      <c r="A11" s="190"/>
      <c r="B11" s="191"/>
      <c r="C11" s="192"/>
      <c r="D11" s="194"/>
      <c r="E11" s="194">
        <f t="shared" si="0"/>
        <v>0</v>
      </c>
      <c r="F11" s="197"/>
      <c r="G11" s="195">
        <f t="shared" si="1"/>
        <v>0</v>
      </c>
      <c r="H11" s="195">
        <f t="shared" si="2"/>
        <v>0</v>
      </c>
      <c r="I11" s="42"/>
    </row>
    <row r="12" spans="1:9" x14ac:dyDescent="0.25">
      <c r="A12" s="190"/>
      <c r="B12" s="191"/>
      <c r="C12" s="192"/>
      <c r="D12" s="194"/>
      <c r="E12" s="194">
        <f t="shared" si="0"/>
        <v>0</v>
      </c>
      <c r="F12" s="197"/>
      <c r="G12" s="195">
        <f t="shared" si="1"/>
        <v>0</v>
      </c>
      <c r="H12" s="195">
        <f t="shared" si="2"/>
        <v>0</v>
      </c>
      <c r="I12" s="42"/>
    </row>
    <row r="13" spans="1:9" x14ac:dyDescent="0.25">
      <c r="A13" s="190"/>
      <c r="B13" s="191"/>
      <c r="C13" s="192"/>
      <c r="D13" s="194"/>
      <c r="E13" s="194">
        <f t="shared" si="0"/>
        <v>0</v>
      </c>
      <c r="F13" s="197"/>
      <c r="G13" s="195">
        <f t="shared" si="1"/>
        <v>0</v>
      </c>
      <c r="H13" s="195">
        <f t="shared" si="2"/>
        <v>0</v>
      </c>
      <c r="I13" s="42"/>
    </row>
    <row r="14" spans="1:9" x14ac:dyDescent="0.25">
      <c r="A14" s="190"/>
      <c r="B14" s="191"/>
      <c r="C14" s="192"/>
      <c r="D14" s="194"/>
      <c r="E14" s="194">
        <f t="shared" si="0"/>
        <v>0</v>
      </c>
      <c r="F14" s="195"/>
      <c r="G14" s="195">
        <f t="shared" si="1"/>
        <v>0</v>
      </c>
      <c r="H14" s="195">
        <f t="shared" si="2"/>
        <v>0</v>
      </c>
      <c r="I14" s="42"/>
    </row>
    <row r="15" spans="1:9" x14ac:dyDescent="0.25">
      <c r="A15" s="190"/>
      <c r="B15" s="191"/>
      <c r="C15" s="192"/>
      <c r="D15" s="194"/>
      <c r="E15" s="194">
        <f t="shared" si="0"/>
        <v>0</v>
      </c>
      <c r="F15" s="197"/>
      <c r="G15" s="195">
        <f t="shared" si="1"/>
        <v>0</v>
      </c>
      <c r="H15" s="195">
        <f t="shared" si="2"/>
        <v>0</v>
      </c>
      <c r="I15" s="42"/>
    </row>
    <row r="16" spans="1:9" x14ac:dyDescent="0.25">
      <c r="A16" s="190"/>
      <c r="B16" s="191"/>
      <c r="C16" s="192"/>
      <c r="D16" s="194"/>
      <c r="E16" s="194">
        <f t="shared" si="0"/>
        <v>0</v>
      </c>
      <c r="F16" s="197"/>
      <c r="G16" s="195">
        <f t="shared" si="1"/>
        <v>0</v>
      </c>
      <c r="H16" s="195">
        <f t="shared" si="2"/>
        <v>0</v>
      </c>
      <c r="I16" s="42"/>
    </row>
    <row r="17" spans="1:9" x14ac:dyDescent="0.25">
      <c r="A17" s="190"/>
      <c r="B17" s="191"/>
      <c r="C17" s="192"/>
      <c r="D17" s="194"/>
      <c r="E17" s="194">
        <f t="shared" si="0"/>
        <v>0</v>
      </c>
      <c r="F17" s="197"/>
      <c r="G17" s="195">
        <f t="shared" si="1"/>
        <v>0</v>
      </c>
      <c r="H17" s="195">
        <f t="shared" si="2"/>
        <v>0</v>
      </c>
      <c r="I17" s="42"/>
    </row>
    <row r="18" spans="1:9" x14ac:dyDescent="0.25">
      <c r="A18" s="190"/>
      <c r="B18" s="191"/>
      <c r="C18" s="192"/>
      <c r="D18" s="194"/>
      <c r="E18" s="194">
        <f t="shared" si="0"/>
        <v>0</v>
      </c>
      <c r="F18" s="197"/>
      <c r="G18" s="195">
        <f t="shared" si="1"/>
        <v>0</v>
      </c>
      <c r="H18" s="195">
        <f t="shared" si="2"/>
        <v>0</v>
      </c>
      <c r="I18" s="42"/>
    </row>
    <row r="19" spans="1:9" x14ac:dyDescent="0.25">
      <c r="A19" s="190"/>
      <c r="B19" s="191"/>
      <c r="C19" s="192"/>
      <c r="D19" s="194"/>
      <c r="E19" s="194">
        <f t="shared" si="0"/>
        <v>0</v>
      </c>
      <c r="F19" s="195"/>
      <c r="G19" s="195">
        <f t="shared" si="1"/>
        <v>0</v>
      </c>
      <c r="H19" s="195">
        <f t="shared" si="2"/>
        <v>0</v>
      </c>
      <c r="I19" s="42"/>
    </row>
    <row r="20" spans="1:9" x14ac:dyDescent="0.25">
      <c r="A20" s="190"/>
      <c r="B20" s="191"/>
      <c r="C20" s="192"/>
      <c r="D20" s="194"/>
      <c r="E20" s="194">
        <f t="shared" si="0"/>
        <v>0</v>
      </c>
      <c r="F20" s="195"/>
      <c r="G20" s="195">
        <f t="shared" si="1"/>
        <v>0</v>
      </c>
      <c r="H20" s="195">
        <f t="shared" si="2"/>
        <v>0</v>
      </c>
      <c r="I20" s="42"/>
    </row>
    <row r="21" spans="1:9" x14ac:dyDescent="0.25">
      <c r="A21" s="190"/>
      <c r="B21" s="191"/>
      <c r="C21" s="198"/>
      <c r="D21" s="194"/>
      <c r="E21" s="194">
        <f t="shared" si="0"/>
        <v>0</v>
      </c>
      <c r="F21" s="195"/>
      <c r="G21" s="195">
        <f t="shared" si="1"/>
        <v>0</v>
      </c>
      <c r="H21" s="195">
        <f t="shared" si="2"/>
        <v>0</v>
      </c>
      <c r="I21" s="42"/>
    </row>
    <row r="22" spans="1:9" x14ac:dyDescent="0.25">
      <c r="A22" s="190"/>
      <c r="B22" s="192"/>
      <c r="C22" s="199"/>
      <c r="D22" s="195"/>
      <c r="E22" s="195"/>
      <c r="F22" s="195"/>
      <c r="G22" s="195"/>
      <c r="H22" s="195"/>
      <c r="I22" s="42"/>
    </row>
    <row r="23" spans="1:9" ht="15.75" thickBot="1" x14ac:dyDescent="0.3">
      <c r="A23" s="190"/>
      <c r="B23" s="200"/>
      <c r="C23" s="201" t="s">
        <v>24</v>
      </c>
      <c r="D23" s="202">
        <f>SUM(D9:D22)</f>
        <v>0</v>
      </c>
      <c r="E23" s="202"/>
      <c r="F23" s="202">
        <f>SUM(F9:F22)</f>
        <v>0</v>
      </c>
      <c r="G23" s="202"/>
      <c r="H23" s="202">
        <f>D23-F23</f>
        <v>0</v>
      </c>
      <c r="I23" s="42"/>
    </row>
    <row r="24" spans="1:9" ht="15.75" thickTop="1" x14ac:dyDescent="0.25">
      <c r="A24" s="190"/>
      <c r="B24" s="192"/>
      <c r="C24" s="199"/>
      <c r="D24" s="195"/>
      <c r="E24" s="195"/>
      <c r="F24" s="195"/>
      <c r="G24" s="195"/>
      <c r="H24" s="195"/>
      <c r="I24" s="42"/>
    </row>
    <row r="25" spans="1:9" x14ac:dyDescent="0.25">
      <c r="A25" s="190"/>
      <c r="B25" s="192"/>
      <c r="C25" s="199"/>
      <c r="D25" s="195"/>
      <c r="E25" s="195"/>
      <c r="F25" s="195"/>
      <c r="G25" s="195"/>
      <c r="H25" s="195"/>
      <c r="I25" s="42"/>
    </row>
    <row r="26" spans="1:9" x14ac:dyDescent="0.25">
      <c r="A26" s="190"/>
      <c r="B26" s="192"/>
      <c r="C26" s="199" t="s">
        <v>110</v>
      </c>
      <c r="D26" s="203">
        <v>0</v>
      </c>
      <c r="E26" s="203"/>
      <c r="F26" s="203"/>
      <c r="G26" s="203"/>
      <c r="H26" s="203">
        <f>D26-F26</f>
        <v>0</v>
      </c>
      <c r="I26" s="42"/>
    </row>
    <row r="27" spans="1:9" x14ac:dyDescent="0.25">
      <c r="A27" s="190"/>
      <c r="B27" s="192"/>
      <c r="C27" s="199" t="s">
        <v>111</v>
      </c>
      <c r="D27" s="203">
        <v>0</v>
      </c>
      <c r="E27" s="203"/>
      <c r="F27" s="203"/>
      <c r="G27" s="203"/>
      <c r="H27" s="203">
        <f>D27-F27</f>
        <v>0</v>
      </c>
      <c r="I27" s="42"/>
    </row>
    <row r="28" spans="1:9" ht="15.75" thickBot="1" x14ac:dyDescent="0.3">
      <c r="A28" s="190"/>
      <c r="B28" s="192"/>
      <c r="C28" s="204" t="s">
        <v>67</v>
      </c>
      <c r="D28" s="202">
        <f>SUM(D26:D27)</f>
        <v>0</v>
      </c>
      <c r="E28" s="205"/>
      <c r="F28" s="202">
        <f>SUM(F26:F27)</f>
        <v>0</v>
      </c>
      <c r="G28" s="205"/>
      <c r="H28" s="202">
        <f>SUM(H26:H27)</f>
        <v>0</v>
      </c>
      <c r="I28" s="42"/>
    </row>
    <row r="29" spans="1:9" ht="15" customHeight="1" thickTop="1" x14ac:dyDescent="0.25"/>
  </sheetData>
  <conditionalFormatting sqref="I8:I23">
    <cfRule type="cellIs" dxfId="19" priority="1" operator="greaterThan">
      <formula>$H$23</formula>
    </cfRule>
  </conditionalFormatting>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3F271-088C-42B0-B272-765998AF6650}">
  <sheetPr>
    <tabColor indexed="30"/>
    <pageSetUpPr fitToPage="1"/>
  </sheetPr>
  <dimension ref="A1:J24"/>
  <sheetViews>
    <sheetView topLeftCell="A4" zoomScaleNormal="100" workbookViewId="0">
      <selection activeCell="B13" sqref="B13:D13"/>
    </sheetView>
  </sheetViews>
  <sheetFormatPr defaultColWidth="11.42578125" defaultRowHeight="15" customHeight="1" x14ac:dyDescent="0.25"/>
  <cols>
    <col min="1" max="1" width="24.5703125" customWidth="1"/>
    <col min="2" max="3" width="9.42578125" customWidth="1"/>
    <col min="4" max="4" width="25" bestFit="1"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30" t="str">
        <f>'RECAP #9509.00'!B1</f>
        <v>DOC FDCF Boone Unit Roof Replacement</v>
      </c>
      <c r="B1" s="30"/>
      <c r="C1" s="30"/>
      <c r="D1" s="153"/>
      <c r="E1" s="153"/>
      <c r="F1" s="153"/>
      <c r="G1" s="156"/>
      <c r="H1" s="156"/>
      <c r="I1" s="179"/>
      <c r="J1" s="179"/>
    </row>
    <row r="2" spans="1:10" ht="15.75" x14ac:dyDescent="0.25">
      <c r="A2" s="31" t="str">
        <f>'RECAP #9509.00'!B2</f>
        <v>Project # 9509.00</v>
      </c>
      <c r="B2" s="150"/>
      <c r="C2" s="150"/>
      <c r="D2" s="153"/>
      <c r="E2" s="153"/>
      <c r="F2" s="153"/>
      <c r="G2" s="156"/>
      <c r="H2" s="156"/>
      <c r="I2" s="179"/>
      <c r="J2" s="179"/>
    </row>
    <row r="3" spans="1:10" ht="15.75" x14ac:dyDescent="0.25">
      <c r="A3" s="154" t="str">
        <f>'RECAP #9509.00'!B3</f>
        <v>Program code 950900</v>
      </c>
      <c r="B3" s="150"/>
      <c r="C3" s="150"/>
      <c r="D3" s="153"/>
      <c r="E3" s="155" t="str">
        <f>'RECAP #9509.00'!E3</f>
        <v>Major Program 4E02</v>
      </c>
      <c r="F3" s="153"/>
      <c r="G3" s="156"/>
      <c r="H3" s="156"/>
      <c r="I3" s="179"/>
      <c r="J3" s="179"/>
    </row>
    <row r="4" spans="1:10" ht="15.75" x14ac:dyDescent="0.25">
      <c r="A4" s="30" t="s">
        <v>10</v>
      </c>
      <c r="B4" s="31"/>
      <c r="C4" s="31"/>
      <c r="D4" s="179"/>
      <c r="E4" s="180" t="s">
        <v>25</v>
      </c>
      <c r="F4" s="156"/>
      <c r="G4" s="156"/>
      <c r="H4" s="156"/>
      <c r="I4" s="179"/>
      <c r="J4" s="179"/>
    </row>
    <row r="5" spans="1:10" ht="15.75" x14ac:dyDescent="0.25">
      <c r="A5" s="31"/>
      <c r="B5" s="179"/>
      <c r="C5" s="179"/>
      <c r="D5" s="182"/>
      <c r="E5" s="37"/>
      <c r="F5" s="42"/>
      <c r="G5" s="156"/>
      <c r="H5" s="156"/>
      <c r="I5" s="179"/>
      <c r="J5" s="179"/>
    </row>
    <row r="6" spans="1:10" ht="15.75" x14ac:dyDescent="0.25">
      <c r="A6" s="181" t="s">
        <v>66</v>
      </c>
      <c r="B6" s="31"/>
      <c r="C6" s="31"/>
      <c r="D6" s="183"/>
      <c r="E6" s="37" t="s">
        <v>245</v>
      </c>
      <c r="F6" s="42"/>
      <c r="G6" s="43"/>
      <c r="H6" s="156"/>
      <c r="I6" s="179"/>
      <c r="J6" s="179"/>
    </row>
    <row r="7" spans="1:10" ht="15.75" x14ac:dyDescent="0.25">
      <c r="A7" s="31" t="str">
        <f>'RECAP #9509.00'!B6</f>
        <v>Project Manager - Geoff W. (JE)</v>
      </c>
      <c r="B7" s="185"/>
      <c r="C7" s="185"/>
      <c r="D7" s="185"/>
      <c r="E7" s="43" t="s">
        <v>2</v>
      </c>
      <c r="F7" s="43"/>
      <c r="G7" s="43"/>
      <c r="H7" s="156"/>
      <c r="I7" s="179"/>
      <c r="J7" s="179" t="s">
        <v>2</v>
      </c>
    </row>
    <row r="8" spans="1:10" ht="32.25" thickBot="1" x14ac:dyDescent="0.3">
      <c r="A8" s="186" t="s">
        <v>16</v>
      </c>
      <c r="B8" s="187" t="s">
        <v>17</v>
      </c>
      <c r="C8" s="207" t="s">
        <v>27</v>
      </c>
      <c r="D8" s="188" t="s">
        <v>28</v>
      </c>
      <c r="E8" s="189" t="s">
        <v>19</v>
      </c>
      <c r="F8" s="189" t="s">
        <v>20</v>
      </c>
      <c r="G8" s="189" t="s">
        <v>21</v>
      </c>
      <c r="H8" s="189" t="s">
        <v>22</v>
      </c>
      <c r="I8" s="189" t="s">
        <v>23</v>
      </c>
      <c r="J8" s="179" t="s">
        <v>2</v>
      </c>
    </row>
    <row r="9" spans="1:10" x14ac:dyDescent="0.25">
      <c r="A9" s="208"/>
      <c r="B9" s="191"/>
      <c r="C9" s="191"/>
      <c r="D9" s="199" t="s">
        <v>29</v>
      </c>
      <c r="E9" s="193"/>
      <c r="F9" s="194">
        <f>E9</f>
        <v>0</v>
      </c>
      <c r="G9" s="195"/>
      <c r="H9" s="195"/>
      <c r="I9" s="195">
        <f>F9</f>
        <v>0</v>
      </c>
      <c r="J9" s="42"/>
    </row>
    <row r="10" spans="1:10" x14ac:dyDescent="0.25">
      <c r="A10" s="209"/>
      <c r="B10" s="196"/>
      <c r="C10" s="196"/>
      <c r="D10" s="199"/>
      <c r="E10" s="194"/>
      <c r="F10" s="194">
        <f t="shared" ref="F10:F21" si="0">F9+E10</f>
        <v>0</v>
      </c>
      <c r="G10" s="197"/>
      <c r="H10" s="195">
        <f t="shared" ref="H10:H21" si="1">H9+G10</f>
        <v>0</v>
      </c>
      <c r="I10" s="195">
        <f t="shared" ref="I10:I21" si="2">I9-G10+E10</f>
        <v>0</v>
      </c>
      <c r="J10" s="42"/>
    </row>
    <row r="11" spans="1:10" x14ac:dyDescent="0.25">
      <c r="A11" s="208"/>
      <c r="B11" s="191"/>
      <c r="C11" s="191"/>
      <c r="D11" s="199"/>
      <c r="E11" s="194"/>
      <c r="F11" s="194">
        <f t="shared" si="0"/>
        <v>0</v>
      </c>
      <c r="G11" s="197"/>
      <c r="H11" s="195">
        <f t="shared" si="1"/>
        <v>0</v>
      </c>
      <c r="I11" s="195">
        <f t="shared" si="2"/>
        <v>0</v>
      </c>
      <c r="J11" s="42"/>
    </row>
    <row r="12" spans="1:10" x14ac:dyDescent="0.25">
      <c r="A12" s="208"/>
      <c r="B12" s="191"/>
      <c r="C12" s="191"/>
      <c r="D12" s="199"/>
      <c r="E12" s="194"/>
      <c r="F12" s="194">
        <f t="shared" si="0"/>
        <v>0</v>
      </c>
      <c r="G12" s="197"/>
      <c r="H12" s="195">
        <f t="shared" si="1"/>
        <v>0</v>
      </c>
      <c r="I12" s="195">
        <f t="shared" si="2"/>
        <v>0</v>
      </c>
      <c r="J12" s="42"/>
    </row>
    <row r="13" spans="1:10" x14ac:dyDescent="0.25">
      <c r="A13" s="208"/>
      <c r="B13" s="191"/>
      <c r="C13" s="191"/>
      <c r="D13" s="199"/>
      <c r="E13" s="194"/>
      <c r="F13" s="194">
        <f t="shared" si="0"/>
        <v>0</v>
      </c>
      <c r="G13" s="197"/>
      <c r="H13" s="195">
        <f t="shared" si="1"/>
        <v>0</v>
      </c>
      <c r="I13" s="195">
        <f t="shared" si="2"/>
        <v>0</v>
      </c>
      <c r="J13" s="42"/>
    </row>
    <row r="14" spans="1:10" x14ac:dyDescent="0.25">
      <c r="A14" s="208"/>
      <c r="B14" s="191"/>
      <c r="C14" s="191"/>
      <c r="D14" s="199"/>
      <c r="E14" s="194"/>
      <c r="F14" s="194">
        <f t="shared" si="0"/>
        <v>0</v>
      </c>
      <c r="G14" s="195"/>
      <c r="H14" s="195">
        <f t="shared" si="1"/>
        <v>0</v>
      </c>
      <c r="I14" s="195">
        <f t="shared" si="2"/>
        <v>0</v>
      </c>
      <c r="J14" s="42"/>
    </row>
    <row r="15" spans="1:10" x14ac:dyDescent="0.25">
      <c r="A15" s="208"/>
      <c r="B15" s="191"/>
      <c r="C15" s="191"/>
      <c r="D15" s="199"/>
      <c r="E15" s="194"/>
      <c r="F15" s="194">
        <f t="shared" si="0"/>
        <v>0</v>
      </c>
      <c r="G15" s="197"/>
      <c r="H15" s="195">
        <f t="shared" si="1"/>
        <v>0</v>
      </c>
      <c r="I15" s="195">
        <f t="shared" si="2"/>
        <v>0</v>
      </c>
      <c r="J15" s="42"/>
    </row>
    <row r="16" spans="1:10" x14ac:dyDescent="0.25">
      <c r="A16" s="208"/>
      <c r="B16" s="191"/>
      <c r="C16" s="191"/>
      <c r="D16" s="199"/>
      <c r="E16" s="194"/>
      <c r="F16" s="194">
        <f t="shared" si="0"/>
        <v>0</v>
      </c>
      <c r="G16" s="197"/>
      <c r="H16" s="195">
        <f t="shared" si="1"/>
        <v>0</v>
      </c>
      <c r="I16" s="195">
        <f t="shared" si="2"/>
        <v>0</v>
      </c>
      <c r="J16" s="42"/>
    </row>
    <row r="17" spans="1:10" x14ac:dyDescent="0.25">
      <c r="A17" s="208"/>
      <c r="B17" s="191"/>
      <c r="C17" s="191"/>
      <c r="D17" s="199"/>
      <c r="E17" s="194"/>
      <c r="F17" s="194">
        <f t="shared" si="0"/>
        <v>0</v>
      </c>
      <c r="G17" s="197"/>
      <c r="H17" s="195">
        <f t="shared" si="1"/>
        <v>0</v>
      </c>
      <c r="I17" s="195">
        <f t="shared" si="2"/>
        <v>0</v>
      </c>
      <c r="J17" s="42"/>
    </row>
    <row r="18" spans="1:10" x14ac:dyDescent="0.25">
      <c r="A18" s="208"/>
      <c r="B18" s="191"/>
      <c r="C18" s="191"/>
      <c r="D18" s="199"/>
      <c r="E18" s="194"/>
      <c r="F18" s="194">
        <f t="shared" si="0"/>
        <v>0</v>
      </c>
      <c r="G18" s="197"/>
      <c r="H18" s="195">
        <f t="shared" si="1"/>
        <v>0</v>
      </c>
      <c r="I18" s="195">
        <f t="shared" si="2"/>
        <v>0</v>
      </c>
      <c r="J18" s="42"/>
    </row>
    <row r="19" spans="1:10" x14ac:dyDescent="0.25">
      <c r="A19" s="208"/>
      <c r="B19" s="191"/>
      <c r="C19" s="191"/>
      <c r="D19" s="199"/>
      <c r="E19" s="194"/>
      <c r="F19" s="194">
        <f t="shared" si="0"/>
        <v>0</v>
      </c>
      <c r="G19" s="195"/>
      <c r="H19" s="195">
        <f t="shared" si="1"/>
        <v>0</v>
      </c>
      <c r="I19" s="195">
        <f t="shared" si="2"/>
        <v>0</v>
      </c>
      <c r="J19" s="42"/>
    </row>
    <row r="20" spans="1:10" x14ac:dyDescent="0.25">
      <c r="A20" s="208"/>
      <c r="B20" s="191"/>
      <c r="C20" s="191"/>
      <c r="D20" s="199"/>
      <c r="E20" s="194"/>
      <c r="F20" s="194">
        <f t="shared" si="0"/>
        <v>0</v>
      </c>
      <c r="G20" s="195"/>
      <c r="H20" s="195">
        <f t="shared" si="1"/>
        <v>0</v>
      </c>
      <c r="I20" s="195">
        <f t="shared" si="2"/>
        <v>0</v>
      </c>
      <c r="J20" s="42"/>
    </row>
    <row r="21" spans="1:10" x14ac:dyDescent="0.25">
      <c r="A21" s="208"/>
      <c r="B21" s="191"/>
      <c r="C21" s="191"/>
      <c r="D21" s="42"/>
      <c r="E21" s="194"/>
      <c r="F21" s="194">
        <f t="shared" si="0"/>
        <v>0</v>
      </c>
      <c r="G21" s="195"/>
      <c r="H21" s="195">
        <f t="shared" si="1"/>
        <v>0</v>
      </c>
      <c r="I21" s="195">
        <f t="shared" si="2"/>
        <v>0</v>
      </c>
      <c r="J21" s="42"/>
    </row>
    <row r="22" spans="1:10" x14ac:dyDescent="0.25">
      <c r="A22" s="190"/>
      <c r="B22" s="192"/>
      <c r="C22" s="192"/>
      <c r="D22" s="199"/>
      <c r="E22" s="195"/>
      <c r="F22" s="195"/>
      <c r="G22" s="195"/>
      <c r="H22" s="195"/>
      <c r="I22" s="195"/>
      <c r="J22" s="42"/>
    </row>
    <row r="23" spans="1:10" ht="15.75" thickBot="1" x14ac:dyDescent="0.3">
      <c r="A23" s="190"/>
      <c r="B23" s="200"/>
      <c r="C23" s="200"/>
      <c r="D23" s="201" t="s">
        <v>24</v>
      </c>
      <c r="E23" s="202">
        <f>SUM(E9:E22)</f>
        <v>0</v>
      </c>
      <c r="F23" s="202"/>
      <c r="G23" s="202">
        <f>SUM(G9:G22)</f>
        <v>0</v>
      </c>
      <c r="H23" s="202"/>
      <c r="I23" s="202">
        <f>E23-G23</f>
        <v>0</v>
      </c>
      <c r="J23" s="42"/>
    </row>
    <row r="24" spans="1:10" ht="15" customHeight="1" thickTop="1" x14ac:dyDescent="0.25"/>
  </sheetData>
  <pageMargins left="0.25" right="0.25" top="0.95" bottom="0.75" header="0.09" footer="0.3"/>
  <pageSetup scale="7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8741D-7E6F-4188-B0E0-6F6A2586A799}">
  <sheetPr>
    <tabColor indexed="30"/>
    <pageSetUpPr fitToPage="1"/>
  </sheetPr>
  <dimension ref="A1:H23"/>
  <sheetViews>
    <sheetView topLeftCell="A4"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30" t="str">
        <f>'RECAP #9509.00'!B1</f>
        <v>DOC FDCF Boone Unit Roof Replacement</v>
      </c>
      <c r="B1" s="30"/>
      <c r="C1" s="30"/>
      <c r="D1" s="30"/>
      <c r="E1" s="153"/>
      <c r="F1" s="153"/>
      <c r="G1" s="153"/>
      <c r="H1" s="156"/>
    </row>
    <row r="2" spans="1:8" ht="15.75" x14ac:dyDescent="0.25">
      <c r="A2" s="31" t="str">
        <f>'RECAP #9509.00'!B2</f>
        <v>Project # 9509.00</v>
      </c>
      <c r="B2" s="150"/>
      <c r="C2" s="150"/>
      <c r="D2" s="150"/>
      <c r="E2" s="153"/>
      <c r="F2" s="153"/>
      <c r="G2" s="153"/>
      <c r="H2" s="156"/>
    </row>
    <row r="3" spans="1:8" ht="15.75" x14ac:dyDescent="0.25">
      <c r="A3" s="154" t="str">
        <f>'RECAP #9509.00'!B3</f>
        <v>Program code 950900</v>
      </c>
      <c r="B3" s="150"/>
      <c r="C3" s="150"/>
      <c r="D3" s="150"/>
      <c r="E3" s="155" t="str">
        <f>'RECAP #9509.00'!E3</f>
        <v>Major Program 4E02</v>
      </c>
      <c r="F3" s="150"/>
      <c r="G3" s="153"/>
      <c r="H3" s="156"/>
    </row>
    <row r="4" spans="1:8" ht="15.75" x14ac:dyDescent="0.25">
      <c r="A4" s="210" t="s">
        <v>30</v>
      </c>
      <c r="B4" s="31"/>
      <c r="C4" s="31"/>
      <c r="D4" s="31"/>
      <c r="E4" s="180"/>
      <c r="F4" s="150"/>
      <c r="G4" s="156"/>
      <c r="H4" s="156"/>
    </row>
    <row r="5" spans="1:8" ht="15.75" x14ac:dyDescent="0.25">
      <c r="A5" s="31"/>
      <c r="B5" s="179"/>
      <c r="C5" s="179"/>
      <c r="D5" s="179"/>
      <c r="E5" s="69" t="s">
        <v>31</v>
      </c>
      <c r="F5" s="150"/>
      <c r="G5" s="42"/>
      <c r="H5" s="156"/>
    </row>
    <row r="6" spans="1:8" ht="15.75" x14ac:dyDescent="0.25">
      <c r="A6" s="181" t="s">
        <v>66</v>
      </c>
      <c r="B6" s="31"/>
      <c r="C6" s="31"/>
      <c r="D6" s="31"/>
      <c r="E6" s="155" t="s">
        <v>95</v>
      </c>
      <c r="F6" s="179"/>
      <c r="G6" s="42"/>
      <c r="H6" s="156"/>
    </row>
    <row r="7" spans="1:8" ht="15.75" x14ac:dyDescent="0.25">
      <c r="A7" s="31" t="str">
        <f>'RECAP #9509.00'!B6</f>
        <v>Project Manager - Geoff W. (JE)</v>
      </c>
      <c r="B7" s="185"/>
      <c r="C7" s="185"/>
      <c r="D7" s="185"/>
      <c r="E7" s="185"/>
      <c r="F7" s="150"/>
      <c r="G7" s="156"/>
      <c r="H7" s="156"/>
    </row>
    <row r="8" spans="1:8" ht="32.25" thickBot="1" x14ac:dyDescent="0.3">
      <c r="A8" s="186" t="s">
        <v>32</v>
      </c>
      <c r="B8" s="187" t="s">
        <v>17</v>
      </c>
      <c r="C8" s="207" t="s">
        <v>27</v>
      </c>
      <c r="D8" s="207" t="s">
        <v>28</v>
      </c>
      <c r="E8" s="188" t="s">
        <v>18</v>
      </c>
      <c r="F8" s="189" t="s">
        <v>33</v>
      </c>
      <c r="G8" s="189" t="s">
        <v>21</v>
      </c>
      <c r="H8" s="189" t="s">
        <v>22</v>
      </c>
    </row>
    <row r="9" spans="1:8" x14ac:dyDescent="0.25">
      <c r="A9" s="198"/>
      <c r="B9" s="191"/>
      <c r="C9" s="190"/>
      <c r="D9" s="190"/>
      <c r="E9" s="211"/>
      <c r="F9" s="212"/>
      <c r="G9" s="206"/>
      <c r="H9" s="206">
        <f>G9</f>
        <v>0</v>
      </c>
    </row>
    <row r="10" spans="1:8" x14ac:dyDescent="0.25">
      <c r="A10" s="208"/>
      <c r="B10" s="191"/>
      <c r="C10" s="199"/>
      <c r="D10" s="199"/>
      <c r="E10" s="42"/>
      <c r="F10" s="170"/>
      <c r="G10" s="206"/>
      <c r="H10" s="206">
        <f>H9+G10</f>
        <v>0</v>
      </c>
    </row>
    <row r="11" spans="1:8" x14ac:dyDescent="0.25">
      <c r="A11" s="208"/>
      <c r="B11" s="191"/>
      <c r="C11" s="191"/>
      <c r="D11" s="191"/>
      <c r="E11" s="42"/>
      <c r="F11" s="170"/>
      <c r="G11" s="206"/>
      <c r="H11" s="206">
        <f t="shared" ref="H11:H20" si="0">H10+G11</f>
        <v>0</v>
      </c>
    </row>
    <row r="12" spans="1:8" x14ac:dyDescent="0.25">
      <c r="A12" s="208" t="s">
        <v>2</v>
      </c>
      <c r="B12" s="191" t="s">
        <v>2</v>
      </c>
      <c r="C12" s="191"/>
      <c r="D12" s="191"/>
      <c r="E12" s="42" t="s">
        <v>2</v>
      </c>
      <c r="F12" s="170"/>
      <c r="G12" s="206"/>
      <c r="H12" s="206">
        <f t="shared" si="0"/>
        <v>0</v>
      </c>
    </row>
    <row r="13" spans="1:8" x14ac:dyDescent="0.25">
      <c r="A13" s="208" t="s">
        <v>2</v>
      </c>
      <c r="B13" s="191" t="s">
        <v>2</v>
      </c>
      <c r="C13" s="191"/>
      <c r="D13" s="191"/>
      <c r="E13" s="42" t="s">
        <v>2</v>
      </c>
      <c r="F13" s="170"/>
      <c r="G13" s="206"/>
      <c r="H13" s="206">
        <f t="shared" si="0"/>
        <v>0</v>
      </c>
    </row>
    <row r="14" spans="1:8" x14ac:dyDescent="0.25">
      <c r="A14" s="208"/>
      <c r="B14" s="191"/>
      <c r="C14" s="191"/>
      <c r="D14" s="191"/>
      <c r="E14" s="42"/>
      <c r="F14" s="170"/>
      <c r="G14" s="206"/>
      <c r="H14" s="206">
        <f t="shared" si="0"/>
        <v>0</v>
      </c>
    </row>
    <row r="15" spans="1:8" x14ac:dyDescent="0.25">
      <c r="A15" s="208"/>
      <c r="B15" s="191"/>
      <c r="C15" s="191"/>
      <c r="D15" s="191"/>
      <c r="E15" s="37"/>
      <c r="F15" s="170"/>
      <c r="G15" s="206"/>
      <c r="H15" s="206">
        <f t="shared" si="0"/>
        <v>0</v>
      </c>
    </row>
    <row r="16" spans="1:8" x14ac:dyDescent="0.25">
      <c r="A16" s="208"/>
      <c r="B16" s="191"/>
      <c r="C16" s="191"/>
      <c r="D16" s="191"/>
      <c r="E16" s="42"/>
      <c r="F16" s="170"/>
      <c r="G16" s="206"/>
      <c r="H16" s="206">
        <f t="shared" si="0"/>
        <v>0</v>
      </c>
    </row>
    <row r="17" spans="1:8" x14ac:dyDescent="0.25">
      <c r="A17" s="190"/>
      <c r="B17" s="191"/>
      <c r="C17" s="191"/>
      <c r="D17" s="191"/>
      <c r="E17" s="42"/>
      <c r="F17" s="170"/>
      <c r="G17" s="206"/>
      <c r="H17" s="206">
        <f t="shared" si="0"/>
        <v>0</v>
      </c>
    </row>
    <row r="18" spans="1:8" x14ac:dyDescent="0.25">
      <c r="A18" s="190"/>
      <c r="B18" s="191"/>
      <c r="C18" s="191"/>
      <c r="D18" s="191"/>
      <c r="E18" s="42"/>
      <c r="F18" s="170"/>
      <c r="G18" s="206"/>
      <c r="H18" s="206">
        <f t="shared" si="0"/>
        <v>0</v>
      </c>
    </row>
    <row r="19" spans="1:8" x14ac:dyDescent="0.25">
      <c r="A19" s="190"/>
      <c r="B19" s="191"/>
      <c r="C19" s="191"/>
      <c r="D19" s="191"/>
      <c r="E19" s="42"/>
      <c r="F19" s="170"/>
      <c r="G19" s="206"/>
      <c r="H19" s="206">
        <f t="shared" si="0"/>
        <v>0</v>
      </c>
    </row>
    <row r="20" spans="1:8" x14ac:dyDescent="0.25">
      <c r="A20" s="190"/>
      <c r="B20" s="191"/>
      <c r="C20" s="191"/>
      <c r="D20" s="191"/>
      <c r="E20" s="42"/>
      <c r="F20" s="170"/>
      <c r="G20" s="206"/>
      <c r="H20" s="206">
        <f t="shared" si="0"/>
        <v>0</v>
      </c>
    </row>
    <row r="21" spans="1:8" x14ac:dyDescent="0.25">
      <c r="A21" s="190"/>
      <c r="B21" s="199"/>
      <c r="C21" s="199"/>
      <c r="D21" s="199"/>
      <c r="E21" s="42"/>
      <c r="F21" s="206"/>
      <c r="G21" s="42"/>
      <c r="H21" s="206"/>
    </row>
    <row r="22" spans="1:8" ht="15.75" thickBot="1" x14ac:dyDescent="0.3">
      <c r="A22" s="213"/>
      <c r="B22" s="204"/>
      <c r="C22" s="204"/>
      <c r="D22" s="204"/>
      <c r="E22" s="214" t="s">
        <v>24</v>
      </c>
      <c r="F22" s="215"/>
      <c r="G22" s="202">
        <f>SUM(G9:G21)</f>
        <v>0</v>
      </c>
      <c r="H22" s="215"/>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71873-65DB-4FFE-8272-605988653338}">
  <sheetPr>
    <tabColor rgb="FF0070C0"/>
    <pageSetUpPr fitToPage="1"/>
  </sheetPr>
  <dimension ref="A1:G22"/>
  <sheetViews>
    <sheetView zoomScaleNormal="100" workbookViewId="0">
      <selection activeCell="E5" sqref="E5:F5"/>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51"/>
      <c r="B1" s="30" t="s">
        <v>161</v>
      </c>
      <c r="C1" s="30"/>
      <c r="D1" s="153"/>
      <c r="E1" s="153"/>
      <c r="F1" s="153"/>
      <c r="G1" s="153"/>
    </row>
    <row r="2" spans="1:7" ht="15.75" x14ac:dyDescent="0.25">
      <c r="A2" s="151"/>
      <c r="B2" s="31" t="s">
        <v>220</v>
      </c>
      <c r="C2" s="150"/>
      <c r="D2" s="153"/>
      <c r="E2" s="153"/>
      <c r="F2" s="153"/>
      <c r="G2" s="153"/>
    </row>
    <row r="3" spans="1:7" ht="15.75" x14ac:dyDescent="0.25">
      <c r="A3" s="151"/>
      <c r="B3" s="154" t="s">
        <v>221</v>
      </c>
      <c r="C3" s="150"/>
      <c r="D3" s="153"/>
      <c r="E3" s="155" t="s">
        <v>180</v>
      </c>
      <c r="F3" s="153"/>
      <c r="G3" s="153"/>
    </row>
    <row r="4" spans="1:7" ht="15.75" x14ac:dyDescent="0.25">
      <c r="A4" s="151"/>
      <c r="B4" s="156" t="s">
        <v>1</v>
      </c>
      <c r="C4" s="157" t="s">
        <v>2</v>
      </c>
      <c r="D4" s="153"/>
      <c r="E4" s="153"/>
      <c r="F4" s="153"/>
      <c r="G4" s="153"/>
    </row>
    <row r="5" spans="1:7" ht="15.75" x14ac:dyDescent="0.25">
      <c r="A5" s="151"/>
      <c r="B5" s="31" t="s">
        <v>64</v>
      </c>
      <c r="C5" s="150"/>
      <c r="D5" s="153"/>
      <c r="E5" s="13" t="s">
        <v>1280</v>
      </c>
      <c r="F5" s="376">
        <v>45986</v>
      </c>
      <c r="G5" s="153"/>
    </row>
    <row r="6" spans="1:7" ht="15.75" x14ac:dyDescent="0.25">
      <c r="A6" s="151"/>
      <c r="B6" s="31" t="s">
        <v>219</v>
      </c>
      <c r="C6" s="158"/>
      <c r="D6" s="159" t="s">
        <v>2</v>
      </c>
      <c r="E6" s="153"/>
      <c r="F6" s="153"/>
      <c r="G6" s="153"/>
    </row>
    <row r="7" spans="1:7" ht="26.85" customHeight="1" thickBot="1" x14ac:dyDescent="0.3">
      <c r="A7" s="151"/>
      <c r="B7" s="160" t="s">
        <v>2</v>
      </c>
      <c r="C7" s="161" t="s">
        <v>3</v>
      </c>
      <c r="D7" s="162" t="s">
        <v>4</v>
      </c>
      <c r="E7" s="163" t="s">
        <v>5</v>
      </c>
      <c r="F7" s="164" t="s">
        <v>6</v>
      </c>
      <c r="G7" s="164" t="s">
        <v>7</v>
      </c>
    </row>
    <row r="8" spans="1:7" ht="28.35" customHeight="1" x14ac:dyDescent="0.25">
      <c r="A8" s="151"/>
      <c r="B8" s="151" t="s">
        <v>8</v>
      </c>
      <c r="C8" s="165">
        <f>FINANCIAL!G33</f>
        <v>0</v>
      </c>
      <c r="D8" s="166"/>
      <c r="E8" s="166"/>
      <c r="F8" s="166"/>
      <c r="G8" s="167"/>
    </row>
    <row r="9" spans="1:7" x14ac:dyDescent="0.25">
      <c r="A9" s="151"/>
      <c r="B9" s="150"/>
      <c r="C9" s="168"/>
      <c r="D9" s="169"/>
      <c r="E9" s="169"/>
      <c r="F9" s="169"/>
      <c r="G9" s="167"/>
    </row>
    <row r="10" spans="1:7" x14ac:dyDescent="0.25">
      <c r="A10" s="151"/>
      <c r="B10" s="150" t="s">
        <v>9</v>
      </c>
      <c r="C10" s="168"/>
      <c r="D10" s="166">
        <f>'#9510.00 Vendor A'!D23</f>
        <v>0</v>
      </c>
      <c r="E10" s="166">
        <f>'#9510.00 Vendor A'!F23</f>
        <v>0</v>
      </c>
      <c r="F10" s="166">
        <f>'#9510.00 Vendor A'!H23</f>
        <v>0</v>
      </c>
      <c r="G10" s="167"/>
    </row>
    <row r="11" spans="1:7" x14ac:dyDescent="0.25">
      <c r="A11" s="151"/>
      <c r="B11" s="150" t="s">
        <v>10</v>
      </c>
      <c r="C11" s="168"/>
      <c r="D11" s="166">
        <f>'#9510.00 PM TIME'!E23</f>
        <v>0</v>
      </c>
      <c r="E11" s="166">
        <f>'#9510.00 PM TIME'!G23</f>
        <v>0</v>
      </c>
      <c r="F11" s="166">
        <f>'#9510.00 PM TIME'!I23</f>
        <v>0</v>
      </c>
      <c r="G11" s="167"/>
    </row>
    <row r="12" spans="1:7" x14ac:dyDescent="0.25">
      <c r="A12" s="151"/>
      <c r="B12" s="150" t="s">
        <v>11</v>
      </c>
      <c r="C12" s="169"/>
      <c r="D12" s="170">
        <f>'#9510.00 Misc'!G22</f>
        <v>0</v>
      </c>
      <c r="E12" s="170">
        <f>'#9510.00 Misc'!H22</f>
        <v>0</v>
      </c>
      <c r="F12" s="166">
        <f>D12-E12</f>
        <v>0</v>
      </c>
      <c r="G12" s="167"/>
    </row>
    <row r="13" spans="1:7" ht="13.35" customHeight="1" x14ac:dyDescent="0.25">
      <c r="A13" s="151"/>
      <c r="B13" s="150"/>
      <c r="C13" s="169"/>
      <c r="D13" s="170"/>
      <c r="E13" s="170"/>
      <c r="F13" s="166"/>
      <c r="G13" s="167"/>
    </row>
    <row r="14" spans="1:7" ht="24" customHeight="1" thickBot="1" x14ac:dyDescent="0.3">
      <c r="A14" s="171"/>
      <c r="B14" s="172" t="s">
        <v>12</v>
      </c>
      <c r="C14" s="173">
        <f>SUM(C8:C13)</f>
        <v>0</v>
      </c>
      <c r="D14" s="173">
        <f>SUM(D8:D13)</f>
        <v>0</v>
      </c>
      <c r="E14" s="173">
        <f>SUM(E8:E13)</f>
        <v>0</v>
      </c>
      <c r="F14" s="173">
        <f>SUM(D14-E14)</f>
        <v>0</v>
      </c>
      <c r="G14" s="173">
        <f>C8-D14</f>
        <v>0</v>
      </c>
    </row>
    <row r="15" spans="1:7" ht="13.35" customHeight="1" thickTop="1" x14ac:dyDescent="0.25">
      <c r="A15" s="151"/>
      <c r="B15" s="150"/>
      <c r="C15" s="150"/>
      <c r="D15" s="167"/>
      <c r="E15" s="167"/>
      <c r="F15" s="167"/>
      <c r="G15" s="167"/>
    </row>
    <row r="16" spans="1:7" ht="13.35" customHeight="1" x14ac:dyDescent="0.25">
      <c r="A16" s="151"/>
      <c r="B16" s="150"/>
      <c r="C16" s="150"/>
      <c r="D16" s="167"/>
      <c r="E16" s="167"/>
      <c r="F16" s="167"/>
      <c r="G16" s="167"/>
    </row>
    <row r="17" spans="1:7" ht="13.35" customHeight="1" x14ac:dyDescent="0.25">
      <c r="A17" s="151"/>
      <c r="B17" s="151" t="s">
        <v>337</v>
      </c>
      <c r="C17" s="150"/>
      <c r="D17" s="167"/>
      <c r="E17" s="167"/>
      <c r="F17" s="167"/>
      <c r="G17" s="167"/>
    </row>
    <row r="18" spans="1:7" ht="13.35" customHeight="1" x14ac:dyDescent="0.25">
      <c r="A18" s="151"/>
      <c r="B18" s="150"/>
      <c r="C18" s="150"/>
      <c r="D18" s="167"/>
      <c r="E18" s="167"/>
      <c r="F18" s="167"/>
      <c r="G18" s="167"/>
    </row>
    <row r="19" spans="1:7" ht="13.35" customHeight="1" x14ac:dyDescent="0.25">
      <c r="A19" s="151"/>
      <c r="B19" s="150"/>
      <c r="C19" s="150"/>
      <c r="D19" s="167"/>
      <c r="E19" s="167"/>
      <c r="F19" s="167"/>
      <c r="G19" s="167"/>
    </row>
    <row r="20" spans="1:7" ht="13.35" customHeight="1" x14ac:dyDescent="0.25">
      <c r="A20" s="151"/>
      <c r="B20" s="150"/>
      <c r="C20" s="150"/>
      <c r="D20" s="167"/>
      <c r="E20" s="167"/>
      <c r="F20" s="167"/>
      <c r="G20" s="167"/>
    </row>
    <row r="21" spans="1:7" ht="13.35" customHeight="1" x14ac:dyDescent="0.25">
      <c r="A21" s="151"/>
      <c r="B21" s="150"/>
      <c r="C21" s="150"/>
      <c r="D21" s="167"/>
      <c r="E21" s="167"/>
      <c r="F21" s="167"/>
      <c r="G21" s="167"/>
    </row>
    <row r="22" spans="1:7" ht="13.35" customHeight="1" x14ac:dyDescent="0.25">
      <c r="A22" s="151"/>
      <c r="B22" s="150"/>
      <c r="C22" s="150"/>
      <c r="D22" s="167"/>
      <c r="E22" s="167"/>
      <c r="F22" s="167"/>
      <c r="G22" s="167"/>
    </row>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BCEC1-D087-4788-84AF-9FBAEA6D6355}">
  <sheetPr>
    <tabColor rgb="FF0070C0"/>
    <pageSetUpPr fitToPage="1"/>
  </sheetPr>
  <dimension ref="A1:I29"/>
  <sheetViews>
    <sheetView topLeftCell="A4" zoomScaleNormal="100" workbookViewId="0">
      <selection activeCell="B13" sqref="B13:D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30" t="str">
        <f>'RECAP #9510.00'!B1</f>
        <v>DOC FDCF Grove Unit Roof Replacement</v>
      </c>
      <c r="B1" s="30"/>
      <c r="C1" s="153"/>
      <c r="D1" s="153"/>
      <c r="E1" s="153"/>
      <c r="F1" s="156"/>
      <c r="G1" s="156"/>
      <c r="H1" s="179"/>
      <c r="I1" s="179"/>
    </row>
    <row r="2" spans="1:9" ht="15.75" x14ac:dyDescent="0.25">
      <c r="A2" s="31" t="str">
        <f>'RECAP #9510.00'!B2</f>
        <v>Project # 9510.00</v>
      </c>
      <c r="B2" s="150"/>
      <c r="C2" s="153"/>
      <c r="D2" s="153"/>
      <c r="E2" s="153"/>
      <c r="F2" s="156"/>
      <c r="G2" s="156"/>
      <c r="H2" s="179"/>
      <c r="I2" s="179"/>
    </row>
    <row r="3" spans="1:9" ht="15.75" x14ac:dyDescent="0.25">
      <c r="A3" s="154" t="str">
        <f>'RECAP #9510.00'!B3</f>
        <v>Program code 951000</v>
      </c>
      <c r="B3" s="150"/>
      <c r="C3" s="153"/>
      <c r="D3" s="155" t="str">
        <f>'RECAP #9510.00'!E3</f>
        <v>Major Program 4E02</v>
      </c>
      <c r="E3" s="153"/>
      <c r="F3" s="156"/>
      <c r="G3" s="156"/>
      <c r="H3" s="179"/>
      <c r="I3" s="179"/>
    </row>
    <row r="4" spans="1:9" ht="15.75" x14ac:dyDescent="0.25">
      <c r="A4" s="30" t="s">
        <v>13</v>
      </c>
      <c r="B4" s="31"/>
      <c r="C4" s="179"/>
      <c r="D4" s="180" t="s">
        <v>14</v>
      </c>
      <c r="E4" s="156"/>
      <c r="F4" s="156"/>
      <c r="G4" s="156"/>
      <c r="H4" s="179"/>
      <c r="I4" s="179"/>
    </row>
    <row r="5" spans="1:9" ht="15.75" x14ac:dyDescent="0.25">
      <c r="A5" s="181" t="s">
        <v>66</v>
      </c>
      <c r="B5" s="179"/>
      <c r="C5" s="182"/>
      <c r="D5" s="37"/>
      <c r="E5" s="42"/>
      <c r="F5" s="156"/>
      <c r="G5" s="156"/>
      <c r="H5" s="179"/>
      <c r="I5" s="179"/>
    </row>
    <row r="6" spans="1:9" ht="15.75" x14ac:dyDescent="0.25">
      <c r="A6" s="31" t="str">
        <f>'RECAP #9510.00'!B6</f>
        <v>Project Manager - Geoff W. (JE)</v>
      </c>
      <c r="B6" s="31"/>
      <c r="C6" s="183"/>
      <c r="D6" s="184" t="s">
        <v>15</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x14ac:dyDescent="0.25">
      <c r="A9" s="190"/>
      <c r="B9" s="191"/>
      <c r="C9" s="192"/>
      <c r="D9" s="193"/>
      <c r="E9" s="194">
        <f>D9</f>
        <v>0</v>
      </c>
      <c r="F9" s="195"/>
      <c r="G9" s="195"/>
      <c r="H9" s="195">
        <f>E9</f>
        <v>0</v>
      </c>
      <c r="I9" s="42"/>
    </row>
    <row r="10" spans="1:9" x14ac:dyDescent="0.25">
      <c r="A10" s="190"/>
      <c r="B10" s="196"/>
      <c r="C10" s="192"/>
      <c r="D10" s="194"/>
      <c r="E10" s="194">
        <f t="shared" ref="E10:E21" si="0">E9+D10</f>
        <v>0</v>
      </c>
      <c r="F10" s="197"/>
      <c r="G10" s="195">
        <f t="shared" ref="G10:G21" si="1">G9+F10</f>
        <v>0</v>
      </c>
      <c r="H10" s="195">
        <f t="shared" ref="H10:H21" si="2">H9-F10+D10</f>
        <v>0</v>
      </c>
      <c r="I10" s="42"/>
    </row>
    <row r="11" spans="1:9" x14ac:dyDescent="0.25">
      <c r="A11" s="190"/>
      <c r="B11" s="191"/>
      <c r="C11" s="192"/>
      <c r="D11" s="194"/>
      <c r="E11" s="194">
        <f t="shared" si="0"/>
        <v>0</v>
      </c>
      <c r="F11" s="197"/>
      <c r="G11" s="195">
        <f t="shared" si="1"/>
        <v>0</v>
      </c>
      <c r="H11" s="195">
        <f t="shared" si="2"/>
        <v>0</v>
      </c>
      <c r="I11" s="42"/>
    </row>
    <row r="12" spans="1:9" x14ac:dyDescent="0.25">
      <c r="A12" s="190"/>
      <c r="B12" s="191"/>
      <c r="C12" s="192"/>
      <c r="D12" s="194"/>
      <c r="E12" s="194">
        <f t="shared" si="0"/>
        <v>0</v>
      </c>
      <c r="F12" s="197"/>
      <c r="G12" s="195">
        <f t="shared" si="1"/>
        <v>0</v>
      </c>
      <c r="H12" s="195">
        <f t="shared" si="2"/>
        <v>0</v>
      </c>
      <c r="I12" s="42"/>
    </row>
    <row r="13" spans="1:9" x14ac:dyDescent="0.25">
      <c r="A13" s="190"/>
      <c r="B13" s="191"/>
      <c r="C13" s="192"/>
      <c r="D13" s="194"/>
      <c r="E13" s="194">
        <f t="shared" si="0"/>
        <v>0</v>
      </c>
      <c r="F13" s="197"/>
      <c r="G13" s="195">
        <f t="shared" si="1"/>
        <v>0</v>
      </c>
      <c r="H13" s="195">
        <f t="shared" si="2"/>
        <v>0</v>
      </c>
      <c r="I13" s="42"/>
    </row>
    <row r="14" spans="1:9" x14ac:dyDescent="0.25">
      <c r="A14" s="190"/>
      <c r="B14" s="191"/>
      <c r="C14" s="192"/>
      <c r="D14" s="194"/>
      <c r="E14" s="194">
        <f t="shared" si="0"/>
        <v>0</v>
      </c>
      <c r="F14" s="195"/>
      <c r="G14" s="195">
        <f t="shared" si="1"/>
        <v>0</v>
      </c>
      <c r="H14" s="195">
        <f t="shared" si="2"/>
        <v>0</v>
      </c>
      <c r="I14" s="42"/>
    </row>
    <row r="15" spans="1:9" x14ac:dyDescent="0.25">
      <c r="A15" s="190"/>
      <c r="B15" s="191"/>
      <c r="C15" s="192"/>
      <c r="D15" s="194"/>
      <c r="E15" s="194">
        <f t="shared" si="0"/>
        <v>0</v>
      </c>
      <c r="F15" s="197"/>
      <c r="G15" s="195">
        <f t="shared" si="1"/>
        <v>0</v>
      </c>
      <c r="H15" s="195">
        <f t="shared" si="2"/>
        <v>0</v>
      </c>
      <c r="I15" s="42"/>
    </row>
    <row r="16" spans="1:9" x14ac:dyDescent="0.25">
      <c r="A16" s="190"/>
      <c r="B16" s="191"/>
      <c r="C16" s="192"/>
      <c r="D16" s="194"/>
      <c r="E16" s="194">
        <f t="shared" si="0"/>
        <v>0</v>
      </c>
      <c r="F16" s="197"/>
      <c r="G16" s="195">
        <f t="shared" si="1"/>
        <v>0</v>
      </c>
      <c r="H16" s="195">
        <f t="shared" si="2"/>
        <v>0</v>
      </c>
      <c r="I16" s="42"/>
    </row>
    <row r="17" spans="1:9" x14ac:dyDescent="0.25">
      <c r="A17" s="190"/>
      <c r="B17" s="191"/>
      <c r="C17" s="192"/>
      <c r="D17" s="194"/>
      <c r="E17" s="194">
        <f t="shared" si="0"/>
        <v>0</v>
      </c>
      <c r="F17" s="197"/>
      <c r="G17" s="195">
        <f t="shared" si="1"/>
        <v>0</v>
      </c>
      <c r="H17" s="195">
        <f t="shared" si="2"/>
        <v>0</v>
      </c>
      <c r="I17" s="42"/>
    </row>
    <row r="18" spans="1:9" x14ac:dyDescent="0.25">
      <c r="A18" s="190"/>
      <c r="B18" s="191"/>
      <c r="C18" s="192"/>
      <c r="D18" s="194"/>
      <c r="E18" s="194">
        <f t="shared" si="0"/>
        <v>0</v>
      </c>
      <c r="F18" s="197"/>
      <c r="G18" s="195">
        <f t="shared" si="1"/>
        <v>0</v>
      </c>
      <c r="H18" s="195">
        <f t="shared" si="2"/>
        <v>0</v>
      </c>
      <c r="I18" s="42"/>
    </row>
    <row r="19" spans="1:9" x14ac:dyDescent="0.25">
      <c r="A19" s="190"/>
      <c r="B19" s="191"/>
      <c r="C19" s="192"/>
      <c r="D19" s="194"/>
      <c r="E19" s="194">
        <f t="shared" si="0"/>
        <v>0</v>
      </c>
      <c r="F19" s="195"/>
      <c r="G19" s="195">
        <f t="shared" si="1"/>
        <v>0</v>
      </c>
      <c r="H19" s="195">
        <f t="shared" si="2"/>
        <v>0</v>
      </c>
      <c r="I19" s="42"/>
    </row>
    <row r="20" spans="1:9" x14ac:dyDescent="0.25">
      <c r="A20" s="190"/>
      <c r="B20" s="191"/>
      <c r="C20" s="192"/>
      <c r="D20" s="194"/>
      <c r="E20" s="194">
        <f t="shared" si="0"/>
        <v>0</v>
      </c>
      <c r="F20" s="195"/>
      <c r="G20" s="195">
        <f t="shared" si="1"/>
        <v>0</v>
      </c>
      <c r="H20" s="195">
        <f t="shared" si="2"/>
        <v>0</v>
      </c>
      <c r="I20" s="42"/>
    </row>
    <row r="21" spans="1:9" x14ac:dyDescent="0.25">
      <c r="A21" s="190"/>
      <c r="B21" s="191"/>
      <c r="C21" s="198"/>
      <c r="D21" s="194"/>
      <c r="E21" s="194">
        <f t="shared" si="0"/>
        <v>0</v>
      </c>
      <c r="F21" s="195"/>
      <c r="G21" s="195">
        <f t="shared" si="1"/>
        <v>0</v>
      </c>
      <c r="H21" s="195">
        <f t="shared" si="2"/>
        <v>0</v>
      </c>
      <c r="I21" s="42"/>
    </row>
    <row r="22" spans="1:9" x14ac:dyDescent="0.25">
      <c r="A22" s="190"/>
      <c r="B22" s="192"/>
      <c r="C22" s="199"/>
      <c r="D22" s="195"/>
      <c r="E22" s="195"/>
      <c r="F22" s="195"/>
      <c r="G22" s="195"/>
      <c r="H22" s="195"/>
      <c r="I22" s="42"/>
    </row>
    <row r="23" spans="1:9" ht="15.75" thickBot="1" x14ac:dyDescent="0.3">
      <c r="A23" s="190"/>
      <c r="B23" s="200"/>
      <c r="C23" s="201" t="s">
        <v>24</v>
      </c>
      <c r="D23" s="202">
        <f>SUM(D9:D22)</f>
        <v>0</v>
      </c>
      <c r="E23" s="202"/>
      <c r="F23" s="202">
        <f>SUM(F9:F22)</f>
        <v>0</v>
      </c>
      <c r="G23" s="202"/>
      <c r="H23" s="202">
        <f>D23-F23</f>
        <v>0</v>
      </c>
      <c r="I23" s="42"/>
    </row>
    <row r="24" spans="1:9" ht="15.75" thickTop="1" x14ac:dyDescent="0.25">
      <c r="A24" s="190"/>
      <c r="B24" s="192"/>
      <c r="C24" s="199"/>
      <c r="D24" s="195"/>
      <c r="E24" s="195"/>
      <c r="F24" s="195"/>
      <c r="G24" s="195"/>
      <c r="H24" s="195"/>
      <c r="I24" s="42"/>
    </row>
    <row r="25" spans="1:9" x14ac:dyDescent="0.25">
      <c r="A25" s="190"/>
      <c r="B25" s="192"/>
      <c r="C25" s="199"/>
      <c r="D25" s="195"/>
      <c r="E25" s="195"/>
      <c r="F25" s="195"/>
      <c r="G25" s="195"/>
      <c r="H25" s="195"/>
      <c r="I25" s="42"/>
    </row>
    <row r="26" spans="1:9" x14ac:dyDescent="0.25">
      <c r="A26" s="190"/>
      <c r="B26" s="192"/>
      <c r="C26" s="199" t="s">
        <v>110</v>
      </c>
      <c r="D26" s="203">
        <v>0</v>
      </c>
      <c r="E26" s="203"/>
      <c r="F26" s="203"/>
      <c r="G26" s="203"/>
      <c r="H26" s="203">
        <f>D26-F26</f>
        <v>0</v>
      </c>
      <c r="I26" s="42"/>
    </row>
    <row r="27" spans="1:9" x14ac:dyDescent="0.25">
      <c r="A27" s="190"/>
      <c r="B27" s="192"/>
      <c r="C27" s="199" t="s">
        <v>111</v>
      </c>
      <c r="D27" s="203">
        <v>0</v>
      </c>
      <c r="E27" s="203"/>
      <c r="F27" s="203"/>
      <c r="G27" s="203"/>
      <c r="H27" s="203">
        <f>D27-F27</f>
        <v>0</v>
      </c>
      <c r="I27" s="42"/>
    </row>
    <row r="28" spans="1:9" ht="15.75" thickBot="1" x14ac:dyDescent="0.3">
      <c r="A28" s="190"/>
      <c r="B28" s="192"/>
      <c r="C28" s="204" t="s">
        <v>67</v>
      </c>
      <c r="D28" s="202">
        <f>SUM(D26:D27)</f>
        <v>0</v>
      </c>
      <c r="E28" s="205"/>
      <c r="F28" s="202">
        <f>SUM(F26:F27)</f>
        <v>0</v>
      </c>
      <c r="G28" s="205"/>
      <c r="H28" s="202">
        <f>SUM(H26:H27)</f>
        <v>0</v>
      </c>
      <c r="I28" s="42"/>
    </row>
    <row r="29" spans="1:9" ht="15" customHeight="1" thickTop="1" x14ac:dyDescent="0.25"/>
  </sheetData>
  <conditionalFormatting sqref="I8:I23">
    <cfRule type="cellIs" dxfId="18" priority="1" operator="greaterThan">
      <formula>$H$23</formula>
    </cfRule>
  </conditionalFormatting>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E6953-C2E9-48D4-80C9-8E6D90F53562}">
  <sheetPr>
    <tabColor indexed="30"/>
    <pageSetUpPr fitToPage="1"/>
  </sheetPr>
  <dimension ref="A1:J24"/>
  <sheetViews>
    <sheetView zoomScaleNormal="100" workbookViewId="0">
      <selection activeCell="B13" sqref="B13:D13"/>
    </sheetView>
  </sheetViews>
  <sheetFormatPr defaultColWidth="11.42578125" defaultRowHeight="15" customHeight="1" x14ac:dyDescent="0.25"/>
  <cols>
    <col min="1" max="1" width="24.5703125" customWidth="1"/>
    <col min="2" max="3" width="9.42578125" customWidth="1"/>
    <col min="4" max="4" width="25" bestFit="1"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30" t="str">
        <f>'RECAP #9510.00'!B1</f>
        <v>DOC FDCF Grove Unit Roof Replacement</v>
      </c>
      <c r="B1" s="30"/>
      <c r="C1" s="30"/>
      <c r="D1" s="153"/>
      <c r="E1" s="153"/>
      <c r="F1" s="153"/>
      <c r="G1" s="156"/>
      <c r="H1" s="156"/>
      <c r="I1" s="179"/>
      <c r="J1" s="179"/>
    </row>
    <row r="2" spans="1:10" ht="15.75" x14ac:dyDescent="0.25">
      <c r="A2" s="31" t="str">
        <f>'RECAP #9510.00'!B2</f>
        <v>Project # 9510.00</v>
      </c>
      <c r="B2" s="150"/>
      <c r="C2" s="150"/>
      <c r="D2" s="153"/>
      <c r="E2" s="153"/>
      <c r="F2" s="153"/>
      <c r="G2" s="156"/>
      <c r="H2" s="156"/>
      <c r="I2" s="179"/>
      <c r="J2" s="179"/>
    </row>
    <row r="3" spans="1:10" ht="15.75" x14ac:dyDescent="0.25">
      <c r="A3" s="154" t="str">
        <f>'RECAP #9510.00'!B3</f>
        <v>Program code 951000</v>
      </c>
      <c r="B3" s="150"/>
      <c r="C3" s="150"/>
      <c r="D3" s="153"/>
      <c r="E3" s="155" t="str">
        <f>'RECAP #9510.00'!E3</f>
        <v>Major Program 4E02</v>
      </c>
      <c r="F3" s="153"/>
      <c r="G3" s="156"/>
      <c r="H3" s="156"/>
      <c r="I3" s="179"/>
      <c r="J3" s="179"/>
    </row>
    <row r="4" spans="1:10" ht="15.75" x14ac:dyDescent="0.25">
      <c r="A4" s="30" t="s">
        <v>10</v>
      </c>
      <c r="B4" s="31"/>
      <c r="C4" s="31"/>
      <c r="D4" s="179"/>
      <c r="E4" s="180" t="s">
        <v>25</v>
      </c>
      <c r="F4" s="156"/>
      <c r="G4" s="156"/>
      <c r="H4" s="156"/>
      <c r="I4" s="179"/>
      <c r="J4" s="179"/>
    </row>
    <row r="5" spans="1:10" ht="15.75" x14ac:dyDescent="0.25">
      <c r="A5" s="31"/>
      <c r="B5" s="179"/>
      <c r="C5" s="179"/>
      <c r="D5" s="182"/>
      <c r="E5" s="37"/>
      <c r="F5" s="42"/>
      <c r="G5" s="156"/>
      <c r="H5" s="156"/>
      <c r="I5" s="179"/>
      <c r="J5" s="179"/>
    </row>
    <row r="6" spans="1:10" ht="15.75" x14ac:dyDescent="0.25">
      <c r="A6" s="181" t="s">
        <v>66</v>
      </c>
      <c r="B6" s="31"/>
      <c r="C6" s="31"/>
      <c r="D6" s="183"/>
      <c r="E6" s="37" t="s">
        <v>246</v>
      </c>
      <c r="F6" s="42"/>
      <c r="G6" s="43"/>
      <c r="H6" s="156"/>
      <c r="I6" s="179"/>
      <c r="J6" s="179"/>
    </row>
    <row r="7" spans="1:10" ht="15.75" x14ac:dyDescent="0.25">
      <c r="A7" s="31" t="str">
        <f>'RECAP #9510.00'!B6</f>
        <v>Project Manager - Geoff W. (JE)</v>
      </c>
      <c r="B7" s="185"/>
      <c r="C7" s="185"/>
      <c r="D7" s="185"/>
      <c r="E7" s="43" t="s">
        <v>2</v>
      </c>
      <c r="F7" s="43"/>
      <c r="G7" s="43"/>
      <c r="H7" s="156"/>
      <c r="I7" s="179"/>
      <c r="J7" s="179" t="s">
        <v>2</v>
      </c>
    </row>
    <row r="8" spans="1:10" ht="32.25" thickBot="1" x14ac:dyDescent="0.3">
      <c r="A8" s="186" t="s">
        <v>16</v>
      </c>
      <c r="B8" s="187" t="s">
        <v>17</v>
      </c>
      <c r="C8" s="207" t="s">
        <v>27</v>
      </c>
      <c r="D8" s="188" t="s">
        <v>28</v>
      </c>
      <c r="E8" s="189" t="s">
        <v>19</v>
      </c>
      <c r="F8" s="189" t="s">
        <v>20</v>
      </c>
      <c r="G8" s="189" t="s">
        <v>21</v>
      </c>
      <c r="H8" s="189" t="s">
        <v>22</v>
      </c>
      <c r="I8" s="189" t="s">
        <v>23</v>
      </c>
      <c r="J8" s="179" t="s">
        <v>2</v>
      </c>
    </row>
    <row r="9" spans="1:10" x14ac:dyDescent="0.25">
      <c r="A9" s="208"/>
      <c r="B9" s="191"/>
      <c r="C9" s="191"/>
      <c r="D9" s="199" t="s">
        <v>29</v>
      </c>
      <c r="E9" s="193"/>
      <c r="F9" s="194">
        <f>E9</f>
        <v>0</v>
      </c>
      <c r="G9" s="195"/>
      <c r="H9" s="195"/>
      <c r="I9" s="195">
        <f>F9</f>
        <v>0</v>
      </c>
      <c r="J9" s="42"/>
    </row>
    <row r="10" spans="1:10" x14ac:dyDescent="0.25">
      <c r="A10" s="209"/>
      <c r="B10" s="196"/>
      <c r="C10" s="196"/>
      <c r="D10" s="199"/>
      <c r="E10" s="194"/>
      <c r="F10" s="194">
        <f t="shared" ref="F10:F21" si="0">F9+E10</f>
        <v>0</v>
      </c>
      <c r="G10" s="197"/>
      <c r="H10" s="195">
        <f t="shared" ref="H10:H21" si="1">H9+G10</f>
        <v>0</v>
      </c>
      <c r="I10" s="195">
        <f t="shared" ref="I10:I21" si="2">I9-G10+E10</f>
        <v>0</v>
      </c>
      <c r="J10" s="42"/>
    </row>
    <row r="11" spans="1:10" x14ac:dyDescent="0.25">
      <c r="A11" s="208"/>
      <c r="B11" s="191"/>
      <c r="C11" s="191"/>
      <c r="D11" s="199"/>
      <c r="E11" s="194"/>
      <c r="F11" s="194">
        <f t="shared" si="0"/>
        <v>0</v>
      </c>
      <c r="G11" s="197"/>
      <c r="H11" s="195">
        <f t="shared" si="1"/>
        <v>0</v>
      </c>
      <c r="I11" s="195">
        <f t="shared" si="2"/>
        <v>0</v>
      </c>
      <c r="J11" s="42"/>
    </row>
    <row r="12" spans="1:10" x14ac:dyDescent="0.25">
      <c r="A12" s="208"/>
      <c r="B12" s="191"/>
      <c r="C12" s="191"/>
      <c r="D12" s="199"/>
      <c r="E12" s="194"/>
      <c r="F12" s="194">
        <f t="shared" si="0"/>
        <v>0</v>
      </c>
      <c r="G12" s="197"/>
      <c r="H12" s="195">
        <f t="shared" si="1"/>
        <v>0</v>
      </c>
      <c r="I12" s="195">
        <f t="shared" si="2"/>
        <v>0</v>
      </c>
      <c r="J12" s="42"/>
    </row>
    <row r="13" spans="1:10" x14ac:dyDescent="0.25">
      <c r="A13" s="208"/>
      <c r="B13" s="191"/>
      <c r="C13" s="191"/>
      <c r="D13" s="199"/>
      <c r="E13" s="194"/>
      <c r="F13" s="194">
        <f t="shared" si="0"/>
        <v>0</v>
      </c>
      <c r="G13" s="197"/>
      <c r="H13" s="195">
        <f t="shared" si="1"/>
        <v>0</v>
      </c>
      <c r="I13" s="195">
        <f t="shared" si="2"/>
        <v>0</v>
      </c>
      <c r="J13" s="42"/>
    </row>
    <row r="14" spans="1:10" x14ac:dyDescent="0.25">
      <c r="A14" s="208"/>
      <c r="B14" s="191"/>
      <c r="C14" s="191"/>
      <c r="D14" s="199"/>
      <c r="E14" s="194"/>
      <c r="F14" s="194">
        <f t="shared" si="0"/>
        <v>0</v>
      </c>
      <c r="G14" s="195"/>
      <c r="H14" s="195">
        <f t="shared" si="1"/>
        <v>0</v>
      </c>
      <c r="I14" s="195">
        <f t="shared" si="2"/>
        <v>0</v>
      </c>
      <c r="J14" s="42"/>
    </row>
    <row r="15" spans="1:10" x14ac:dyDescent="0.25">
      <c r="A15" s="208"/>
      <c r="B15" s="191"/>
      <c r="C15" s="191"/>
      <c r="D15" s="199"/>
      <c r="E15" s="194"/>
      <c r="F15" s="194">
        <f t="shared" si="0"/>
        <v>0</v>
      </c>
      <c r="G15" s="197"/>
      <c r="H15" s="195">
        <f t="shared" si="1"/>
        <v>0</v>
      </c>
      <c r="I15" s="195">
        <f t="shared" si="2"/>
        <v>0</v>
      </c>
      <c r="J15" s="42"/>
    </row>
    <row r="16" spans="1:10" x14ac:dyDescent="0.25">
      <c r="A16" s="208"/>
      <c r="B16" s="191"/>
      <c r="C16" s="191"/>
      <c r="D16" s="199"/>
      <c r="E16" s="194"/>
      <c r="F16" s="194">
        <f t="shared" si="0"/>
        <v>0</v>
      </c>
      <c r="G16" s="197"/>
      <c r="H16" s="195">
        <f t="shared" si="1"/>
        <v>0</v>
      </c>
      <c r="I16" s="195">
        <f t="shared" si="2"/>
        <v>0</v>
      </c>
      <c r="J16" s="42"/>
    </row>
    <row r="17" spans="1:10" x14ac:dyDescent="0.25">
      <c r="A17" s="208"/>
      <c r="B17" s="191"/>
      <c r="C17" s="191"/>
      <c r="D17" s="199"/>
      <c r="E17" s="194"/>
      <c r="F17" s="194">
        <f t="shared" si="0"/>
        <v>0</v>
      </c>
      <c r="G17" s="197"/>
      <c r="H17" s="195">
        <f t="shared" si="1"/>
        <v>0</v>
      </c>
      <c r="I17" s="195">
        <f t="shared" si="2"/>
        <v>0</v>
      </c>
      <c r="J17" s="42"/>
    </row>
    <row r="18" spans="1:10" x14ac:dyDescent="0.25">
      <c r="A18" s="208"/>
      <c r="B18" s="191"/>
      <c r="C18" s="191"/>
      <c r="D18" s="199"/>
      <c r="E18" s="194"/>
      <c r="F18" s="194">
        <f t="shared" si="0"/>
        <v>0</v>
      </c>
      <c r="G18" s="197"/>
      <c r="H18" s="195">
        <f t="shared" si="1"/>
        <v>0</v>
      </c>
      <c r="I18" s="195">
        <f t="shared" si="2"/>
        <v>0</v>
      </c>
      <c r="J18" s="42"/>
    </row>
    <row r="19" spans="1:10" x14ac:dyDescent="0.25">
      <c r="A19" s="208"/>
      <c r="B19" s="191"/>
      <c r="C19" s="191"/>
      <c r="D19" s="199"/>
      <c r="E19" s="194"/>
      <c r="F19" s="194">
        <f t="shared" si="0"/>
        <v>0</v>
      </c>
      <c r="G19" s="195"/>
      <c r="H19" s="195">
        <f t="shared" si="1"/>
        <v>0</v>
      </c>
      <c r="I19" s="195">
        <f t="shared" si="2"/>
        <v>0</v>
      </c>
      <c r="J19" s="42"/>
    </row>
    <row r="20" spans="1:10" x14ac:dyDescent="0.25">
      <c r="A20" s="208"/>
      <c r="B20" s="191"/>
      <c r="C20" s="191"/>
      <c r="D20" s="199"/>
      <c r="E20" s="194"/>
      <c r="F20" s="194">
        <f t="shared" si="0"/>
        <v>0</v>
      </c>
      <c r="G20" s="195"/>
      <c r="H20" s="195">
        <f t="shared" si="1"/>
        <v>0</v>
      </c>
      <c r="I20" s="195">
        <f t="shared" si="2"/>
        <v>0</v>
      </c>
      <c r="J20" s="42"/>
    </row>
    <row r="21" spans="1:10" x14ac:dyDescent="0.25">
      <c r="A21" s="208"/>
      <c r="B21" s="191"/>
      <c r="C21" s="191"/>
      <c r="D21" s="42"/>
      <c r="E21" s="194"/>
      <c r="F21" s="194">
        <f t="shared" si="0"/>
        <v>0</v>
      </c>
      <c r="G21" s="195"/>
      <c r="H21" s="195">
        <f t="shared" si="1"/>
        <v>0</v>
      </c>
      <c r="I21" s="195">
        <f t="shared" si="2"/>
        <v>0</v>
      </c>
      <c r="J21" s="42"/>
    </row>
    <row r="22" spans="1:10" x14ac:dyDescent="0.25">
      <c r="A22" s="190"/>
      <c r="B22" s="192"/>
      <c r="C22" s="192"/>
      <c r="D22" s="199"/>
      <c r="E22" s="195"/>
      <c r="F22" s="195"/>
      <c r="G22" s="195"/>
      <c r="H22" s="195"/>
      <c r="I22" s="195"/>
      <c r="J22" s="42"/>
    </row>
    <row r="23" spans="1:10" ht="15.75" thickBot="1" x14ac:dyDescent="0.3">
      <c r="A23" s="190"/>
      <c r="B23" s="200"/>
      <c r="C23" s="200"/>
      <c r="D23" s="201" t="s">
        <v>24</v>
      </c>
      <c r="E23" s="202">
        <f>SUM(E9:E22)</f>
        <v>0</v>
      </c>
      <c r="F23" s="202"/>
      <c r="G23" s="202">
        <f>SUM(G9:G22)</f>
        <v>0</v>
      </c>
      <c r="H23" s="202"/>
      <c r="I23" s="202">
        <f>E23-G23</f>
        <v>0</v>
      </c>
      <c r="J23" s="42"/>
    </row>
    <row r="24" spans="1:10" ht="15" customHeight="1" thickTop="1" x14ac:dyDescent="0.25"/>
  </sheetData>
  <pageMargins left="0.25" right="0.25" top="0.95" bottom="0.75" header="0.09" footer="0.3"/>
  <pageSetup scale="7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B5BAF-9693-4F30-847D-FC176D4DECF5}">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30" t="str">
        <f>'RECAP #9510.00'!B1</f>
        <v>DOC FDCF Grove Unit Roof Replacement</v>
      </c>
      <c r="B1" s="30"/>
      <c r="C1" s="30"/>
      <c r="D1" s="30"/>
      <c r="E1" s="153"/>
      <c r="F1" s="153"/>
      <c r="G1" s="153"/>
      <c r="H1" s="156"/>
    </row>
    <row r="2" spans="1:8" ht="15.75" x14ac:dyDescent="0.25">
      <c r="A2" s="31" t="str">
        <f>'RECAP #9510.00'!B2</f>
        <v>Project # 9510.00</v>
      </c>
      <c r="B2" s="150"/>
      <c r="C2" s="150"/>
      <c r="D2" s="150"/>
      <c r="E2" s="153"/>
      <c r="F2" s="153"/>
      <c r="G2" s="153"/>
      <c r="H2" s="156"/>
    </row>
    <row r="3" spans="1:8" ht="15.75" x14ac:dyDescent="0.25">
      <c r="A3" s="154" t="str">
        <f>'RECAP #9510.00'!B3</f>
        <v>Program code 951000</v>
      </c>
      <c r="B3" s="150"/>
      <c r="C3" s="150"/>
      <c r="D3" s="150"/>
      <c r="E3" s="155" t="str">
        <f>'RECAP #9510.00'!E3</f>
        <v>Major Program 4E02</v>
      </c>
      <c r="F3" s="150"/>
      <c r="G3" s="153"/>
      <c r="H3" s="156"/>
    </row>
    <row r="4" spans="1:8" ht="15.75" x14ac:dyDescent="0.25">
      <c r="A4" s="210" t="s">
        <v>30</v>
      </c>
      <c r="B4" s="31"/>
      <c r="C4" s="31"/>
      <c r="D4" s="31"/>
      <c r="E4" s="180"/>
      <c r="F4" s="150"/>
      <c r="G4" s="156"/>
      <c r="H4" s="156"/>
    </row>
    <row r="5" spans="1:8" ht="15.75" x14ac:dyDescent="0.25">
      <c r="A5" s="31"/>
      <c r="B5" s="179"/>
      <c r="C5" s="179"/>
      <c r="D5" s="179"/>
      <c r="E5" s="69" t="s">
        <v>31</v>
      </c>
      <c r="F5" s="150"/>
      <c r="G5" s="42"/>
      <c r="H5" s="156"/>
    </row>
    <row r="6" spans="1:8" ht="15.75" x14ac:dyDescent="0.25">
      <c r="A6" s="181" t="s">
        <v>66</v>
      </c>
      <c r="B6" s="31"/>
      <c r="C6" s="31"/>
      <c r="D6" s="31"/>
      <c r="E6" s="155" t="s">
        <v>95</v>
      </c>
      <c r="F6" s="179"/>
      <c r="G6" s="42"/>
      <c r="H6" s="156"/>
    </row>
    <row r="7" spans="1:8" ht="15.75" x14ac:dyDescent="0.25">
      <c r="A7" s="31" t="str">
        <f>'RECAP #9510.00'!B6</f>
        <v>Project Manager - Geoff W. (JE)</v>
      </c>
      <c r="B7" s="185"/>
      <c r="C7" s="185"/>
      <c r="D7" s="185"/>
      <c r="E7" s="185"/>
      <c r="F7" s="150"/>
      <c r="G7" s="156"/>
      <c r="H7" s="156"/>
    </row>
    <row r="8" spans="1:8" ht="32.25" thickBot="1" x14ac:dyDescent="0.3">
      <c r="A8" s="186" t="s">
        <v>32</v>
      </c>
      <c r="B8" s="187" t="s">
        <v>17</v>
      </c>
      <c r="C8" s="207" t="s">
        <v>27</v>
      </c>
      <c r="D8" s="207" t="s">
        <v>28</v>
      </c>
      <c r="E8" s="188" t="s">
        <v>18</v>
      </c>
      <c r="F8" s="189" t="s">
        <v>33</v>
      </c>
      <c r="G8" s="189" t="s">
        <v>21</v>
      </c>
      <c r="H8" s="189" t="s">
        <v>22</v>
      </c>
    </row>
    <row r="9" spans="1:8" x14ac:dyDescent="0.25">
      <c r="A9" s="198"/>
      <c r="B9" s="191"/>
      <c r="C9" s="190"/>
      <c r="D9" s="190"/>
      <c r="E9" s="211"/>
      <c r="F9" s="212"/>
      <c r="G9" s="206"/>
      <c r="H9" s="206">
        <f>G9</f>
        <v>0</v>
      </c>
    </row>
    <row r="10" spans="1:8" x14ac:dyDescent="0.25">
      <c r="A10" s="208"/>
      <c r="B10" s="191"/>
      <c r="C10" s="199"/>
      <c r="D10" s="199"/>
      <c r="E10" s="42"/>
      <c r="F10" s="170"/>
      <c r="G10" s="206"/>
      <c r="H10" s="206">
        <f>H9+G10</f>
        <v>0</v>
      </c>
    </row>
    <row r="11" spans="1:8" x14ac:dyDescent="0.25">
      <c r="A11" s="208"/>
      <c r="B11" s="191"/>
      <c r="C11" s="191"/>
      <c r="D11" s="191"/>
      <c r="E11" s="42"/>
      <c r="F11" s="170"/>
      <c r="G11" s="206"/>
      <c r="H11" s="206">
        <f t="shared" ref="H11:H20" si="0">H10+G11</f>
        <v>0</v>
      </c>
    </row>
    <row r="12" spans="1:8" x14ac:dyDescent="0.25">
      <c r="A12" s="208" t="s">
        <v>2</v>
      </c>
      <c r="B12" s="191" t="s">
        <v>2</v>
      </c>
      <c r="C12" s="191"/>
      <c r="D12" s="191"/>
      <c r="E12" s="42" t="s">
        <v>2</v>
      </c>
      <c r="F12" s="170"/>
      <c r="G12" s="206"/>
      <c r="H12" s="206">
        <f t="shared" si="0"/>
        <v>0</v>
      </c>
    </row>
    <row r="13" spans="1:8" x14ac:dyDescent="0.25">
      <c r="A13" s="208" t="s">
        <v>2</v>
      </c>
      <c r="B13" s="191" t="s">
        <v>2</v>
      </c>
      <c r="C13" s="191"/>
      <c r="D13" s="191"/>
      <c r="E13" s="42" t="s">
        <v>2</v>
      </c>
      <c r="F13" s="170"/>
      <c r="G13" s="206"/>
      <c r="H13" s="206">
        <f t="shared" si="0"/>
        <v>0</v>
      </c>
    </row>
    <row r="14" spans="1:8" x14ac:dyDescent="0.25">
      <c r="A14" s="208"/>
      <c r="B14" s="191"/>
      <c r="C14" s="191"/>
      <c r="D14" s="191"/>
      <c r="E14" s="42"/>
      <c r="F14" s="170"/>
      <c r="G14" s="206"/>
      <c r="H14" s="206">
        <f t="shared" si="0"/>
        <v>0</v>
      </c>
    </row>
    <row r="15" spans="1:8" x14ac:dyDescent="0.25">
      <c r="A15" s="208"/>
      <c r="B15" s="191"/>
      <c r="C15" s="191"/>
      <c r="D15" s="191"/>
      <c r="E15" s="37"/>
      <c r="F15" s="170"/>
      <c r="G15" s="206"/>
      <c r="H15" s="206">
        <f t="shared" si="0"/>
        <v>0</v>
      </c>
    </row>
    <row r="16" spans="1:8" x14ac:dyDescent="0.25">
      <c r="A16" s="208"/>
      <c r="B16" s="191"/>
      <c r="C16" s="191"/>
      <c r="D16" s="191"/>
      <c r="E16" s="42"/>
      <c r="F16" s="170"/>
      <c r="G16" s="206"/>
      <c r="H16" s="206">
        <f t="shared" si="0"/>
        <v>0</v>
      </c>
    </row>
    <row r="17" spans="1:8" x14ac:dyDescent="0.25">
      <c r="A17" s="190"/>
      <c r="B17" s="191"/>
      <c r="C17" s="191"/>
      <c r="D17" s="191"/>
      <c r="E17" s="42"/>
      <c r="F17" s="170"/>
      <c r="G17" s="206"/>
      <c r="H17" s="206">
        <f t="shared" si="0"/>
        <v>0</v>
      </c>
    </row>
    <row r="18" spans="1:8" x14ac:dyDescent="0.25">
      <c r="A18" s="190"/>
      <c r="B18" s="191"/>
      <c r="C18" s="191"/>
      <c r="D18" s="191"/>
      <c r="E18" s="42"/>
      <c r="F18" s="170"/>
      <c r="G18" s="206"/>
      <c r="H18" s="206">
        <f t="shared" si="0"/>
        <v>0</v>
      </c>
    </row>
    <row r="19" spans="1:8" x14ac:dyDescent="0.25">
      <c r="A19" s="190"/>
      <c r="B19" s="191"/>
      <c r="C19" s="191"/>
      <c r="D19" s="191"/>
      <c r="E19" s="42"/>
      <c r="F19" s="170"/>
      <c r="G19" s="206"/>
      <c r="H19" s="206">
        <f t="shared" si="0"/>
        <v>0</v>
      </c>
    </row>
    <row r="20" spans="1:8" x14ac:dyDescent="0.25">
      <c r="A20" s="190"/>
      <c r="B20" s="191"/>
      <c r="C20" s="191"/>
      <c r="D20" s="191"/>
      <c r="E20" s="42"/>
      <c r="F20" s="170"/>
      <c r="G20" s="206"/>
      <c r="H20" s="206">
        <f t="shared" si="0"/>
        <v>0</v>
      </c>
    </row>
    <row r="21" spans="1:8" x14ac:dyDescent="0.25">
      <c r="A21" s="190"/>
      <c r="B21" s="199"/>
      <c r="C21" s="199"/>
      <c r="D21" s="199"/>
      <c r="E21" s="42"/>
      <c r="F21" s="206"/>
      <c r="G21" s="42"/>
      <c r="H21" s="206"/>
    </row>
    <row r="22" spans="1:8" ht="15.75" thickBot="1" x14ac:dyDescent="0.3">
      <c r="A22" s="213"/>
      <c r="B22" s="204"/>
      <c r="C22" s="204"/>
      <c r="D22" s="204"/>
      <c r="E22" s="214" t="s">
        <v>24</v>
      </c>
      <c r="F22" s="215"/>
      <c r="G22" s="202">
        <f>SUM(G9:G21)</f>
        <v>0</v>
      </c>
      <c r="H22" s="215"/>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22AA-35E6-4ABC-85CC-4050D7D8C263}">
  <sheetPr>
    <pageSetUpPr fitToPage="1"/>
  </sheetPr>
  <dimension ref="A1:G19"/>
  <sheetViews>
    <sheetView zoomScaleNormal="100" workbookViewId="0">
      <selection activeCell="B25" sqref="B25"/>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162</v>
      </c>
      <c r="C1" s="3"/>
      <c r="D1" s="4"/>
      <c r="E1" s="4"/>
      <c r="F1" s="4"/>
      <c r="G1" s="4"/>
    </row>
    <row r="2" spans="1:7" ht="15.75" x14ac:dyDescent="0.25">
      <c r="A2" s="1"/>
      <c r="B2" s="6" t="s">
        <v>222</v>
      </c>
      <c r="C2" s="5"/>
      <c r="D2" s="4"/>
      <c r="E2" s="4"/>
      <c r="F2" s="4"/>
      <c r="G2" s="4"/>
    </row>
    <row r="3" spans="1:7" ht="15.75" x14ac:dyDescent="0.25">
      <c r="A3" s="1"/>
      <c r="B3" s="7" t="s">
        <v>223</v>
      </c>
      <c r="C3" s="5"/>
      <c r="D3" s="4"/>
      <c r="E3" s="8" t="s">
        <v>224</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195</v>
      </c>
      <c r="C6" s="12"/>
      <c r="D6" s="13" t="s">
        <v>2</v>
      </c>
      <c r="E6" s="4"/>
      <c r="F6" s="4"/>
      <c r="G6" s="4"/>
    </row>
    <row r="7" spans="1:7" ht="36.75" customHeight="1" thickBot="1" x14ac:dyDescent="0.3">
      <c r="A7" s="1"/>
      <c r="B7" s="14" t="s">
        <v>2</v>
      </c>
      <c r="C7" s="15" t="s">
        <v>3</v>
      </c>
      <c r="D7" s="16" t="s">
        <v>4</v>
      </c>
      <c r="E7" s="17" t="s">
        <v>5</v>
      </c>
      <c r="F7" s="18" t="s">
        <v>6</v>
      </c>
      <c r="G7" s="18" t="s">
        <v>7</v>
      </c>
    </row>
    <row r="8" spans="1:7" ht="28.35" customHeight="1" x14ac:dyDescent="0.25">
      <c r="A8" s="1"/>
      <c r="B8" s="1" t="s">
        <v>8</v>
      </c>
      <c r="C8" s="19">
        <f>FINANCIAL!G34</f>
        <v>265000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73" t="s">
        <v>250</v>
      </c>
      <c r="B10" s="247" t="s">
        <v>253</v>
      </c>
      <c r="C10" s="248"/>
      <c r="D10" s="251">
        <f>'#9511.00 McGough Construction'!D23</f>
        <v>11743.31</v>
      </c>
      <c r="E10" s="251">
        <f>'#9511.00 McGough Construction'!F23</f>
        <v>11743.310000000001</v>
      </c>
      <c r="F10" s="251">
        <f>'#9511.00 McGough Construction'!H23</f>
        <v>0</v>
      </c>
      <c r="G10" s="250"/>
    </row>
    <row r="11" spans="1:7" s="223" customFormat="1" ht="12.75" customHeight="1" x14ac:dyDescent="0.25">
      <c r="A11" s="246"/>
      <c r="B11" s="247" t="s">
        <v>10</v>
      </c>
      <c r="C11" s="248"/>
      <c r="D11" s="251">
        <f>'#9511.00 PM TIME'!E39</f>
        <v>17000</v>
      </c>
      <c r="E11" s="251">
        <f>'#9511.00 PM TIME'!G39</f>
        <v>15174.820000000003</v>
      </c>
      <c r="F11" s="251">
        <f>'#9511.00 PM TIME'!I39</f>
        <v>1825.1799999999967</v>
      </c>
      <c r="G11" s="250"/>
    </row>
    <row r="12" spans="1:7" s="223" customFormat="1" ht="12.75" customHeight="1" x14ac:dyDescent="0.25">
      <c r="A12" s="246"/>
      <c r="B12" s="247" t="s">
        <v>11</v>
      </c>
      <c r="C12" s="249"/>
      <c r="D12" s="252">
        <f>'#9511.00 Misc'!G22</f>
        <v>200</v>
      </c>
      <c r="E12" s="252">
        <f>'#9511.00 Misc'!G22</f>
        <v>200</v>
      </c>
      <c r="F12" s="251">
        <f>D12-E12</f>
        <v>0</v>
      </c>
      <c r="G12" s="250"/>
    </row>
    <row r="13" spans="1:7" s="223" customFormat="1" ht="12.75" customHeight="1" x14ac:dyDescent="0.25">
      <c r="A13" s="246"/>
      <c r="B13" s="247" t="s">
        <v>535</v>
      </c>
      <c r="C13" s="249"/>
      <c r="D13" s="252">
        <f>'#9511.00 Bolton and Menk'!D23</f>
        <v>35303</v>
      </c>
      <c r="E13" s="252">
        <f>'#9511.00 Bolton and Menk'!F23</f>
        <v>26040.6</v>
      </c>
      <c r="F13" s="251">
        <f>'#9511.00 Bolton and Menk'!H23</f>
        <v>9262.4000000000015</v>
      </c>
      <c r="G13" s="250"/>
    </row>
    <row r="14" spans="1:7" s="223" customFormat="1" ht="12.75" customHeight="1" x14ac:dyDescent="0.25">
      <c r="A14" s="273" t="s">
        <v>250</v>
      </c>
      <c r="B14" s="247" t="s">
        <v>567</v>
      </c>
      <c r="C14" s="249"/>
      <c r="D14" s="252">
        <f>'#9511.00 Terracon Consultants'!D23</f>
        <v>4810.5</v>
      </c>
      <c r="E14" s="252">
        <f>'#9511.00 Terracon Consultants'!F23</f>
        <v>4810.5</v>
      </c>
      <c r="F14" s="251">
        <f>'#9511.00 Terracon Consultants'!H23</f>
        <v>0</v>
      </c>
      <c r="G14" s="250"/>
    </row>
    <row r="15" spans="1:7" s="223" customFormat="1" ht="12.75" customHeight="1" x14ac:dyDescent="0.25">
      <c r="A15" s="273"/>
      <c r="B15" s="247" t="s">
        <v>635</v>
      </c>
      <c r="C15" s="249"/>
      <c r="D15" s="252">
        <f>'#9511.00 McGough Construction 2'!D23</f>
        <v>30776.85</v>
      </c>
      <c r="E15" s="252">
        <f>'#9511.00 McGough Construction 2'!F23</f>
        <v>4652.05</v>
      </c>
      <c r="F15" s="251">
        <f>'#9511.00 McGough Construction 2'!H23</f>
        <v>26124.799999999999</v>
      </c>
      <c r="G15" s="250"/>
    </row>
    <row r="16" spans="1:7" s="223" customFormat="1" ht="12.75" customHeight="1" x14ac:dyDescent="0.25">
      <c r="A16" s="273"/>
      <c r="B16" s="247" t="s">
        <v>1006</v>
      </c>
      <c r="C16" s="249"/>
      <c r="D16" s="252">
        <f>'#9511.00 Jones Contracting'!D23</f>
        <v>145082.96000000002</v>
      </c>
      <c r="E16" s="252">
        <f>'#9511.00 Jones Contracting'!F23</f>
        <v>959.94</v>
      </c>
      <c r="F16" s="251">
        <f>'#9511.00 Jones Contracting'!H23</f>
        <v>144123.02000000002</v>
      </c>
      <c r="G16" s="250"/>
    </row>
    <row r="17" spans="1:7" s="223" customFormat="1" ht="12.75" customHeight="1" x14ac:dyDescent="0.25">
      <c r="A17" s="246"/>
      <c r="B17" s="247"/>
      <c r="C17" s="249"/>
      <c r="D17" s="252"/>
      <c r="E17" s="252"/>
      <c r="F17" s="251"/>
      <c r="G17" s="250"/>
    </row>
    <row r="18" spans="1:7" ht="24" customHeight="1" thickBot="1" x14ac:dyDescent="0.3">
      <c r="A18" s="25"/>
      <c r="B18" s="26" t="s">
        <v>12</v>
      </c>
      <c r="C18" s="27">
        <f>SUM(C8:C17)</f>
        <v>265000</v>
      </c>
      <c r="D18" s="27">
        <f>SUM(D8:D17)</f>
        <v>244916.62000000002</v>
      </c>
      <c r="E18" s="27">
        <f>SUM(E8:E17)</f>
        <v>63581.220000000008</v>
      </c>
      <c r="F18" s="27">
        <f>SUM(D18-E18)</f>
        <v>181335.40000000002</v>
      </c>
      <c r="G18" s="27">
        <f>C8-D18</f>
        <v>20083.379999999976</v>
      </c>
    </row>
    <row r="19"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0BF64-3BEA-46DB-9949-1D6245B62126}">
  <sheetPr>
    <tabColor rgb="FF0070C0"/>
    <pageSetUpPr fitToPage="1"/>
  </sheetPr>
  <dimension ref="A1:I30"/>
  <sheetViews>
    <sheetView topLeftCell="A3" zoomScaleNormal="100" workbookViewId="0">
      <selection activeCell="C34" sqref="C34"/>
    </sheetView>
  </sheetViews>
  <sheetFormatPr defaultColWidth="11.42578125" defaultRowHeight="15" customHeight="1" x14ac:dyDescent="0.25"/>
  <cols>
    <col min="1" max="1" width="24.5703125" style="274" customWidth="1"/>
    <col min="2" max="2" width="9.42578125" style="274" customWidth="1"/>
    <col min="3" max="3" width="38" style="274" customWidth="1"/>
    <col min="4" max="4" width="14.42578125" style="274" customWidth="1"/>
    <col min="5" max="5" width="13.5703125" style="274" customWidth="1"/>
    <col min="6" max="6" width="12.42578125" style="274" customWidth="1"/>
    <col min="7" max="7" width="10.5703125" style="274" customWidth="1"/>
    <col min="8" max="8" width="15.7109375" style="274" customWidth="1"/>
    <col min="9" max="9" width="6.42578125" style="274" bestFit="1"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'[2]RECAP #9511.00'!B1</f>
        <v>DPS P13 Upper Parking Lot Replacement</v>
      </c>
      <c r="B1" s="30"/>
      <c r="C1" s="153"/>
      <c r="D1" s="153"/>
      <c r="E1" s="153"/>
      <c r="F1" s="156"/>
      <c r="G1" s="156"/>
      <c r="H1" s="179"/>
      <c r="I1" s="179"/>
    </row>
    <row r="2" spans="1:9" ht="15.75" x14ac:dyDescent="0.25">
      <c r="A2" s="31" t="str">
        <f>'[2]RECAP #9511.00'!B2</f>
        <v>Project # 9511.00</v>
      </c>
      <c r="B2" s="150"/>
      <c r="C2" s="153"/>
      <c r="D2" s="153"/>
      <c r="E2" s="153"/>
      <c r="F2" s="156"/>
      <c r="G2" s="156"/>
      <c r="H2" s="179"/>
      <c r="I2" s="179"/>
    </row>
    <row r="3" spans="1:9" ht="15.75" x14ac:dyDescent="0.25">
      <c r="A3" s="154" t="str">
        <f>'[2]RECAP #9511.00'!B3</f>
        <v>Program code 951100</v>
      </c>
      <c r="B3" s="150"/>
      <c r="C3" s="153"/>
      <c r="D3" s="155" t="str">
        <f>'[2]RECAP #9511.00'!E3</f>
        <v>Major Program 4E12</v>
      </c>
      <c r="E3" s="153"/>
      <c r="F3" s="156"/>
      <c r="G3" s="156"/>
      <c r="H3" s="179"/>
      <c r="I3" s="179"/>
    </row>
    <row r="4" spans="1:9" ht="15.75" x14ac:dyDescent="0.25">
      <c r="A4" s="30" t="s">
        <v>253</v>
      </c>
      <c r="B4" s="31"/>
      <c r="C4" s="179"/>
      <c r="D4" s="180" t="s">
        <v>254</v>
      </c>
      <c r="E4" s="156"/>
      <c r="F4" s="156"/>
      <c r="G4" s="156"/>
      <c r="H4" s="179"/>
      <c r="I4" s="179"/>
    </row>
    <row r="5" spans="1:9" ht="15.75" x14ac:dyDescent="0.25">
      <c r="A5" s="181" t="s">
        <v>104</v>
      </c>
      <c r="B5" s="179"/>
      <c r="C5" s="182"/>
      <c r="D5" s="37" t="s">
        <v>255</v>
      </c>
      <c r="E5" s="42"/>
      <c r="F5" s="156"/>
      <c r="G5" s="156"/>
      <c r="H5" s="179"/>
      <c r="I5" s="179"/>
    </row>
    <row r="6" spans="1:9" ht="15.75" x14ac:dyDescent="0.25">
      <c r="A6" s="31" t="str">
        <f>'[2]RECAP #9511.00'!B6</f>
        <v>Project Manager - Brandon A.</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1021</v>
      </c>
      <c r="B9" s="276">
        <v>45979</v>
      </c>
      <c r="C9" s="277" t="s">
        <v>109</v>
      </c>
      <c r="D9" s="278">
        <v>15864.97</v>
      </c>
      <c r="E9" s="279">
        <f>D9</f>
        <v>15864.97</v>
      </c>
      <c r="F9" s="280"/>
      <c r="G9" s="280"/>
      <c r="H9" s="280">
        <f>E9</f>
        <v>15864.97</v>
      </c>
      <c r="I9" s="281"/>
    </row>
    <row r="10" spans="1:9" s="282" customFormat="1" ht="12.75" customHeight="1" x14ac:dyDescent="0.25">
      <c r="A10" s="275" t="s">
        <v>1022</v>
      </c>
      <c r="B10" s="283">
        <v>46066</v>
      </c>
      <c r="C10" s="277" t="s">
        <v>1023</v>
      </c>
      <c r="D10" s="279"/>
      <c r="E10" s="279">
        <f t="shared" ref="E10:E21" si="0">E9+D10</f>
        <v>15864.97</v>
      </c>
      <c r="F10" s="284">
        <v>3588.59</v>
      </c>
      <c r="G10" s="280">
        <f t="shared" ref="G10:G21" si="1">G9+F10</f>
        <v>3588.59</v>
      </c>
      <c r="H10" s="280">
        <f t="shared" ref="H10:H21" si="2">H9-F10+D10</f>
        <v>12276.38</v>
      </c>
      <c r="I10" s="281"/>
    </row>
    <row r="11" spans="1:9" s="282" customFormat="1" ht="12.75" customHeight="1" x14ac:dyDescent="0.25">
      <c r="A11" s="275" t="s">
        <v>1024</v>
      </c>
      <c r="B11" s="276">
        <v>46101</v>
      </c>
      <c r="C11" s="277" t="s">
        <v>1025</v>
      </c>
      <c r="D11" s="279"/>
      <c r="E11" s="279">
        <f t="shared" si="0"/>
        <v>15864.97</v>
      </c>
      <c r="F11" s="284">
        <v>1310.83</v>
      </c>
      <c r="G11" s="280">
        <f t="shared" si="1"/>
        <v>4899.42</v>
      </c>
      <c r="H11" s="280">
        <f t="shared" si="2"/>
        <v>10965.55</v>
      </c>
      <c r="I11" s="281"/>
    </row>
    <row r="12" spans="1:9" s="282" customFormat="1" ht="12.75" customHeight="1" x14ac:dyDescent="0.25">
      <c r="A12" s="275" t="s">
        <v>1026</v>
      </c>
      <c r="B12" s="276">
        <v>46126</v>
      </c>
      <c r="C12" s="277" t="s">
        <v>1027</v>
      </c>
      <c r="D12" s="279"/>
      <c r="E12" s="279">
        <f t="shared" si="0"/>
        <v>15864.97</v>
      </c>
      <c r="F12" s="284">
        <v>1534.28</v>
      </c>
      <c r="G12" s="280">
        <f t="shared" si="1"/>
        <v>6433.7</v>
      </c>
      <c r="H12" s="280">
        <f t="shared" si="2"/>
        <v>9431.2699999999986</v>
      </c>
      <c r="I12" s="281"/>
    </row>
    <row r="13" spans="1:9" s="282" customFormat="1" ht="12.75" customHeight="1" x14ac:dyDescent="0.25">
      <c r="A13" s="275" t="s">
        <v>1028</v>
      </c>
      <c r="B13" s="276">
        <v>46161</v>
      </c>
      <c r="C13" s="277" t="s">
        <v>1029</v>
      </c>
      <c r="D13" s="279"/>
      <c r="E13" s="279">
        <f t="shared" si="0"/>
        <v>15864.97</v>
      </c>
      <c r="F13" s="284">
        <v>1789.98</v>
      </c>
      <c r="G13" s="280">
        <f t="shared" si="1"/>
        <v>8223.68</v>
      </c>
      <c r="H13" s="280">
        <f t="shared" si="2"/>
        <v>7641.2899999999991</v>
      </c>
      <c r="I13" s="281"/>
    </row>
    <row r="14" spans="1:9" s="282" customFormat="1" ht="12.75" customHeight="1" x14ac:dyDescent="0.25">
      <c r="A14" s="275" t="s">
        <v>1030</v>
      </c>
      <c r="B14" s="276">
        <v>46182</v>
      </c>
      <c r="C14" s="277" t="s">
        <v>1031</v>
      </c>
      <c r="D14" s="279"/>
      <c r="E14" s="279">
        <f t="shared" si="0"/>
        <v>15864.97</v>
      </c>
      <c r="F14" s="284">
        <v>2697.7</v>
      </c>
      <c r="G14" s="280">
        <f t="shared" si="1"/>
        <v>10921.380000000001</v>
      </c>
      <c r="H14" s="280">
        <f t="shared" si="2"/>
        <v>4943.5899999999992</v>
      </c>
      <c r="I14" s="281"/>
    </row>
    <row r="15" spans="1:9" s="282" customFormat="1" ht="12.75" customHeight="1" x14ac:dyDescent="0.25">
      <c r="A15" s="275" t="s">
        <v>1213</v>
      </c>
      <c r="B15" s="276">
        <v>46216</v>
      </c>
      <c r="C15" s="277" t="s">
        <v>1214</v>
      </c>
      <c r="D15" s="285">
        <v>-4121.66</v>
      </c>
      <c r="E15" s="279">
        <f t="shared" si="0"/>
        <v>11743.31</v>
      </c>
      <c r="F15" s="284">
        <v>821.93</v>
      </c>
      <c r="G15" s="280">
        <f t="shared" si="1"/>
        <v>11743.310000000001</v>
      </c>
      <c r="H15" s="280">
        <f t="shared" si="2"/>
        <v>0</v>
      </c>
      <c r="I15" s="281"/>
    </row>
    <row r="16" spans="1:9" s="282" customFormat="1" ht="12.75" customHeight="1" x14ac:dyDescent="0.25">
      <c r="A16" s="275"/>
      <c r="B16" s="276"/>
      <c r="C16" s="277"/>
      <c r="D16" s="279"/>
      <c r="E16" s="279">
        <f t="shared" si="0"/>
        <v>11743.31</v>
      </c>
      <c r="F16" s="284"/>
      <c r="G16" s="280">
        <f t="shared" si="1"/>
        <v>11743.310000000001</v>
      </c>
      <c r="H16" s="280">
        <f t="shared" si="2"/>
        <v>0</v>
      </c>
      <c r="I16" s="281"/>
    </row>
    <row r="17" spans="1:9" s="282" customFormat="1" ht="12.75" customHeight="1" x14ac:dyDescent="0.25">
      <c r="A17" s="275"/>
      <c r="B17" s="276"/>
      <c r="C17" s="277"/>
      <c r="D17" s="279"/>
      <c r="E17" s="279">
        <f t="shared" si="0"/>
        <v>11743.31</v>
      </c>
      <c r="F17" s="284"/>
      <c r="G17" s="280">
        <f t="shared" si="1"/>
        <v>11743.310000000001</v>
      </c>
      <c r="H17" s="280">
        <f t="shared" si="2"/>
        <v>0</v>
      </c>
      <c r="I17" s="281"/>
    </row>
    <row r="18" spans="1:9" s="282" customFormat="1" ht="12.75" customHeight="1" x14ac:dyDescent="0.25">
      <c r="A18" s="275"/>
      <c r="B18" s="276"/>
      <c r="C18" s="277"/>
      <c r="D18" s="279"/>
      <c r="E18" s="279">
        <f t="shared" si="0"/>
        <v>11743.31</v>
      </c>
      <c r="F18" s="284"/>
      <c r="G18" s="280">
        <f t="shared" si="1"/>
        <v>11743.310000000001</v>
      </c>
      <c r="H18" s="280">
        <f t="shared" si="2"/>
        <v>0</v>
      </c>
      <c r="I18" s="281"/>
    </row>
    <row r="19" spans="1:9" s="282" customFormat="1" ht="12.75" customHeight="1" x14ac:dyDescent="0.25">
      <c r="A19" s="275"/>
      <c r="B19" s="276"/>
      <c r="C19" s="277"/>
      <c r="D19" s="279"/>
      <c r="E19" s="279">
        <f t="shared" si="0"/>
        <v>11743.31</v>
      </c>
      <c r="F19" s="280"/>
      <c r="G19" s="280">
        <f t="shared" si="1"/>
        <v>11743.310000000001</v>
      </c>
      <c r="H19" s="280">
        <f t="shared" si="2"/>
        <v>0</v>
      </c>
      <c r="I19" s="281"/>
    </row>
    <row r="20" spans="1:9" s="282" customFormat="1" ht="12.75" customHeight="1" x14ac:dyDescent="0.25">
      <c r="A20" s="275"/>
      <c r="B20" s="276"/>
      <c r="C20" s="277"/>
      <c r="D20" s="279"/>
      <c r="E20" s="279">
        <f t="shared" si="0"/>
        <v>11743.31</v>
      </c>
      <c r="F20" s="280"/>
      <c r="G20" s="280">
        <f t="shared" si="1"/>
        <v>11743.310000000001</v>
      </c>
      <c r="H20" s="280">
        <f t="shared" si="2"/>
        <v>0</v>
      </c>
      <c r="I20" s="281"/>
    </row>
    <row r="21" spans="1:9" s="282" customFormat="1" ht="12.75" customHeight="1" x14ac:dyDescent="0.25">
      <c r="A21" s="275"/>
      <c r="B21" s="276"/>
      <c r="C21" s="286"/>
      <c r="D21" s="279"/>
      <c r="E21" s="279">
        <f t="shared" si="0"/>
        <v>11743.31</v>
      </c>
      <c r="F21" s="280"/>
      <c r="G21" s="280">
        <f t="shared" si="1"/>
        <v>11743.310000000001</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11743.31</v>
      </c>
      <c r="E23" s="290"/>
      <c r="F23" s="290">
        <f>SUM(F9:F22)</f>
        <v>11743.310000000001</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f>15444.97-3793.66</f>
        <v>11651.31</v>
      </c>
      <c r="E26" s="292"/>
      <c r="F26" s="292">
        <f>3541.59+1296.83+1534.28+1789.98+2666.7+821.93</f>
        <v>11651.310000000001</v>
      </c>
      <c r="G26" s="292"/>
      <c r="H26" s="292">
        <f>D26-F26</f>
        <v>0</v>
      </c>
      <c r="I26" s="281"/>
    </row>
    <row r="27" spans="1:9" s="282" customFormat="1" ht="12.75" customHeight="1" x14ac:dyDescent="0.25">
      <c r="A27" s="275"/>
      <c r="B27" s="277"/>
      <c r="C27" s="287" t="s">
        <v>111</v>
      </c>
      <c r="D27" s="292">
        <f>420-328</f>
        <v>92</v>
      </c>
      <c r="E27" s="292"/>
      <c r="F27" s="292">
        <f>47+14+31</f>
        <v>92</v>
      </c>
      <c r="G27" s="292"/>
      <c r="H27" s="292">
        <f>D27-F27</f>
        <v>0</v>
      </c>
      <c r="I27" s="281"/>
    </row>
    <row r="28" spans="1:9" s="282" customFormat="1" ht="12.75" customHeight="1" thickBot="1" x14ac:dyDescent="0.3">
      <c r="A28" s="275"/>
      <c r="B28" s="277"/>
      <c r="C28" s="293" t="s">
        <v>67</v>
      </c>
      <c r="D28" s="290">
        <f>SUM(D26:D27)</f>
        <v>11743.31</v>
      </c>
      <c r="E28" s="294"/>
      <c r="F28" s="290">
        <f>SUM(F26:F27)</f>
        <v>11743.310000000001</v>
      </c>
      <c r="G28" s="294"/>
      <c r="H28" s="290">
        <f>SUM(H26:H27)</f>
        <v>0</v>
      </c>
      <c r="I28" s="281"/>
    </row>
    <row r="29" spans="1:9" s="282" customFormat="1" ht="12.75" customHeight="1" thickTop="1" x14ac:dyDescent="0.25"/>
    <row r="30" spans="1:9" s="282" customFormat="1" ht="12.75" customHeight="1" x14ac:dyDescent="0.25"/>
  </sheetData>
  <pageMargins left="0.25" right="0.25" top="0.95" bottom="0.75" header="0.09" footer="0.3"/>
  <pageSetup scale="7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76F93-F62F-4158-9834-A48BD04487B4}">
  <sheetPr>
    <pageSetUpPr fitToPage="1"/>
  </sheetPr>
  <dimension ref="A1:J43"/>
  <sheetViews>
    <sheetView topLeftCell="A7" zoomScaleNormal="100" workbookViewId="0">
      <selection activeCell="L33" sqref="L33"/>
    </sheetView>
  </sheetViews>
  <sheetFormatPr defaultColWidth="11.42578125" defaultRowHeight="15" customHeight="1" x14ac:dyDescent="0.25"/>
  <cols>
    <col min="1" max="1" width="24.5703125" customWidth="1"/>
    <col min="2" max="3" width="9.42578125" customWidth="1"/>
    <col min="4" max="4" width="42.140625" customWidth="1"/>
    <col min="5" max="5" width="12.5703125" customWidth="1"/>
    <col min="6" max="6" width="13.5703125" customWidth="1"/>
    <col min="7" max="7" width="12.42578125" customWidth="1"/>
    <col min="8" max="8" width="10.5703125" customWidth="1"/>
    <col min="9" max="9" width="13.57031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#9511.00'!B1</f>
        <v>DPS P13 Upper Parking Lot Replacement</v>
      </c>
      <c r="B1" s="3"/>
      <c r="C1" s="3"/>
      <c r="D1" s="4"/>
      <c r="E1" s="4"/>
      <c r="F1" s="4"/>
      <c r="G1" s="28"/>
      <c r="H1" s="28"/>
      <c r="I1" s="29"/>
      <c r="J1" s="29"/>
    </row>
    <row r="2" spans="1:10" ht="15.75" x14ac:dyDescent="0.25">
      <c r="A2" s="6" t="str">
        <f>'RECAP #9511.00'!B2</f>
        <v>Project # 9511.00</v>
      </c>
      <c r="B2" s="5"/>
      <c r="C2" s="5"/>
      <c r="D2" s="4"/>
      <c r="E2" s="4"/>
      <c r="F2" s="4"/>
      <c r="G2" s="28"/>
      <c r="H2" s="28"/>
      <c r="I2" s="29"/>
      <c r="J2" s="29"/>
    </row>
    <row r="3" spans="1:10" ht="15.75" x14ac:dyDescent="0.25">
      <c r="A3" s="7" t="str">
        <f>'RECAP #9511.00'!B3</f>
        <v>Program code 951100</v>
      </c>
      <c r="B3" s="5"/>
      <c r="C3" s="5"/>
      <c r="D3" s="4"/>
      <c r="E3" s="8" t="str">
        <f>'RECAP #9511.00'!E3</f>
        <v>Major Program 4E12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247</v>
      </c>
      <c r="F6" s="42"/>
      <c r="G6" s="43"/>
      <c r="H6" s="39"/>
      <c r="I6" s="35"/>
      <c r="J6" s="29"/>
    </row>
    <row r="7" spans="1:10" ht="15.75" x14ac:dyDescent="0.25">
      <c r="A7" s="11" t="str">
        <f>'RECAP #9511.00'!B6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f>12000+5000</f>
        <v>17000</v>
      </c>
      <c r="F9" s="233">
        <f>E9</f>
        <v>17000</v>
      </c>
      <c r="G9" s="234"/>
      <c r="H9" s="234"/>
      <c r="I9" s="234">
        <f>F9</f>
        <v>17000</v>
      </c>
      <c r="J9" s="235"/>
    </row>
    <row r="10" spans="1:10" s="223" customFormat="1" ht="12.75" customHeight="1" x14ac:dyDescent="0.25">
      <c r="A10" s="176" t="s">
        <v>260</v>
      </c>
      <c r="B10" s="177">
        <v>45937</v>
      </c>
      <c r="C10" s="241" t="s">
        <v>261</v>
      </c>
      <c r="D10" s="148" t="s">
        <v>262</v>
      </c>
      <c r="E10" s="233"/>
      <c r="F10" s="233">
        <f t="shared" ref="F10:F37" si="0">F9+E10</f>
        <v>17000</v>
      </c>
      <c r="G10" s="237">
        <v>55.62</v>
      </c>
      <c r="H10" s="234">
        <f t="shared" ref="H10:H37" si="1">H9+G10</f>
        <v>55.62</v>
      </c>
      <c r="I10" s="234">
        <f t="shared" ref="I10:I37" si="2">I9-G10+E10</f>
        <v>16944.38</v>
      </c>
      <c r="J10" s="235"/>
    </row>
    <row r="11" spans="1:10" s="223" customFormat="1" ht="12.75" customHeight="1" x14ac:dyDescent="0.25">
      <c r="A11" s="176" t="s">
        <v>260</v>
      </c>
      <c r="B11" s="177">
        <v>45937</v>
      </c>
      <c r="C11" s="241">
        <v>9500</v>
      </c>
      <c r="D11" s="149" t="s">
        <v>263</v>
      </c>
      <c r="E11" s="233"/>
      <c r="F11" s="233">
        <f t="shared" si="0"/>
        <v>17000</v>
      </c>
      <c r="G11" s="237">
        <v>287.2</v>
      </c>
      <c r="H11" s="234">
        <f t="shared" si="1"/>
        <v>342.82</v>
      </c>
      <c r="I11" s="234">
        <f t="shared" si="2"/>
        <v>16657.18</v>
      </c>
      <c r="J11" s="235"/>
    </row>
    <row r="12" spans="1:10" s="223" customFormat="1" ht="12.75" customHeight="1" x14ac:dyDescent="0.25">
      <c r="A12" s="176" t="s">
        <v>314</v>
      </c>
      <c r="B12" s="177">
        <v>45968</v>
      </c>
      <c r="C12" s="241" t="s">
        <v>261</v>
      </c>
      <c r="D12" s="148" t="s">
        <v>315</v>
      </c>
      <c r="E12" s="233"/>
      <c r="F12" s="233">
        <f t="shared" si="0"/>
        <v>17000</v>
      </c>
      <c r="G12" s="237">
        <v>60.38</v>
      </c>
      <c r="H12" s="234">
        <f t="shared" si="1"/>
        <v>403.2</v>
      </c>
      <c r="I12" s="234">
        <f t="shared" si="2"/>
        <v>16596.8</v>
      </c>
      <c r="J12" s="235"/>
    </row>
    <row r="13" spans="1:10" s="223" customFormat="1" ht="12.75" customHeight="1" x14ac:dyDescent="0.25">
      <c r="A13" s="176" t="s">
        <v>314</v>
      </c>
      <c r="B13" s="177">
        <v>45968</v>
      </c>
      <c r="C13" s="241">
        <v>9500</v>
      </c>
      <c r="D13" s="149" t="s">
        <v>316</v>
      </c>
      <c r="E13" s="233"/>
      <c r="F13" s="233">
        <f t="shared" si="0"/>
        <v>17000</v>
      </c>
      <c r="G13" s="237">
        <v>507.6</v>
      </c>
      <c r="H13" s="234">
        <f t="shared" si="1"/>
        <v>910.8</v>
      </c>
      <c r="I13" s="234">
        <f t="shared" si="2"/>
        <v>16089.199999999999</v>
      </c>
      <c r="J13" s="235"/>
    </row>
    <row r="14" spans="1:10" s="223" customFormat="1" ht="12.75" customHeight="1" x14ac:dyDescent="0.2">
      <c r="A14" s="70" t="s">
        <v>364</v>
      </c>
      <c r="B14" s="50">
        <v>45996</v>
      </c>
      <c r="C14" s="53" t="s">
        <v>261</v>
      </c>
      <c r="D14" s="144" t="s">
        <v>365</v>
      </c>
      <c r="E14" s="233"/>
      <c r="F14" s="233">
        <f t="shared" si="0"/>
        <v>17000</v>
      </c>
      <c r="G14" s="237">
        <v>65.209999999999994</v>
      </c>
      <c r="H14" s="234">
        <f t="shared" si="1"/>
        <v>976.01</v>
      </c>
      <c r="I14" s="234">
        <f t="shared" si="2"/>
        <v>16023.99</v>
      </c>
      <c r="J14" s="235"/>
    </row>
    <row r="15" spans="1:10" s="223" customFormat="1" ht="12.75" customHeight="1" x14ac:dyDescent="0.2">
      <c r="A15" s="70" t="s">
        <v>364</v>
      </c>
      <c r="B15" s="50">
        <v>45996</v>
      </c>
      <c r="C15" s="268">
        <v>9500</v>
      </c>
      <c r="D15" s="66" t="s">
        <v>366</v>
      </c>
      <c r="E15" s="233"/>
      <c r="F15" s="233">
        <f t="shared" si="0"/>
        <v>17000</v>
      </c>
      <c r="G15" s="237">
        <v>464.7</v>
      </c>
      <c r="H15" s="234">
        <f t="shared" si="1"/>
        <v>1440.71</v>
      </c>
      <c r="I15" s="234">
        <f t="shared" si="2"/>
        <v>15559.289999999999</v>
      </c>
      <c r="J15" s="235"/>
    </row>
    <row r="16" spans="1:10" s="223" customFormat="1" ht="12.75" customHeight="1" x14ac:dyDescent="0.2">
      <c r="A16" s="70" t="s">
        <v>423</v>
      </c>
      <c r="B16" s="50">
        <v>46030</v>
      </c>
      <c r="C16" s="53" t="s">
        <v>261</v>
      </c>
      <c r="D16" s="144" t="s">
        <v>424</v>
      </c>
      <c r="E16" s="233"/>
      <c r="F16" s="233">
        <f t="shared" si="0"/>
        <v>17000</v>
      </c>
      <c r="G16" s="237">
        <v>142.26</v>
      </c>
      <c r="H16" s="234">
        <f t="shared" si="1"/>
        <v>1582.97</v>
      </c>
      <c r="I16" s="234">
        <f t="shared" si="2"/>
        <v>15417.029999999999</v>
      </c>
      <c r="J16" s="235"/>
    </row>
    <row r="17" spans="1:10" s="223" customFormat="1" ht="12.75" customHeight="1" x14ac:dyDescent="0.2">
      <c r="A17" s="70" t="s">
        <v>423</v>
      </c>
      <c r="B17" s="50">
        <v>46030</v>
      </c>
      <c r="C17" s="268">
        <v>9500</v>
      </c>
      <c r="D17" s="66" t="s">
        <v>425</v>
      </c>
      <c r="E17" s="233"/>
      <c r="F17" s="233">
        <f t="shared" si="0"/>
        <v>17000</v>
      </c>
      <c r="G17" s="237">
        <v>1617.8</v>
      </c>
      <c r="H17" s="234">
        <f t="shared" si="1"/>
        <v>3200.77</v>
      </c>
      <c r="I17" s="234">
        <f t="shared" si="2"/>
        <v>13799.23</v>
      </c>
      <c r="J17" s="235"/>
    </row>
    <row r="18" spans="1:10" s="223" customFormat="1" ht="12.75" customHeight="1" x14ac:dyDescent="0.2">
      <c r="A18" s="70" t="s">
        <v>548</v>
      </c>
      <c r="B18" s="50">
        <v>46062</v>
      </c>
      <c r="C18" s="53" t="s">
        <v>261</v>
      </c>
      <c r="D18" s="144" t="s">
        <v>549</v>
      </c>
      <c r="E18" s="233"/>
      <c r="F18" s="233">
        <f t="shared" si="0"/>
        <v>17000</v>
      </c>
      <c r="G18" s="237">
        <v>149.63999999999999</v>
      </c>
      <c r="H18" s="234">
        <f t="shared" si="1"/>
        <v>3350.41</v>
      </c>
      <c r="I18" s="234">
        <f t="shared" si="2"/>
        <v>13649.59</v>
      </c>
      <c r="J18" s="235"/>
    </row>
    <row r="19" spans="1:10" s="223" customFormat="1" ht="12.75" customHeight="1" x14ac:dyDescent="0.2">
      <c r="A19" s="70" t="s">
        <v>548</v>
      </c>
      <c r="B19" s="50">
        <v>46062</v>
      </c>
      <c r="C19" s="268">
        <v>9500</v>
      </c>
      <c r="D19" s="66" t="s">
        <v>550</v>
      </c>
      <c r="E19" s="233"/>
      <c r="F19" s="233">
        <f t="shared" si="0"/>
        <v>17000</v>
      </c>
      <c r="G19" s="237">
        <v>1854.1</v>
      </c>
      <c r="H19" s="234">
        <f t="shared" si="1"/>
        <v>5204.51</v>
      </c>
      <c r="I19" s="234">
        <f t="shared" si="2"/>
        <v>11795.49</v>
      </c>
      <c r="J19" s="235"/>
    </row>
    <row r="20" spans="1:10" s="223" customFormat="1" ht="12.75" customHeight="1" x14ac:dyDescent="0.2">
      <c r="A20" s="70" t="s">
        <v>644</v>
      </c>
      <c r="B20" s="50">
        <v>46090</v>
      </c>
      <c r="C20" s="53" t="s">
        <v>261</v>
      </c>
      <c r="D20" s="144" t="s">
        <v>645</v>
      </c>
      <c r="E20" s="233"/>
      <c r="F20" s="233">
        <f t="shared" si="0"/>
        <v>17000</v>
      </c>
      <c r="G20" s="237">
        <v>137.72</v>
      </c>
      <c r="H20" s="234">
        <f t="shared" si="1"/>
        <v>5342.2300000000005</v>
      </c>
      <c r="I20" s="234">
        <f t="shared" si="2"/>
        <v>11657.77</v>
      </c>
      <c r="J20" s="235"/>
    </row>
    <row r="21" spans="1:10" s="223" customFormat="1" ht="12.75" customHeight="1" x14ac:dyDescent="0.2">
      <c r="A21" s="70" t="s">
        <v>644</v>
      </c>
      <c r="B21" s="50">
        <v>46090</v>
      </c>
      <c r="C21" s="268">
        <v>9500</v>
      </c>
      <c r="D21" s="66" t="s">
        <v>646</v>
      </c>
      <c r="E21" s="233"/>
      <c r="F21" s="233">
        <f t="shared" si="0"/>
        <v>17000</v>
      </c>
      <c r="G21" s="237">
        <v>1585</v>
      </c>
      <c r="H21" s="234">
        <f t="shared" si="1"/>
        <v>6927.2300000000005</v>
      </c>
      <c r="I21" s="234">
        <f t="shared" si="2"/>
        <v>10072.77</v>
      </c>
      <c r="J21" s="235"/>
    </row>
    <row r="22" spans="1:10" s="223" customFormat="1" ht="12.75" customHeight="1" x14ac:dyDescent="0.2">
      <c r="A22" s="70" t="s">
        <v>744</v>
      </c>
      <c r="B22" s="50">
        <v>46118</v>
      </c>
      <c r="C22" s="53" t="s">
        <v>261</v>
      </c>
      <c r="D22" s="144" t="s">
        <v>745</v>
      </c>
      <c r="E22" s="233"/>
      <c r="F22" s="233">
        <f t="shared" si="0"/>
        <v>17000</v>
      </c>
      <c r="G22" s="237">
        <v>168.54</v>
      </c>
      <c r="H22" s="234">
        <f t="shared" si="1"/>
        <v>7095.77</v>
      </c>
      <c r="I22" s="234">
        <f t="shared" si="2"/>
        <v>9904.23</v>
      </c>
      <c r="J22" s="235"/>
    </row>
    <row r="23" spans="1:10" s="223" customFormat="1" ht="12.75" customHeight="1" x14ac:dyDescent="0.2">
      <c r="A23" s="70" t="s">
        <v>744</v>
      </c>
      <c r="B23" s="50">
        <v>46118</v>
      </c>
      <c r="C23" s="268">
        <v>9500</v>
      </c>
      <c r="D23" s="66" t="s">
        <v>746</v>
      </c>
      <c r="E23" s="233"/>
      <c r="F23" s="233">
        <f t="shared" si="0"/>
        <v>17000</v>
      </c>
      <c r="G23" s="237">
        <v>1380.4</v>
      </c>
      <c r="H23" s="234">
        <f t="shared" si="1"/>
        <v>8476.17</v>
      </c>
      <c r="I23" s="234">
        <f t="shared" si="2"/>
        <v>8523.83</v>
      </c>
      <c r="J23" s="235"/>
    </row>
    <row r="24" spans="1:10" s="223" customFormat="1" ht="12.75" customHeight="1" x14ac:dyDescent="0.2">
      <c r="A24" s="70" t="s">
        <v>869</v>
      </c>
      <c r="B24" s="50">
        <v>46149</v>
      </c>
      <c r="C24" s="53" t="s">
        <v>261</v>
      </c>
      <c r="D24" s="144" t="s">
        <v>870</v>
      </c>
      <c r="E24" s="233"/>
      <c r="F24" s="233">
        <f t="shared" si="0"/>
        <v>17000</v>
      </c>
      <c r="G24" s="237">
        <v>136.53</v>
      </c>
      <c r="H24" s="234">
        <f t="shared" si="1"/>
        <v>8612.7000000000007</v>
      </c>
      <c r="I24" s="234">
        <f t="shared" si="2"/>
        <v>8387.2999999999993</v>
      </c>
      <c r="J24" s="235"/>
    </row>
    <row r="25" spans="1:10" s="223" customFormat="1" ht="12.75" customHeight="1" x14ac:dyDescent="0.2">
      <c r="A25" s="70" t="s">
        <v>869</v>
      </c>
      <c r="B25" s="50">
        <v>46149</v>
      </c>
      <c r="C25" s="268">
        <v>9500</v>
      </c>
      <c r="D25" s="66" t="s">
        <v>871</v>
      </c>
      <c r="E25" s="233"/>
      <c r="F25" s="233">
        <f t="shared" si="0"/>
        <v>17000</v>
      </c>
      <c r="G25" s="237">
        <v>1426.5</v>
      </c>
      <c r="H25" s="234">
        <f t="shared" si="1"/>
        <v>10039.200000000001</v>
      </c>
      <c r="I25" s="234">
        <f t="shared" si="2"/>
        <v>6960.7999999999993</v>
      </c>
      <c r="J25" s="235"/>
    </row>
    <row r="26" spans="1:10" s="223" customFormat="1" ht="12.75" customHeight="1" x14ac:dyDescent="0.25">
      <c r="A26" s="70" t="s">
        <v>984</v>
      </c>
      <c r="B26" s="50">
        <v>46181</v>
      </c>
      <c r="C26" s="53" t="s">
        <v>261</v>
      </c>
      <c r="D26" s="144" t="s">
        <v>985</v>
      </c>
      <c r="E26"/>
      <c r="F26" s="233">
        <f t="shared" si="0"/>
        <v>17000</v>
      </c>
      <c r="G26" s="237">
        <v>170.11</v>
      </c>
      <c r="H26" s="234">
        <f t="shared" si="1"/>
        <v>10209.310000000001</v>
      </c>
      <c r="I26" s="234">
        <f t="shared" si="2"/>
        <v>6790.69</v>
      </c>
      <c r="J26" s="235"/>
    </row>
    <row r="27" spans="1:10" s="223" customFormat="1" ht="12.75" customHeight="1" x14ac:dyDescent="0.25">
      <c r="A27" s="70" t="s">
        <v>984</v>
      </c>
      <c r="B27" s="50">
        <v>46181</v>
      </c>
      <c r="C27" s="268">
        <v>9500</v>
      </c>
      <c r="D27" s="66" t="s">
        <v>986</v>
      </c>
      <c r="E27"/>
      <c r="F27" s="233">
        <f t="shared" si="0"/>
        <v>17000</v>
      </c>
      <c r="G27" s="237">
        <v>2077.1999999999998</v>
      </c>
      <c r="H27" s="234">
        <f t="shared" si="1"/>
        <v>12286.510000000002</v>
      </c>
      <c r="I27" s="234">
        <f t="shared" si="2"/>
        <v>4713.49</v>
      </c>
      <c r="J27" s="235"/>
    </row>
    <row r="28" spans="1:10" s="223" customFormat="1" ht="12.75" customHeight="1" x14ac:dyDescent="0.25">
      <c r="A28" s="70" t="s">
        <v>1186</v>
      </c>
      <c r="B28" s="50">
        <v>46211</v>
      </c>
      <c r="C28" s="53" t="s">
        <v>261</v>
      </c>
      <c r="D28" s="144" t="s">
        <v>1187</v>
      </c>
      <c r="E28"/>
      <c r="F28" s="233">
        <f t="shared" si="0"/>
        <v>17000</v>
      </c>
      <c r="G28" s="237">
        <v>93.73</v>
      </c>
      <c r="H28" s="234">
        <f t="shared" si="1"/>
        <v>12380.240000000002</v>
      </c>
      <c r="I28" s="234">
        <f t="shared" si="2"/>
        <v>4619.76</v>
      </c>
      <c r="J28" s="235"/>
    </row>
    <row r="29" spans="1:10" s="223" customFormat="1" ht="12.75" customHeight="1" x14ac:dyDescent="0.25">
      <c r="A29" s="70" t="s">
        <v>1186</v>
      </c>
      <c r="B29" s="50">
        <v>46211</v>
      </c>
      <c r="C29" s="268">
        <v>9500</v>
      </c>
      <c r="D29" s="66" t="s">
        <v>1188</v>
      </c>
      <c r="E29"/>
      <c r="F29" s="233">
        <f t="shared" si="0"/>
        <v>17000</v>
      </c>
      <c r="G29" s="237">
        <v>1080.9000000000001</v>
      </c>
      <c r="H29" s="234">
        <f t="shared" si="1"/>
        <v>13461.140000000001</v>
      </c>
      <c r="I29" s="234">
        <f t="shared" si="2"/>
        <v>3538.86</v>
      </c>
      <c r="J29" s="235"/>
    </row>
    <row r="30" spans="1:10" s="223" customFormat="1" ht="12.75" customHeight="1" x14ac:dyDescent="0.2">
      <c r="A30" s="70" t="s">
        <v>1265</v>
      </c>
      <c r="B30" s="50">
        <v>46218</v>
      </c>
      <c r="C30" s="53" t="s">
        <v>261</v>
      </c>
      <c r="D30" s="144" t="s">
        <v>1266</v>
      </c>
      <c r="E30" s="233"/>
      <c r="F30" s="233">
        <f t="shared" si="0"/>
        <v>17000</v>
      </c>
      <c r="G30" s="237">
        <v>38</v>
      </c>
      <c r="H30" s="234">
        <f t="shared" si="1"/>
        <v>13499.140000000001</v>
      </c>
      <c r="I30" s="234">
        <f t="shared" si="2"/>
        <v>3500.86</v>
      </c>
      <c r="J30" s="235"/>
    </row>
    <row r="31" spans="1:10" s="223" customFormat="1" ht="12.75" customHeight="1" x14ac:dyDescent="0.2">
      <c r="A31" s="70" t="s">
        <v>1436</v>
      </c>
      <c r="B31" s="365">
        <v>46241</v>
      </c>
      <c r="C31" s="53" t="s">
        <v>261</v>
      </c>
      <c r="D31" s="144" t="s">
        <v>1437</v>
      </c>
      <c r="E31" s="233"/>
      <c r="F31" s="233">
        <f t="shared" si="0"/>
        <v>17000</v>
      </c>
      <c r="G31" s="237">
        <v>71.040000000000006</v>
      </c>
      <c r="H31" s="234">
        <f t="shared" si="1"/>
        <v>13570.180000000002</v>
      </c>
      <c r="I31" s="234">
        <f t="shared" si="2"/>
        <v>3429.82</v>
      </c>
      <c r="J31" s="235"/>
    </row>
    <row r="32" spans="1:10" s="223" customFormat="1" ht="12.75" customHeight="1" x14ac:dyDescent="0.2">
      <c r="A32" s="70" t="s">
        <v>1436</v>
      </c>
      <c r="B32" s="365">
        <v>46241</v>
      </c>
      <c r="C32" s="268">
        <v>9500</v>
      </c>
      <c r="D32" s="66" t="s">
        <v>1438</v>
      </c>
      <c r="E32" s="233"/>
      <c r="F32" s="233">
        <f t="shared" si="0"/>
        <v>17000</v>
      </c>
      <c r="G32" s="237">
        <v>768.2</v>
      </c>
      <c r="H32" s="234">
        <f t="shared" si="1"/>
        <v>14338.380000000003</v>
      </c>
      <c r="I32" s="234">
        <f t="shared" si="2"/>
        <v>2661.62</v>
      </c>
      <c r="J32" s="235"/>
    </row>
    <row r="33" spans="1:10" s="223" customFormat="1" ht="12.75" customHeight="1" x14ac:dyDescent="0.2">
      <c r="A33" s="70" t="s">
        <v>1531</v>
      </c>
      <c r="B33" s="365">
        <v>46272</v>
      </c>
      <c r="C33" s="53" t="s">
        <v>261</v>
      </c>
      <c r="D33" s="144" t="s">
        <v>1532</v>
      </c>
      <c r="E33" s="233"/>
      <c r="F33" s="233">
        <f t="shared" si="0"/>
        <v>17000</v>
      </c>
      <c r="G33" s="237">
        <v>78.040000000000006</v>
      </c>
      <c r="H33" s="234">
        <f t="shared" si="1"/>
        <v>14416.420000000004</v>
      </c>
      <c r="I33" s="234">
        <f t="shared" si="2"/>
        <v>2583.58</v>
      </c>
      <c r="J33" s="235"/>
    </row>
    <row r="34" spans="1:10" s="223" customFormat="1" ht="12.75" customHeight="1" x14ac:dyDescent="0.2">
      <c r="A34" s="70" t="s">
        <v>1531</v>
      </c>
      <c r="B34" s="365">
        <v>46272</v>
      </c>
      <c r="C34" s="268">
        <v>9500</v>
      </c>
      <c r="D34" s="66" t="s">
        <v>1533</v>
      </c>
      <c r="E34" s="233"/>
      <c r="F34" s="233">
        <f t="shared" si="0"/>
        <v>17000</v>
      </c>
      <c r="G34" s="237">
        <v>758.4</v>
      </c>
      <c r="H34" s="234">
        <f t="shared" si="1"/>
        <v>15174.820000000003</v>
      </c>
      <c r="I34" s="234">
        <f t="shared" si="2"/>
        <v>1825.1799999999998</v>
      </c>
      <c r="J34" s="235"/>
    </row>
    <row r="35" spans="1:10" s="223" customFormat="1" ht="12.75" customHeight="1" x14ac:dyDescent="0.2">
      <c r="A35" s="70"/>
      <c r="B35" s="365"/>
      <c r="C35" s="268"/>
      <c r="D35" s="66"/>
      <c r="E35" s="233"/>
      <c r="F35" s="233">
        <f t="shared" si="0"/>
        <v>17000</v>
      </c>
      <c r="G35" s="237"/>
      <c r="H35" s="234">
        <f t="shared" si="1"/>
        <v>15174.820000000003</v>
      </c>
      <c r="I35" s="234">
        <f t="shared" si="2"/>
        <v>1825.1799999999998</v>
      </c>
      <c r="J35" s="235"/>
    </row>
    <row r="36" spans="1:10" s="223" customFormat="1" ht="12.75" customHeight="1" x14ac:dyDescent="0.2">
      <c r="A36" s="70"/>
      <c r="B36" s="365"/>
      <c r="C36" s="268"/>
      <c r="D36" s="66"/>
      <c r="E36" s="233"/>
      <c r="F36" s="233">
        <f t="shared" si="0"/>
        <v>17000</v>
      </c>
      <c r="G36" s="237"/>
      <c r="H36" s="234">
        <f t="shared" si="1"/>
        <v>15174.820000000003</v>
      </c>
      <c r="I36" s="234">
        <f t="shared" si="2"/>
        <v>1825.1799999999998</v>
      </c>
      <c r="J36" s="235"/>
    </row>
    <row r="37" spans="1:10" s="223" customFormat="1" ht="12.75" customHeight="1" x14ac:dyDescent="0.2">
      <c r="A37" s="70"/>
      <c r="B37" s="50"/>
      <c r="C37" s="53"/>
      <c r="D37" s="144"/>
      <c r="E37" s="233"/>
      <c r="F37" s="233">
        <f t="shared" si="0"/>
        <v>17000</v>
      </c>
      <c r="G37" s="237"/>
      <c r="H37" s="234">
        <f t="shared" si="1"/>
        <v>15174.820000000003</v>
      </c>
      <c r="I37" s="234">
        <f t="shared" si="2"/>
        <v>1825.1799999999998</v>
      </c>
      <c r="J37" s="235"/>
    </row>
    <row r="38" spans="1:10" s="223" customFormat="1" ht="12.75" customHeight="1" x14ac:dyDescent="0.25">
      <c r="A38" s="230"/>
      <c r="B38" s="231"/>
      <c r="C38" s="241"/>
      <c r="D38" s="240"/>
      <c r="E38" s="234"/>
      <c r="F38" s="234"/>
      <c r="G38" s="234"/>
      <c r="H38" s="234"/>
      <c r="I38" s="234"/>
      <c r="J38" s="235"/>
    </row>
    <row r="39" spans="1:10" s="223" customFormat="1" ht="12.75" customHeight="1" thickBot="1" x14ac:dyDescent="0.3">
      <c r="A39" s="230"/>
      <c r="B39" s="243"/>
      <c r="C39" s="241"/>
      <c r="D39" s="244" t="s">
        <v>24</v>
      </c>
      <c r="E39" s="245">
        <f>SUM(E9:E38)</f>
        <v>17000</v>
      </c>
      <c r="F39" s="245"/>
      <c r="G39" s="245">
        <f>SUM(G9:G38)</f>
        <v>15174.820000000003</v>
      </c>
      <c r="H39" s="245"/>
      <c r="I39" s="245">
        <f>E39-G39</f>
        <v>1825.1799999999967</v>
      </c>
      <c r="J39" s="235"/>
    </row>
    <row r="40" spans="1:10" s="223" customFormat="1" ht="12.75" customHeight="1" thickTop="1" x14ac:dyDescent="0.25"/>
    <row r="41" spans="1:10" s="223" customFormat="1" ht="12.75" customHeight="1" x14ac:dyDescent="0.25"/>
    <row r="42" spans="1:10" s="223" customFormat="1" ht="12.75" customHeight="1" x14ac:dyDescent="0.25"/>
    <row r="43" spans="1:10" s="223" customFormat="1" ht="12.75" customHeight="1" x14ac:dyDescent="0.25"/>
  </sheetData>
  <pageMargins left="0.25" right="0.25" top="0.95" bottom="0.75" header="0.09" footer="0.3"/>
  <pageSetup scale="6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28F50-604C-45A4-B2D7-8E1338977E45}">
  <sheetPr>
    <pageSetUpPr fitToPage="1"/>
  </sheetPr>
  <dimension ref="A1:H23"/>
  <sheetViews>
    <sheetView zoomScaleNormal="100" workbookViewId="0">
      <selection activeCell="A15" sqref="A15"/>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710937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#9511.00'!B1</f>
        <v>DPS P13 Upper Parking Lot Replacement</v>
      </c>
      <c r="B1" s="3"/>
      <c r="C1" s="3"/>
      <c r="D1" s="3"/>
      <c r="E1" s="4"/>
      <c r="F1" s="4"/>
      <c r="G1" s="4"/>
      <c r="H1" s="28"/>
    </row>
    <row r="2" spans="1:8" ht="15.75" x14ac:dyDescent="0.25">
      <c r="A2" s="6" t="str">
        <f>'RECAP #9511.00'!B2</f>
        <v>Project # 9511.00</v>
      </c>
      <c r="B2" s="5"/>
      <c r="C2" s="5"/>
      <c r="D2" s="5"/>
      <c r="E2" s="4"/>
      <c r="F2" s="4"/>
      <c r="G2" s="4"/>
      <c r="H2" s="28"/>
    </row>
    <row r="3" spans="1:8" ht="15.75" x14ac:dyDescent="0.25">
      <c r="A3" s="7" t="str">
        <f>'RECAP #9511.00'!B3</f>
        <v>Program code 951100</v>
      </c>
      <c r="B3" s="5"/>
      <c r="C3" s="5"/>
      <c r="D3" s="5"/>
      <c r="E3" s="8" t="str">
        <f>'RECAP #9511.00'!E3</f>
        <v>Major Program 4E12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540</v>
      </c>
      <c r="F6" s="35"/>
      <c r="G6" s="38"/>
      <c r="H6" s="39"/>
    </row>
    <row r="7" spans="1:8" ht="15.75" x14ac:dyDescent="0.25">
      <c r="A7" s="11" t="str">
        <f>'RECAP #9511.00'!B6</f>
        <v>Project Manager - Brandon A.</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1065</v>
      </c>
      <c r="B9" s="177">
        <v>46191</v>
      </c>
      <c r="C9" s="241" t="s">
        <v>361</v>
      </c>
      <c r="D9" s="241" t="s">
        <v>362</v>
      </c>
      <c r="E9" s="38" t="s">
        <v>368</v>
      </c>
      <c r="F9" s="259" t="s">
        <v>1064</v>
      </c>
      <c r="G9" s="237">
        <v>200</v>
      </c>
      <c r="H9" s="260">
        <f>G9</f>
        <v>200</v>
      </c>
    </row>
    <row r="10" spans="1:8" s="223" customFormat="1" ht="12.75" customHeight="1" x14ac:dyDescent="0.25">
      <c r="A10" s="241"/>
      <c r="B10" s="177"/>
      <c r="C10" s="240"/>
      <c r="D10" s="240"/>
      <c r="E10" s="258"/>
      <c r="F10" s="252"/>
      <c r="G10" s="260"/>
      <c r="H10" s="260">
        <f>H9+G10</f>
        <v>200</v>
      </c>
    </row>
    <row r="11" spans="1:8" s="223" customFormat="1" ht="12.75" customHeight="1" x14ac:dyDescent="0.25">
      <c r="A11" s="241"/>
      <c r="B11" s="177"/>
      <c r="C11" s="177"/>
      <c r="D11" s="177"/>
      <c r="E11" s="258"/>
      <c r="F11" s="252"/>
      <c r="G11" s="260"/>
      <c r="H11" s="260">
        <f t="shared" ref="H11:H20" si="0">H10+G11</f>
        <v>200</v>
      </c>
    </row>
    <row r="12" spans="1:8" s="223" customFormat="1" ht="12.75" customHeight="1" x14ac:dyDescent="0.25">
      <c r="A12" s="241" t="s">
        <v>2</v>
      </c>
      <c r="B12" s="177" t="s">
        <v>2</v>
      </c>
      <c r="C12" s="177"/>
      <c r="D12" s="177"/>
      <c r="E12" s="258" t="s">
        <v>2</v>
      </c>
      <c r="F12" s="252"/>
      <c r="G12" s="260"/>
      <c r="H12" s="260">
        <f t="shared" si="0"/>
        <v>200</v>
      </c>
    </row>
    <row r="13" spans="1:8" s="223" customFormat="1" ht="12.75" customHeight="1" x14ac:dyDescent="0.25">
      <c r="A13" s="241" t="s">
        <v>2</v>
      </c>
      <c r="B13" s="177" t="s">
        <v>2</v>
      </c>
      <c r="C13" s="177"/>
      <c r="D13" s="177"/>
      <c r="E13" s="258" t="s">
        <v>301</v>
      </c>
      <c r="F13" s="252"/>
      <c r="G13" s="260"/>
      <c r="H13" s="260">
        <f t="shared" si="0"/>
        <v>200</v>
      </c>
    </row>
    <row r="14" spans="1:8" s="223" customFormat="1" ht="12.75" customHeight="1" x14ac:dyDescent="0.25">
      <c r="A14" s="241"/>
      <c r="B14" s="177"/>
      <c r="C14" s="177"/>
      <c r="D14" s="177"/>
      <c r="E14" s="258"/>
      <c r="F14" s="252"/>
      <c r="G14" s="260"/>
      <c r="H14" s="260">
        <f t="shared" si="0"/>
        <v>200</v>
      </c>
    </row>
    <row r="15" spans="1:8" s="223" customFormat="1" ht="12.75" customHeight="1" x14ac:dyDescent="0.25">
      <c r="A15" s="241"/>
      <c r="B15" s="177"/>
      <c r="C15" s="177"/>
      <c r="D15" s="177"/>
      <c r="E15" s="261"/>
      <c r="F15" s="252"/>
      <c r="G15" s="260"/>
      <c r="H15" s="260">
        <f t="shared" si="0"/>
        <v>200</v>
      </c>
    </row>
    <row r="16" spans="1:8" s="223" customFormat="1" ht="12.75" customHeight="1" x14ac:dyDescent="0.25">
      <c r="A16" s="241"/>
      <c r="B16" s="177"/>
      <c r="C16" s="177"/>
      <c r="D16" s="177"/>
      <c r="E16" s="258"/>
      <c r="F16" s="252"/>
      <c r="G16" s="260"/>
      <c r="H16" s="260">
        <f t="shared" si="0"/>
        <v>200</v>
      </c>
    </row>
    <row r="17" spans="1:8" s="223" customFormat="1" ht="12.75" customHeight="1" x14ac:dyDescent="0.25">
      <c r="A17" s="230"/>
      <c r="B17" s="177"/>
      <c r="C17" s="177"/>
      <c r="D17" s="177"/>
      <c r="E17" s="258"/>
      <c r="F17" s="252"/>
      <c r="G17" s="260"/>
      <c r="H17" s="260">
        <f t="shared" si="0"/>
        <v>200</v>
      </c>
    </row>
    <row r="18" spans="1:8" s="223" customFormat="1" ht="12.75" customHeight="1" x14ac:dyDescent="0.25">
      <c r="A18" s="230"/>
      <c r="B18" s="177"/>
      <c r="C18" s="177"/>
      <c r="D18" s="177"/>
      <c r="E18" s="258"/>
      <c r="F18" s="252"/>
      <c r="G18" s="260"/>
      <c r="H18" s="260">
        <f t="shared" si="0"/>
        <v>200</v>
      </c>
    </row>
    <row r="19" spans="1:8" s="223" customFormat="1" ht="12.75" customHeight="1" x14ac:dyDescent="0.25">
      <c r="A19" s="230"/>
      <c r="B19" s="177"/>
      <c r="C19" s="177"/>
      <c r="D19" s="177"/>
      <c r="E19" s="258"/>
      <c r="F19" s="252"/>
      <c r="G19" s="260"/>
      <c r="H19" s="260">
        <f t="shared" si="0"/>
        <v>200</v>
      </c>
    </row>
    <row r="20" spans="1:8" s="223" customFormat="1" ht="12.75" customHeight="1" x14ac:dyDescent="0.25">
      <c r="A20" s="230"/>
      <c r="B20" s="177"/>
      <c r="C20" s="177"/>
      <c r="D20" s="177"/>
      <c r="E20" s="258"/>
      <c r="F20" s="252"/>
      <c r="G20" s="260"/>
      <c r="H20" s="260">
        <f t="shared" si="0"/>
        <v>200</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200</v>
      </c>
      <c r="H22" s="265"/>
    </row>
    <row r="23" spans="1:8" s="223" customFormat="1" ht="12.75" customHeight="1" thickTop="1" x14ac:dyDescent="0.25"/>
  </sheetData>
  <pageMargins left="0.25" right="0.25" top="0.95" bottom="0.75" header="0.09" footer="0.3"/>
  <pageSetup scale="7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95BA0-C769-4915-9A92-147FD09839CC}">
  <sheetPr>
    <pageSetUpPr fitToPage="1"/>
  </sheetPr>
  <dimension ref="A1:I32"/>
  <sheetViews>
    <sheetView zoomScaleNormal="100" workbookViewId="0">
      <selection activeCell="M22" sqref="M22"/>
    </sheetView>
  </sheetViews>
  <sheetFormatPr defaultColWidth="11.42578125" defaultRowHeight="15" customHeight="1" x14ac:dyDescent="0.25"/>
  <cols>
    <col min="1" max="1" width="24.5703125" customWidth="1"/>
    <col min="2" max="2" width="9.42578125" customWidth="1"/>
    <col min="3" max="3" width="23.140625" bestFit="1" customWidth="1"/>
    <col min="4" max="4" width="14.42578125" customWidth="1"/>
    <col min="5" max="5" width="13.5703125" customWidth="1"/>
    <col min="6" max="6" width="12.42578125" customWidth="1"/>
    <col min="7" max="7" width="10.5703125" customWidth="1"/>
    <col min="8" max="8" width="15.71093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#9511.00'!B1</f>
        <v>DPS P13 Upper Parking Lot Replacement</v>
      </c>
      <c r="B1" s="3"/>
      <c r="C1" s="4"/>
      <c r="D1" s="4"/>
      <c r="E1" s="4"/>
      <c r="F1" s="28"/>
      <c r="G1" s="28"/>
      <c r="H1" s="29"/>
      <c r="I1" s="29"/>
    </row>
    <row r="2" spans="1:9" ht="15.75" x14ac:dyDescent="0.25">
      <c r="A2" s="6" t="str">
        <f>'RECAP #9511.00'!B2</f>
        <v>Project # 9511.00</v>
      </c>
      <c r="B2" s="5"/>
      <c r="C2" s="4"/>
      <c r="D2" s="4"/>
      <c r="E2" s="4"/>
      <c r="F2" s="28"/>
      <c r="G2" s="28"/>
      <c r="H2" s="29"/>
      <c r="I2" s="29"/>
    </row>
    <row r="3" spans="1:9" ht="15.75" x14ac:dyDescent="0.25">
      <c r="A3" s="7" t="str">
        <f>'RECAP #9511.00'!B3</f>
        <v>Program code 951100</v>
      </c>
      <c r="B3" s="5"/>
      <c r="C3" s="4"/>
      <c r="D3" s="8" t="str">
        <f>'RECAP #9511.00'!E3</f>
        <v>Major Program 4E12</v>
      </c>
      <c r="E3" s="4"/>
      <c r="F3" s="28"/>
      <c r="G3" s="28"/>
      <c r="H3" s="29"/>
      <c r="I3" s="29"/>
    </row>
    <row r="4" spans="1:9" ht="15.75" x14ac:dyDescent="0.25">
      <c r="A4" s="30" t="s">
        <v>536</v>
      </c>
      <c r="B4" s="31"/>
      <c r="C4" s="32"/>
      <c r="D4" s="33" t="s">
        <v>537</v>
      </c>
      <c r="E4" s="28"/>
      <c r="F4" s="28"/>
      <c r="G4" s="28"/>
      <c r="H4" s="29"/>
      <c r="I4" s="29"/>
    </row>
    <row r="5" spans="1:9" ht="15.75" x14ac:dyDescent="0.25">
      <c r="A5" s="34" t="s">
        <v>115</v>
      </c>
      <c r="B5" s="35"/>
      <c r="C5" s="36"/>
      <c r="D5" s="37" t="s">
        <v>538</v>
      </c>
      <c r="E5" s="38"/>
      <c r="F5" s="39"/>
      <c r="G5" s="39"/>
      <c r="H5" s="35"/>
      <c r="I5" s="29"/>
    </row>
    <row r="6" spans="1:9" ht="15.75" x14ac:dyDescent="0.25">
      <c r="A6" s="11" t="str">
        <f>'RECAP #9511.00'!B6</f>
        <v>Project Manager - Brandon A.</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539</v>
      </c>
      <c r="B9" s="177">
        <v>46057</v>
      </c>
      <c r="C9" s="231" t="s">
        <v>109</v>
      </c>
      <c r="D9" s="232">
        <v>35303</v>
      </c>
      <c r="E9" s="233">
        <f>D9</f>
        <v>35303</v>
      </c>
      <c r="F9" s="234"/>
      <c r="G9" s="234"/>
      <c r="H9" s="234">
        <f>E9</f>
        <v>35303</v>
      </c>
      <c r="I9" s="235"/>
    </row>
    <row r="10" spans="1:9" s="223" customFormat="1" ht="12.75" customHeight="1" x14ac:dyDescent="0.25">
      <c r="A10" s="230" t="s">
        <v>693</v>
      </c>
      <c r="B10" s="236">
        <v>46104</v>
      </c>
      <c r="C10" s="231" t="s">
        <v>694</v>
      </c>
      <c r="D10" s="233"/>
      <c r="E10" s="233">
        <f t="shared" ref="E10:E21" si="0">E9+D10</f>
        <v>35303</v>
      </c>
      <c r="F10" s="237">
        <v>9019.5</v>
      </c>
      <c r="G10" s="234">
        <f t="shared" ref="G10:G21" si="1">G9+F10</f>
        <v>9019.5</v>
      </c>
      <c r="H10" s="234">
        <f t="shared" ref="H10:H21" si="2">H9-F10+D10</f>
        <v>26283.5</v>
      </c>
      <c r="I10" s="235"/>
    </row>
    <row r="11" spans="1:9" s="223" customFormat="1" ht="12.75" customHeight="1" x14ac:dyDescent="0.25">
      <c r="A11" s="230" t="s">
        <v>757</v>
      </c>
      <c r="B11" s="177">
        <v>46121</v>
      </c>
      <c r="C11" s="231" t="s">
        <v>758</v>
      </c>
      <c r="D11" s="233"/>
      <c r="E11" s="233">
        <f t="shared" si="0"/>
        <v>35303</v>
      </c>
      <c r="F11" s="237">
        <v>10110.5</v>
      </c>
      <c r="G11" s="234">
        <f t="shared" si="1"/>
        <v>19130</v>
      </c>
      <c r="H11" s="234">
        <f t="shared" si="2"/>
        <v>16173</v>
      </c>
      <c r="I11" s="235"/>
    </row>
    <row r="12" spans="1:9" s="223" customFormat="1" ht="12.75" customHeight="1" x14ac:dyDescent="0.25">
      <c r="A12" s="230" t="s">
        <v>882</v>
      </c>
      <c r="B12" s="177">
        <v>46161</v>
      </c>
      <c r="C12" s="231" t="s">
        <v>883</v>
      </c>
      <c r="D12" s="233"/>
      <c r="E12" s="233">
        <f t="shared" si="0"/>
        <v>35303</v>
      </c>
      <c r="F12" s="237">
        <v>2368</v>
      </c>
      <c r="G12" s="234">
        <f t="shared" si="1"/>
        <v>21498</v>
      </c>
      <c r="H12" s="234">
        <f t="shared" si="2"/>
        <v>13805</v>
      </c>
      <c r="I12" s="235"/>
    </row>
    <row r="13" spans="1:9" s="223" customFormat="1" ht="12.75" customHeight="1" x14ac:dyDescent="0.25">
      <c r="A13" s="230" t="s">
        <v>1080</v>
      </c>
      <c r="B13" s="177">
        <v>46192</v>
      </c>
      <c r="C13" s="231" t="s">
        <v>1081</v>
      </c>
      <c r="D13" s="233"/>
      <c r="E13" s="233">
        <f t="shared" si="0"/>
        <v>35303</v>
      </c>
      <c r="F13" s="237">
        <v>2227</v>
      </c>
      <c r="G13" s="234">
        <f t="shared" si="1"/>
        <v>23725</v>
      </c>
      <c r="H13" s="234">
        <f t="shared" si="2"/>
        <v>11578</v>
      </c>
      <c r="I13" s="235"/>
    </row>
    <row r="14" spans="1:9" s="223" customFormat="1" ht="12.75" customHeight="1" x14ac:dyDescent="0.25">
      <c r="A14" s="328" t="s">
        <v>1215</v>
      </c>
      <c r="B14" s="329">
        <v>46216</v>
      </c>
      <c r="C14" s="330" t="s">
        <v>1216</v>
      </c>
      <c r="D14" s="331"/>
      <c r="E14" s="331">
        <f t="shared" si="0"/>
        <v>35303</v>
      </c>
      <c r="F14" s="338">
        <v>1157.8</v>
      </c>
      <c r="G14" s="332">
        <f t="shared" si="1"/>
        <v>24882.799999999999</v>
      </c>
      <c r="H14" s="332">
        <f t="shared" si="2"/>
        <v>10420.200000000001</v>
      </c>
      <c r="I14" s="333" t="s">
        <v>1285</v>
      </c>
    </row>
    <row r="15" spans="1:9" s="223" customFormat="1" ht="12.75" customHeight="1" x14ac:dyDescent="0.25">
      <c r="A15" s="230" t="s">
        <v>1325</v>
      </c>
      <c r="B15" s="177">
        <v>46225</v>
      </c>
      <c r="C15" s="231" t="s">
        <v>1286</v>
      </c>
      <c r="D15" s="232">
        <v>0</v>
      </c>
      <c r="E15" s="233">
        <f t="shared" si="0"/>
        <v>35303</v>
      </c>
      <c r="F15" s="238"/>
      <c r="G15" s="234">
        <f t="shared" si="1"/>
        <v>24882.799999999999</v>
      </c>
      <c r="H15" s="234">
        <f t="shared" si="2"/>
        <v>10420.200000000001</v>
      </c>
      <c r="I15" s="235"/>
    </row>
    <row r="16" spans="1:9" s="223" customFormat="1" ht="12.75" customHeight="1" x14ac:dyDescent="0.25">
      <c r="A16" s="230" t="s">
        <v>1482</v>
      </c>
      <c r="B16" s="177">
        <v>46255</v>
      </c>
      <c r="C16" s="231" t="s">
        <v>1483</v>
      </c>
      <c r="D16" s="233"/>
      <c r="E16" s="233">
        <f t="shared" si="0"/>
        <v>35303</v>
      </c>
      <c r="F16" s="237">
        <v>1157.8</v>
      </c>
      <c r="G16" s="234">
        <f t="shared" si="1"/>
        <v>26040.6</v>
      </c>
      <c r="H16" s="234">
        <f t="shared" si="2"/>
        <v>9262.4000000000015</v>
      </c>
      <c r="I16" s="235"/>
    </row>
    <row r="17" spans="1:9" s="223" customFormat="1" ht="12.75" customHeight="1" x14ac:dyDescent="0.25">
      <c r="A17" s="230"/>
      <c r="B17" s="177"/>
      <c r="C17" s="231"/>
      <c r="D17" s="233"/>
      <c r="E17" s="233">
        <f t="shared" si="0"/>
        <v>35303</v>
      </c>
      <c r="F17" s="238"/>
      <c r="G17" s="234">
        <f t="shared" si="1"/>
        <v>26040.6</v>
      </c>
      <c r="H17" s="234">
        <f t="shared" si="2"/>
        <v>9262.4000000000015</v>
      </c>
      <c r="I17" s="235"/>
    </row>
    <row r="18" spans="1:9" s="223" customFormat="1" ht="12.75" customHeight="1" x14ac:dyDescent="0.25">
      <c r="A18" s="230"/>
      <c r="B18" s="177"/>
      <c r="C18" s="231"/>
      <c r="D18" s="233"/>
      <c r="E18" s="233">
        <f t="shared" si="0"/>
        <v>35303</v>
      </c>
      <c r="F18" s="238"/>
      <c r="G18" s="234">
        <f t="shared" si="1"/>
        <v>26040.6</v>
      </c>
      <c r="H18" s="234">
        <f t="shared" si="2"/>
        <v>9262.4000000000015</v>
      </c>
      <c r="I18" s="235"/>
    </row>
    <row r="19" spans="1:9" s="223" customFormat="1" ht="12.75" customHeight="1" x14ac:dyDescent="0.25">
      <c r="A19" s="230"/>
      <c r="B19" s="177"/>
      <c r="C19" s="231"/>
      <c r="D19" s="233"/>
      <c r="E19" s="233">
        <f t="shared" si="0"/>
        <v>35303</v>
      </c>
      <c r="F19" s="234"/>
      <c r="G19" s="234">
        <f t="shared" si="1"/>
        <v>26040.6</v>
      </c>
      <c r="H19" s="234">
        <f t="shared" si="2"/>
        <v>9262.4000000000015</v>
      </c>
      <c r="I19" s="235"/>
    </row>
    <row r="20" spans="1:9" s="223" customFormat="1" ht="12.75" customHeight="1" x14ac:dyDescent="0.25">
      <c r="A20" s="230"/>
      <c r="B20" s="177"/>
      <c r="C20" s="231"/>
      <c r="D20" s="233"/>
      <c r="E20" s="233">
        <f t="shared" si="0"/>
        <v>35303</v>
      </c>
      <c r="F20" s="234"/>
      <c r="G20" s="234">
        <f t="shared" si="1"/>
        <v>26040.6</v>
      </c>
      <c r="H20" s="234">
        <f t="shared" si="2"/>
        <v>9262.4000000000015</v>
      </c>
      <c r="I20" s="235"/>
    </row>
    <row r="21" spans="1:9" s="223" customFormat="1" ht="12.75" customHeight="1" x14ac:dyDescent="0.25">
      <c r="A21" s="230"/>
      <c r="B21" s="177"/>
      <c r="C21" s="239"/>
      <c r="D21" s="233"/>
      <c r="E21" s="233">
        <f t="shared" si="0"/>
        <v>35303</v>
      </c>
      <c r="F21" s="234"/>
      <c r="G21" s="234">
        <f t="shared" si="1"/>
        <v>26040.6</v>
      </c>
      <c r="H21" s="234">
        <f t="shared" si="2"/>
        <v>9262.4000000000015</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35303</v>
      </c>
      <c r="E23" s="245"/>
      <c r="F23" s="245">
        <f>SUM(F9:F22)</f>
        <v>26040.6</v>
      </c>
      <c r="G23" s="245"/>
      <c r="H23" s="245">
        <f>D23-F23</f>
        <v>9262.4000000000015</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t="s">
        <v>299</v>
      </c>
      <c r="D26" s="234">
        <v>12026</v>
      </c>
      <c r="E26" s="234"/>
      <c r="F26" s="234">
        <f>9019.5+3006.5</f>
        <v>12026</v>
      </c>
      <c r="G26" s="234"/>
      <c r="H26" s="234">
        <f>D26-F26</f>
        <v>0</v>
      </c>
      <c r="I26" s="235"/>
    </row>
    <row r="27" spans="1:9" s="223" customFormat="1" ht="12.75" customHeight="1" x14ac:dyDescent="0.25">
      <c r="A27" s="230"/>
      <c r="B27" s="231"/>
      <c r="C27" s="240" t="s">
        <v>121</v>
      </c>
      <c r="D27" s="234">
        <v>9472</v>
      </c>
      <c r="E27" s="234"/>
      <c r="F27" s="234">
        <f>7104+2368</f>
        <v>9472</v>
      </c>
      <c r="G27" s="234"/>
      <c r="H27" s="234">
        <f>D27-F27</f>
        <v>0</v>
      </c>
      <c r="I27" s="235"/>
    </row>
    <row r="28" spans="1:9" s="223" customFormat="1" ht="12.75" customHeight="1" x14ac:dyDescent="0.25">
      <c r="A28" s="230"/>
      <c r="B28" s="231"/>
      <c r="C28" s="253" t="s">
        <v>300</v>
      </c>
      <c r="D28" s="254">
        <v>2227</v>
      </c>
      <c r="E28" s="254"/>
      <c r="F28" s="254">
        <f>2227</f>
        <v>2227</v>
      </c>
      <c r="G28" s="254"/>
      <c r="H28" s="234">
        <f>D28-F28</f>
        <v>0</v>
      </c>
      <c r="I28" s="235"/>
    </row>
    <row r="29" spans="1:9" s="223" customFormat="1" ht="12.75" customHeight="1" x14ac:dyDescent="0.25">
      <c r="A29" s="230"/>
      <c r="B29" s="231"/>
      <c r="C29" s="253" t="s">
        <v>122</v>
      </c>
      <c r="D29" s="254">
        <v>11578</v>
      </c>
      <c r="E29" s="254"/>
      <c r="F29" s="254">
        <f>1157.8+1157.8</f>
        <v>2315.6</v>
      </c>
      <c r="G29" s="254"/>
      <c r="H29" s="234">
        <f>D29-F29</f>
        <v>9262.4</v>
      </c>
      <c r="I29" s="235"/>
    </row>
    <row r="30" spans="1:9" s="223" customFormat="1" ht="12.75" customHeight="1" thickBot="1" x14ac:dyDescent="0.3">
      <c r="A30" s="230"/>
      <c r="B30" s="231"/>
      <c r="C30" s="255" t="s">
        <v>67</v>
      </c>
      <c r="D30" s="256">
        <f>SUM(D26:D29)</f>
        <v>35303</v>
      </c>
      <c r="E30" s="257"/>
      <c r="F30" s="256">
        <f>SUM(F26:F29)</f>
        <v>26040.6</v>
      </c>
      <c r="G30" s="257"/>
      <c r="H30" s="256">
        <f>SUM(H26:H29)</f>
        <v>9262.4</v>
      </c>
      <c r="I30" s="235"/>
    </row>
    <row r="31" spans="1:9" s="223" customFormat="1" ht="12.75" customHeight="1" thickTop="1" x14ac:dyDescent="0.25"/>
    <row r="32" spans="1:9" s="223" customFormat="1" ht="12.75" customHeight="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1A4FD-D2EC-4748-BD9B-A8FF25848ADE}">
  <sheetPr>
    <tabColor rgb="FF0070C0"/>
    <pageSetUpPr fitToPage="1"/>
  </sheetPr>
  <dimension ref="A1:I36"/>
  <sheetViews>
    <sheetView zoomScaleNormal="100" workbookViewId="0">
      <selection activeCell="B13" sqref="B13:D13"/>
    </sheetView>
  </sheetViews>
  <sheetFormatPr defaultColWidth="11.42578125" defaultRowHeight="15" customHeight="1" x14ac:dyDescent="0.25"/>
  <cols>
    <col min="1" max="1" width="24.5703125" style="274" customWidth="1"/>
    <col min="2" max="2" width="9.42578125" style="274" customWidth="1"/>
    <col min="3" max="3" width="35.140625" style="274" customWidth="1"/>
    <col min="4" max="4" width="14.42578125" style="274" customWidth="1"/>
    <col min="5" max="5" width="13.5703125" style="274" customWidth="1"/>
    <col min="6" max="6" width="12.42578125" style="274" customWidth="1"/>
    <col min="7" max="7" width="10.5703125" style="274" customWidth="1"/>
    <col min="8" max="8" width="15.7109375" style="274"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#9511.00'!B1</f>
        <v>DPS P13 Upper Parking Lot Replacement</v>
      </c>
      <c r="B1" s="30"/>
      <c r="C1" s="153"/>
      <c r="D1" s="153"/>
      <c r="E1" s="153"/>
      <c r="F1" s="156"/>
      <c r="G1" s="156"/>
      <c r="H1" s="179"/>
      <c r="I1" s="179"/>
    </row>
    <row r="2" spans="1:9" ht="15.75" x14ac:dyDescent="0.25">
      <c r="A2" s="31" t="str">
        <f>'RECAP #9511.00'!B2</f>
        <v>Project # 9511.00</v>
      </c>
      <c r="B2" s="150"/>
      <c r="C2" s="153"/>
      <c r="D2" s="153"/>
      <c r="E2" s="153"/>
      <c r="F2" s="156"/>
      <c r="G2" s="156"/>
      <c r="H2" s="179"/>
      <c r="I2" s="179"/>
    </row>
    <row r="3" spans="1:9" ht="15.75" x14ac:dyDescent="0.25">
      <c r="A3" s="154" t="str">
        <f>'RECAP #9511.00'!B3</f>
        <v>Program code 951100</v>
      </c>
      <c r="B3" s="150"/>
      <c r="C3" s="153"/>
      <c r="D3" s="155" t="str">
        <f>'RECAP #9511.00'!E3</f>
        <v>Major Program 4E12</v>
      </c>
      <c r="E3" s="153"/>
      <c r="F3" s="156"/>
      <c r="G3" s="156"/>
      <c r="H3" s="179"/>
      <c r="I3" s="179"/>
    </row>
    <row r="4" spans="1:9" ht="15.75" x14ac:dyDescent="0.25">
      <c r="A4" s="30" t="s">
        <v>567</v>
      </c>
      <c r="B4" s="31"/>
      <c r="C4" s="179"/>
      <c r="D4" s="180" t="s">
        <v>569</v>
      </c>
      <c r="E4" s="156"/>
      <c r="F4" s="156"/>
      <c r="G4" s="156"/>
      <c r="H4" s="179"/>
      <c r="I4" s="179"/>
    </row>
    <row r="5" spans="1:9" ht="15.75" x14ac:dyDescent="0.25">
      <c r="A5" s="181" t="s">
        <v>115</v>
      </c>
      <c r="B5" s="179"/>
      <c r="C5" s="182"/>
      <c r="D5" s="37" t="s">
        <v>568</v>
      </c>
      <c r="E5" s="42"/>
      <c r="F5" s="156"/>
      <c r="G5" s="156"/>
      <c r="H5" s="179"/>
      <c r="I5" s="179"/>
    </row>
    <row r="6" spans="1:9" ht="15.75" x14ac:dyDescent="0.25">
      <c r="A6" s="31" t="str">
        <f>'RECAP #9511.00'!B6</f>
        <v>Project Manager - Brandon A.</v>
      </c>
      <c r="B6" s="31"/>
      <c r="C6" s="183"/>
      <c r="D6" s="184" t="s">
        <v>118</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618</v>
      </c>
      <c r="B9" s="276">
        <v>46084</v>
      </c>
      <c r="C9" s="277" t="s">
        <v>619</v>
      </c>
      <c r="D9" s="278">
        <v>5825</v>
      </c>
      <c r="E9" s="279">
        <f>D9</f>
        <v>5825</v>
      </c>
      <c r="F9" s="280"/>
      <c r="G9" s="280"/>
      <c r="H9" s="280">
        <f>E9</f>
        <v>5825</v>
      </c>
      <c r="I9" s="281"/>
    </row>
    <row r="10" spans="1:9" s="282" customFormat="1" ht="12.75" customHeight="1" x14ac:dyDescent="0.25">
      <c r="A10" s="275" t="s">
        <v>618</v>
      </c>
      <c r="B10" s="283">
        <v>46162</v>
      </c>
      <c r="C10" s="277" t="s">
        <v>468</v>
      </c>
      <c r="D10" s="285">
        <v>-1014.5</v>
      </c>
      <c r="E10" s="279">
        <f t="shared" ref="E10:E21" si="0">E9+D10</f>
        <v>4810.5</v>
      </c>
      <c r="F10" s="284"/>
      <c r="G10" s="280">
        <f t="shared" ref="G10:G21" si="1">G9+F10</f>
        <v>0</v>
      </c>
      <c r="H10" s="280">
        <f t="shared" ref="H10:H21" si="2">H9-F10+D10</f>
        <v>4810.5</v>
      </c>
      <c r="I10" s="281"/>
    </row>
    <row r="11" spans="1:9" s="282" customFormat="1" ht="12.75" customHeight="1" x14ac:dyDescent="0.25">
      <c r="A11" s="275" t="s">
        <v>958</v>
      </c>
      <c r="B11" s="276">
        <v>46171</v>
      </c>
      <c r="C11" s="277" t="s">
        <v>959</v>
      </c>
      <c r="D11" s="279"/>
      <c r="E11" s="279">
        <f t="shared" si="0"/>
        <v>4810.5</v>
      </c>
      <c r="F11" s="284">
        <v>4810.5</v>
      </c>
      <c r="G11" s="280">
        <f t="shared" si="1"/>
        <v>4810.5</v>
      </c>
      <c r="H11" s="280">
        <f t="shared" si="2"/>
        <v>0</v>
      </c>
      <c r="I11" s="281"/>
    </row>
    <row r="12" spans="1:9" s="282" customFormat="1" ht="12.75" customHeight="1" x14ac:dyDescent="0.25">
      <c r="A12" s="275"/>
      <c r="B12" s="276"/>
      <c r="C12" s="277"/>
      <c r="D12" s="279"/>
      <c r="E12" s="279">
        <f t="shared" si="0"/>
        <v>4810.5</v>
      </c>
      <c r="F12" s="284"/>
      <c r="G12" s="280">
        <f t="shared" si="1"/>
        <v>4810.5</v>
      </c>
      <c r="H12" s="280">
        <f t="shared" si="2"/>
        <v>0</v>
      </c>
      <c r="I12" s="281"/>
    </row>
    <row r="13" spans="1:9" s="282" customFormat="1" ht="12.75" customHeight="1" x14ac:dyDescent="0.25">
      <c r="A13" s="275"/>
      <c r="B13" s="276"/>
      <c r="C13" s="277"/>
      <c r="D13" s="279"/>
      <c r="E13" s="279">
        <f t="shared" si="0"/>
        <v>4810.5</v>
      </c>
      <c r="F13" s="284"/>
      <c r="G13" s="280">
        <f t="shared" si="1"/>
        <v>4810.5</v>
      </c>
      <c r="H13" s="280">
        <f t="shared" si="2"/>
        <v>0</v>
      </c>
      <c r="I13" s="281"/>
    </row>
    <row r="14" spans="1:9" s="282" customFormat="1" ht="12.75" customHeight="1" x14ac:dyDescent="0.25">
      <c r="A14" s="275"/>
      <c r="B14" s="276"/>
      <c r="C14" s="277"/>
      <c r="D14" s="279"/>
      <c r="E14" s="279">
        <f t="shared" si="0"/>
        <v>4810.5</v>
      </c>
      <c r="F14" s="280"/>
      <c r="G14" s="280">
        <f t="shared" si="1"/>
        <v>4810.5</v>
      </c>
      <c r="H14" s="280">
        <f t="shared" si="2"/>
        <v>0</v>
      </c>
      <c r="I14" s="281"/>
    </row>
    <row r="15" spans="1:9" s="282" customFormat="1" ht="12.75" customHeight="1" x14ac:dyDescent="0.25">
      <c r="A15" s="275"/>
      <c r="B15" s="276"/>
      <c r="C15" s="277"/>
      <c r="D15" s="279"/>
      <c r="E15" s="279">
        <f t="shared" si="0"/>
        <v>4810.5</v>
      </c>
      <c r="F15" s="284"/>
      <c r="G15" s="280">
        <f t="shared" si="1"/>
        <v>4810.5</v>
      </c>
      <c r="H15" s="280">
        <f t="shared" si="2"/>
        <v>0</v>
      </c>
      <c r="I15" s="281"/>
    </row>
    <row r="16" spans="1:9" s="282" customFormat="1" ht="12.75" customHeight="1" x14ac:dyDescent="0.25">
      <c r="A16" s="275"/>
      <c r="B16" s="276"/>
      <c r="C16" s="277"/>
      <c r="D16" s="279"/>
      <c r="E16" s="279">
        <f t="shared" si="0"/>
        <v>4810.5</v>
      </c>
      <c r="F16" s="284"/>
      <c r="G16" s="280">
        <f t="shared" si="1"/>
        <v>4810.5</v>
      </c>
      <c r="H16" s="280">
        <f t="shared" si="2"/>
        <v>0</v>
      </c>
      <c r="I16" s="281"/>
    </row>
    <row r="17" spans="1:9" s="282" customFormat="1" ht="12.75" customHeight="1" x14ac:dyDescent="0.25">
      <c r="A17" s="275"/>
      <c r="B17" s="276"/>
      <c r="C17" s="277"/>
      <c r="D17" s="279"/>
      <c r="E17" s="279">
        <f t="shared" si="0"/>
        <v>4810.5</v>
      </c>
      <c r="F17" s="284"/>
      <c r="G17" s="280">
        <f t="shared" si="1"/>
        <v>4810.5</v>
      </c>
      <c r="H17" s="280">
        <f t="shared" si="2"/>
        <v>0</v>
      </c>
      <c r="I17" s="281"/>
    </row>
    <row r="18" spans="1:9" s="282" customFormat="1" ht="12.75" customHeight="1" x14ac:dyDescent="0.25">
      <c r="A18" s="275"/>
      <c r="B18" s="276"/>
      <c r="C18" s="277"/>
      <c r="D18" s="279"/>
      <c r="E18" s="279">
        <f t="shared" si="0"/>
        <v>4810.5</v>
      </c>
      <c r="F18" s="284"/>
      <c r="G18" s="280">
        <f t="shared" si="1"/>
        <v>4810.5</v>
      </c>
      <c r="H18" s="280">
        <f t="shared" si="2"/>
        <v>0</v>
      </c>
      <c r="I18" s="281"/>
    </row>
    <row r="19" spans="1:9" s="282" customFormat="1" ht="12.75" customHeight="1" x14ac:dyDescent="0.25">
      <c r="A19" s="275"/>
      <c r="B19" s="276"/>
      <c r="C19" s="277"/>
      <c r="D19" s="279"/>
      <c r="E19" s="279">
        <f t="shared" si="0"/>
        <v>4810.5</v>
      </c>
      <c r="F19" s="280"/>
      <c r="G19" s="280">
        <f t="shared" si="1"/>
        <v>4810.5</v>
      </c>
      <c r="H19" s="280">
        <f t="shared" si="2"/>
        <v>0</v>
      </c>
      <c r="I19" s="281"/>
    </row>
    <row r="20" spans="1:9" s="282" customFormat="1" ht="12.75" customHeight="1" x14ac:dyDescent="0.25">
      <c r="A20" s="275"/>
      <c r="B20" s="276"/>
      <c r="C20" s="277"/>
      <c r="D20" s="279"/>
      <c r="E20" s="279">
        <f t="shared" si="0"/>
        <v>4810.5</v>
      </c>
      <c r="F20" s="280"/>
      <c r="G20" s="280">
        <f t="shared" si="1"/>
        <v>4810.5</v>
      </c>
      <c r="H20" s="280">
        <f t="shared" si="2"/>
        <v>0</v>
      </c>
      <c r="I20" s="281"/>
    </row>
    <row r="21" spans="1:9" s="282" customFormat="1" ht="12.75" customHeight="1" x14ac:dyDescent="0.25">
      <c r="A21" s="275"/>
      <c r="B21" s="276"/>
      <c r="C21" s="286"/>
      <c r="D21" s="279"/>
      <c r="E21" s="279">
        <f t="shared" si="0"/>
        <v>4810.5</v>
      </c>
      <c r="F21" s="280"/>
      <c r="G21" s="280">
        <f t="shared" si="1"/>
        <v>4810.5</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4810.5</v>
      </c>
      <c r="E23" s="290"/>
      <c r="F23" s="290">
        <f>SUM(F9:F22)</f>
        <v>4810.5</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620</v>
      </c>
      <c r="D26" s="280">
        <v>180</v>
      </c>
      <c r="E26" s="280"/>
      <c r="F26" s="280">
        <f>180</f>
        <v>180</v>
      </c>
      <c r="G26" s="280"/>
      <c r="H26" s="280">
        <f>D26-F26</f>
        <v>0</v>
      </c>
      <c r="I26" s="281"/>
    </row>
    <row r="27" spans="1:9" s="282" customFormat="1" ht="12.75" customHeight="1" x14ac:dyDescent="0.25">
      <c r="A27" s="275"/>
      <c r="B27" s="277"/>
      <c r="C27" s="287" t="s">
        <v>906</v>
      </c>
      <c r="D27" s="280">
        <f>260-260</f>
        <v>0</v>
      </c>
      <c r="E27" s="280"/>
      <c r="F27" s="280"/>
      <c r="G27" s="280"/>
      <c r="H27" s="280">
        <f t="shared" ref="H27:H32" si="3">D27-F27</f>
        <v>0</v>
      </c>
      <c r="I27" s="281"/>
    </row>
    <row r="28" spans="1:9" s="282" customFormat="1" ht="12.75" customHeight="1" x14ac:dyDescent="0.25">
      <c r="A28" s="275"/>
      <c r="B28" s="277"/>
      <c r="C28" s="287" t="s">
        <v>902</v>
      </c>
      <c r="D28" s="280">
        <f>140+175</f>
        <v>315</v>
      </c>
      <c r="E28" s="280"/>
      <c r="F28" s="280">
        <f>315</f>
        <v>315</v>
      </c>
      <c r="G28" s="280"/>
      <c r="H28" s="280">
        <f t="shared" si="3"/>
        <v>0</v>
      </c>
      <c r="I28" s="281"/>
    </row>
    <row r="29" spans="1:9" s="282" customFormat="1" ht="12.75" customHeight="1" x14ac:dyDescent="0.25">
      <c r="A29" s="275"/>
      <c r="B29" s="277"/>
      <c r="C29" s="287" t="s">
        <v>903</v>
      </c>
      <c r="D29" s="280">
        <f>3250-877.5</f>
        <v>2372.5</v>
      </c>
      <c r="E29" s="280"/>
      <c r="F29" s="280">
        <f>2372.5</f>
        <v>2372.5</v>
      </c>
      <c r="G29" s="280"/>
      <c r="H29" s="280">
        <f t="shared" si="3"/>
        <v>0</v>
      </c>
      <c r="I29" s="281"/>
    </row>
    <row r="30" spans="1:9" s="282" customFormat="1" ht="12.75" customHeight="1" x14ac:dyDescent="0.25">
      <c r="A30" s="275"/>
      <c r="B30" s="277"/>
      <c r="C30" s="287" t="s">
        <v>904</v>
      </c>
      <c r="D30" s="280">
        <f>1400-17.5</f>
        <v>1382.5</v>
      </c>
      <c r="E30" s="280"/>
      <c r="F30" s="280">
        <f>1382.5</f>
        <v>1382.5</v>
      </c>
      <c r="G30" s="280"/>
      <c r="H30" s="280">
        <f t="shared" si="3"/>
        <v>0</v>
      </c>
      <c r="I30" s="281"/>
    </row>
    <row r="31" spans="1:9" s="282" customFormat="1" ht="12.75" customHeight="1" x14ac:dyDescent="0.25">
      <c r="A31" s="275"/>
      <c r="B31" s="277"/>
      <c r="C31" s="287" t="s">
        <v>905</v>
      </c>
      <c r="D31" s="280">
        <f>75-34.5</f>
        <v>40.5</v>
      </c>
      <c r="E31" s="280"/>
      <c r="F31" s="280">
        <f>40.5</f>
        <v>40.5</v>
      </c>
      <c r="G31" s="280"/>
      <c r="H31" s="280">
        <f t="shared" si="3"/>
        <v>0</v>
      </c>
      <c r="I31" s="281"/>
    </row>
    <row r="32" spans="1:9" s="282" customFormat="1" ht="12.75" customHeight="1" x14ac:dyDescent="0.25">
      <c r="A32" s="275"/>
      <c r="B32" s="277"/>
      <c r="C32" s="287" t="s">
        <v>621</v>
      </c>
      <c r="D32" s="292">
        <v>520</v>
      </c>
      <c r="E32" s="292"/>
      <c r="F32" s="292">
        <f>520</f>
        <v>520</v>
      </c>
      <c r="G32" s="292"/>
      <c r="H32" s="280">
        <f t="shared" si="3"/>
        <v>0</v>
      </c>
      <c r="I32" s="281"/>
    </row>
    <row r="33" spans="1:9" s="282" customFormat="1" ht="12.75" customHeight="1" x14ac:dyDescent="0.25">
      <c r="A33" s="275"/>
      <c r="B33" s="277"/>
      <c r="C33" s="287" t="s">
        <v>901</v>
      </c>
      <c r="D33" s="292"/>
      <c r="E33" s="292"/>
      <c r="F33" s="292"/>
      <c r="G33" s="292"/>
      <c r="H33" s="280"/>
      <c r="I33" s="281"/>
    </row>
    <row r="34" spans="1:9" s="282" customFormat="1" ht="12.75" customHeight="1" thickBot="1" x14ac:dyDescent="0.3">
      <c r="A34" s="275"/>
      <c r="B34" s="277"/>
      <c r="C34" s="293" t="s">
        <v>67</v>
      </c>
      <c r="D34" s="290">
        <f>SUM(D26:D32)</f>
        <v>4810.5</v>
      </c>
      <c r="E34" s="294"/>
      <c r="F34" s="290">
        <f>SUM(F26:F32)</f>
        <v>4810.5</v>
      </c>
      <c r="G34" s="294"/>
      <c r="H34" s="290">
        <f>SUM(H26:H32)</f>
        <v>0</v>
      </c>
      <c r="I34" s="281"/>
    </row>
    <row r="35" spans="1:9" s="282" customFormat="1" ht="12.75" customHeight="1" thickTop="1" x14ac:dyDescent="0.25"/>
    <row r="36" spans="1:9" s="282" customFormat="1" ht="12.75" customHeight="1" x14ac:dyDescent="0.25"/>
  </sheetData>
  <pageMargins left="0.25" right="0.25" top="0.95" bottom="0.75" header="0.09" footer="0.3"/>
  <pageSetup scale="6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7BDA8-FDB4-46A3-B319-050E6473CE5F}">
  <sheetPr>
    <pageSetUpPr fitToPage="1"/>
  </sheetPr>
  <dimension ref="A1:I30"/>
  <sheetViews>
    <sheetView zoomScaleNormal="100" workbookViewId="0">
      <selection activeCell="L22" sqref="L22"/>
    </sheetView>
  </sheetViews>
  <sheetFormatPr defaultColWidth="11.42578125" defaultRowHeight="15" customHeight="1" x14ac:dyDescent="0.25"/>
  <cols>
    <col min="1" max="1" width="24.5703125" customWidth="1"/>
    <col min="2" max="2" width="9.42578125" customWidth="1"/>
    <col min="3" max="3" width="19.28515625" bestFit="1" customWidth="1"/>
    <col min="4" max="4" width="14.42578125" customWidth="1"/>
    <col min="5" max="5" width="13.5703125" customWidth="1"/>
    <col min="6" max="6" width="12.42578125" customWidth="1"/>
    <col min="7" max="7" width="10.5703125" customWidth="1"/>
    <col min="8" max="8" width="15.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#9511.00'!B1</f>
        <v>DPS P13 Upper Parking Lot Replacement</v>
      </c>
      <c r="B1" s="3"/>
      <c r="C1" s="4"/>
      <c r="D1" s="4"/>
      <c r="E1" s="4"/>
      <c r="F1" s="28"/>
      <c r="G1" s="28"/>
      <c r="H1" s="29"/>
      <c r="I1" s="29"/>
    </row>
    <row r="2" spans="1:9" ht="15.75" x14ac:dyDescent="0.25">
      <c r="A2" s="6" t="str">
        <f>'RECAP #9511.00'!B2</f>
        <v>Project # 9511.00</v>
      </c>
      <c r="B2" s="5"/>
      <c r="C2" s="4"/>
      <c r="D2" s="4"/>
      <c r="E2" s="4"/>
      <c r="F2" s="28"/>
      <c r="G2" s="28"/>
      <c r="H2" s="29"/>
      <c r="I2" s="29"/>
    </row>
    <row r="3" spans="1:9" ht="15.75" x14ac:dyDescent="0.25">
      <c r="A3" s="7" t="str">
        <f>'RECAP #9511.00'!B3</f>
        <v>Program code 951100</v>
      </c>
      <c r="B3" s="5"/>
      <c r="C3" s="4"/>
      <c r="D3" s="8" t="str">
        <f>'RECAP #9511.00'!E3</f>
        <v>Major Program 4E12</v>
      </c>
      <c r="E3" s="4"/>
      <c r="F3" s="28"/>
      <c r="G3" s="28"/>
      <c r="H3" s="29"/>
      <c r="I3" s="29"/>
    </row>
    <row r="4" spans="1:9" ht="15.75" x14ac:dyDescent="0.25">
      <c r="A4" s="30" t="s">
        <v>635</v>
      </c>
      <c r="B4" s="31"/>
      <c r="C4" s="32"/>
      <c r="D4" s="33" t="s">
        <v>254</v>
      </c>
      <c r="E4" s="28"/>
      <c r="F4" s="28"/>
      <c r="G4" s="28"/>
      <c r="H4" s="29"/>
      <c r="I4" s="29"/>
    </row>
    <row r="5" spans="1:9" ht="15.75" x14ac:dyDescent="0.25">
      <c r="A5" s="34" t="s">
        <v>104</v>
      </c>
      <c r="B5" s="35"/>
      <c r="C5" s="36"/>
      <c r="D5" s="37" t="s">
        <v>255</v>
      </c>
      <c r="E5" s="38"/>
      <c r="F5" s="39"/>
      <c r="G5" s="39"/>
      <c r="H5" s="35"/>
      <c r="I5" s="29"/>
    </row>
    <row r="6" spans="1:9" ht="15.75" x14ac:dyDescent="0.25">
      <c r="A6" s="11" t="str">
        <f>'RECAP #9511.00'!B6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998</v>
      </c>
      <c r="B9" s="177">
        <v>46182</v>
      </c>
      <c r="C9" s="231" t="s">
        <v>109</v>
      </c>
      <c r="D9" s="232">
        <v>30776.85</v>
      </c>
      <c r="E9" s="233">
        <f>D9</f>
        <v>30776.85</v>
      </c>
      <c r="F9" s="234"/>
      <c r="G9" s="234"/>
      <c r="H9" s="234">
        <f>E9</f>
        <v>30776.85</v>
      </c>
      <c r="I9" s="235"/>
    </row>
    <row r="10" spans="1:9" s="223" customFormat="1" ht="12.75" customHeight="1" x14ac:dyDescent="0.25">
      <c r="A10" s="328" t="s">
        <v>1224</v>
      </c>
      <c r="B10" s="335">
        <v>46216</v>
      </c>
      <c r="C10" s="330" t="s">
        <v>1225</v>
      </c>
      <c r="D10" s="331"/>
      <c r="E10" s="331">
        <f t="shared" ref="E10:E21" si="0">E9+D10</f>
        <v>30776.85</v>
      </c>
      <c r="F10" s="338">
        <v>1364.97</v>
      </c>
      <c r="G10" s="332">
        <f t="shared" ref="G10:G21" si="1">G9+F10</f>
        <v>1364.97</v>
      </c>
      <c r="H10" s="332">
        <f t="shared" ref="H10:H21" si="2">H9-F10+D10</f>
        <v>29411.879999999997</v>
      </c>
      <c r="I10" s="333" t="s">
        <v>1285</v>
      </c>
    </row>
    <row r="11" spans="1:9" s="223" customFormat="1" ht="12.75" customHeight="1" x14ac:dyDescent="0.25">
      <c r="A11" s="230" t="s">
        <v>1327</v>
      </c>
      <c r="B11" s="177">
        <v>46225</v>
      </c>
      <c r="C11" s="231" t="s">
        <v>1286</v>
      </c>
      <c r="D11" s="232">
        <v>0</v>
      </c>
      <c r="E11" s="233">
        <f t="shared" si="0"/>
        <v>30776.85</v>
      </c>
      <c r="F11" s="237"/>
      <c r="G11" s="234">
        <f t="shared" si="1"/>
        <v>1364.97</v>
      </c>
      <c r="H11" s="234">
        <f t="shared" si="2"/>
        <v>29411.879999999997</v>
      </c>
      <c r="I11" s="235"/>
    </row>
    <row r="12" spans="1:9" s="223" customFormat="1" ht="12.75" customHeight="1" x14ac:dyDescent="0.25">
      <c r="A12" s="230" t="s">
        <v>1474</v>
      </c>
      <c r="B12" s="177">
        <v>46255</v>
      </c>
      <c r="C12" s="231" t="s">
        <v>1475</v>
      </c>
      <c r="D12" s="233"/>
      <c r="E12" s="233">
        <f t="shared" si="0"/>
        <v>30776.85</v>
      </c>
      <c r="F12" s="237">
        <v>1224.97</v>
      </c>
      <c r="G12" s="234">
        <f t="shared" si="1"/>
        <v>2589.94</v>
      </c>
      <c r="H12" s="234">
        <f t="shared" si="2"/>
        <v>28186.909999999996</v>
      </c>
      <c r="I12" s="235"/>
    </row>
    <row r="13" spans="1:9" s="223" customFormat="1" ht="12.75" customHeight="1" x14ac:dyDescent="0.25">
      <c r="A13" s="230" t="s">
        <v>1568</v>
      </c>
      <c r="B13" s="177">
        <v>46281</v>
      </c>
      <c r="C13" s="231" t="s">
        <v>1569</v>
      </c>
      <c r="D13" s="233"/>
      <c r="E13" s="233">
        <f t="shared" si="0"/>
        <v>30776.85</v>
      </c>
      <c r="F13" s="237">
        <v>2062.11</v>
      </c>
      <c r="G13" s="234">
        <f t="shared" si="1"/>
        <v>4652.05</v>
      </c>
      <c r="H13" s="234">
        <f t="shared" si="2"/>
        <v>26124.799999999996</v>
      </c>
      <c r="I13" s="235"/>
    </row>
    <row r="14" spans="1:9" s="223" customFormat="1" ht="12.75" customHeight="1" x14ac:dyDescent="0.25">
      <c r="A14" s="230"/>
      <c r="B14" s="177"/>
      <c r="C14" s="231"/>
      <c r="D14" s="233"/>
      <c r="E14" s="233">
        <f t="shared" si="0"/>
        <v>30776.85</v>
      </c>
      <c r="F14" s="238"/>
      <c r="G14" s="234">
        <f t="shared" si="1"/>
        <v>4652.05</v>
      </c>
      <c r="H14" s="234">
        <f t="shared" si="2"/>
        <v>26124.799999999996</v>
      </c>
      <c r="I14" s="235"/>
    </row>
    <row r="15" spans="1:9" s="223" customFormat="1" ht="12.75" customHeight="1" x14ac:dyDescent="0.25">
      <c r="A15" s="230"/>
      <c r="B15" s="177"/>
      <c r="C15" s="231"/>
      <c r="D15" s="233"/>
      <c r="E15" s="233">
        <f t="shared" si="0"/>
        <v>30776.85</v>
      </c>
      <c r="F15" s="238"/>
      <c r="G15" s="234">
        <f t="shared" si="1"/>
        <v>4652.05</v>
      </c>
      <c r="H15" s="234">
        <f t="shared" si="2"/>
        <v>26124.799999999996</v>
      </c>
      <c r="I15" s="235"/>
    </row>
    <row r="16" spans="1:9" s="223" customFormat="1" ht="12.75" customHeight="1" x14ac:dyDescent="0.25">
      <c r="A16" s="230"/>
      <c r="B16" s="177"/>
      <c r="C16" s="231"/>
      <c r="D16" s="233"/>
      <c r="E16" s="233">
        <f t="shared" si="0"/>
        <v>30776.85</v>
      </c>
      <c r="F16" s="238"/>
      <c r="G16" s="234">
        <f t="shared" si="1"/>
        <v>4652.05</v>
      </c>
      <c r="H16" s="234">
        <f t="shared" si="2"/>
        <v>26124.799999999996</v>
      </c>
      <c r="I16" s="235"/>
    </row>
    <row r="17" spans="1:9" s="223" customFormat="1" ht="12.75" customHeight="1" x14ac:dyDescent="0.25">
      <c r="A17" s="230"/>
      <c r="B17" s="177"/>
      <c r="C17" s="231"/>
      <c r="D17" s="233"/>
      <c r="E17" s="233">
        <f t="shared" si="0"/>
        <v>30776.85</v>
      </c>
      <c r="F17" s="238"/>
      <c r="G17" s="234">
        <f t="shared" si="1"/>
        <v>4652.05</v>
      </c>
      <c r="H17" s="234">
        <f t="shared" si="2"/>
        <v>26124.799999999996</v>
      </c>
      <c r="I17" s="235"/>
    </row>
    <row r="18" spans="1:9" s="223" customFormat="1" ht="12.75" customHeight="1" x14ac:dyDescent="0.25">
      <c r="A18" s="230"/>
      <c r="B18" s="177"/>
      <c r="C18" s="231"/>
      <c r="D18" s="233"/>
      <c r="E18" s="233">
        <f t="shared" si="0"/>
        <v>30776.85</v>
      </c>
      <c r="F18" s="238"/>
      <c r="G18" s="234">
        <f t="shared" si="1"/>
        <v>4652.05</v>
      </c>
      <c r="H18" s="234">
        <f t="shared" si="2"/>
        <v>26124.799999999996</v>
      </c>
      <c r="I18" s="235"/>
    </row>
    <row r="19" spans="1:9" s="223" customFormat="1" ht="12.75" customHeight="1" x14ac:dyDescent="0.25">
      <c r="A19" s="230"/>
      <c r="B19" s="177"/>
      <c r="C19" s="231"/>
      <c r="D19" s="233"/>
      <c r="E19" s="233">
        <f t="shared" si="0"/>
        <v>30776.85</v>
      </c>
      <c r="F19" s="234"/>
      <c r="G19" s="234">
        <f t="shared" si="1"/>
        <v>4652.05</v>
      </c>
      <c r="H19" s="234">
        <f t="shared" si="2"/>
        <v>26124.799999999996</v>
      </c>
      <c r="I19" s="235"/>
    </row>
    <row r="20" spans="1:9" s="223" customFormat="1" ht="12.75" customHeight="1" x14ac:dyDescent="0.25">
      <c r="A20" s="230"/>
      <c r="B20" s="177"/>
      <c r="C20" s="231"/>
      <c r="D20" s="233"/>
      <c r="E20" s="233">
        <f t="shared" si="0"/>
        <v>30776.85</v>
      </c>
      <c r="F20" s="234"/>
      <c r="G20" s="234">
        <f t="shared" si="1"/>
        <v>4652.05</v>
      </c>
      <c r="H20" s="234">
        <f t="shared" si="2"/>
        <v>26124.799999999996</v>
      </c>
      <c r="I20" s="235"/>
    </row>
    <row r="21" spans="1:9" s="223" customFormat="1" ht="12.75" customHeight="1" x14ac:dyDescent="0.25">
      <c r="A21" s="230"/>
      <c r="B21" s="177"/>
      <c r="C21" s="239"/>
      <c r="D21" s="233"/>
      <c r="E21" s="233">
        <f t="shared" si="0"/>
        <v>30776.85</v>
      </c>
      <c r="F21" s="234"/>
      <c r="G21" s="234">
        <f t="shared" si="1"/>
        <v>4652.05</v>
      </c>
      <c r="H21" s="234">
        <f t="shared" si="2"/>
        <v>26124.799999999996</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30776.85</v>
      </c>
      <c r="E23" s="245"/>
      <c r="F23" s="245">
        <f>SUM(F9:F22)</f>
        <v>4652.05</v>
      </c>
      <c r="G23" s="245"/>
      <c r="H23" s="245">
        <f>D23-F23</f>
        <v>26124.799999999999</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29236.85</v>
      </c>
      <c r="E26" s="254"/>
      <c r="F26" s="254">
        <f>1224.97+1224.97+2062.11</f>
        <v>4512.05</v>
      </c>
      <c r="G26" s="254"/>
      <c r="H26" s="254">
        <f>D26-F26</f>
        <v>24724.799999999999</v>
      </c>
      <c r="I26" s="235"/>
    </row>
    <row r="27" spans="1:9" s="223" customFormat="1" ht="12.75" customHeight="1" x14ac:dyDescent="0.25">
      <c r="A27" s="230"/>
      <c r="B27" s="231"/>
      <c r="C27" s="253" t="s">
        <v>111</v>
      </c>
      <c r="D27" s="254">
        <v>1540</v>
      </c>
      <c r="E27" s="254"/>
      <c r="F27" s="254">
        <f>140</f>
        <v>140</v>
      </c>
      <c r="G27" s="254"/>
      <c r="H27" s="254">
        <f>D27-F27</f>
        <v>1400</v>
      </c>
      <c r="I27" s="235"/>
    </row>
    <row r="28" spans="1:9" s="223" customFormat="1" ht="12.75" customHeight="1" thickBot="1" x14ac:dyDescent="0.3">
      <c r="A28" s="230"/>
      <c r="B28" s="231"/>
      <c r="C28" s="255" t="s">
        <v>67</v>
      </c>
      <c r="D28" s="256">
        <f>SUM(D26:D27)</f>
        <v>30776.85</v>
      </c>
      <c r="E28" s="257"/>
      <c r="F28" s="256">
        <f>SUM(F26:F27)</f>
        <v>4652.05</v>
      </c>
      <c r="G28" s="257"/>
      <c r="H28" s="256">
        <f>SUM(H26:H27)</f>
        <v>26124.799999999999</v>
      </c>
      <c r="I28" s="235"/>
    </row>
    <row r="29" spans="1:9" s="223" customFormat="1" ht="12.75" customHeight="1" thickTop="1" x14ac:dyDescent="0.25"/>
    <row r="30" spans="1:9" s="223" customFormat="1" ht="12.75" customHeight="1" x14ac:dyDescent="0.25"/>
  </sheetData>
  <conditionalFormatting sqref="I8:I9 I11:I23">
    <cfRule type="cellIs" dxfId="17" priority="1" operator="greaterThan">
      <formula>$H$23</formula>
    </cfRule>
  </conditionalFormatting>
  <pageMargins left="0.25" right="0.25" top="0.95" bottom="0.75" header="0.09" footer="0.3"/>
  <pageSetup scale="81"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AEC90-C192-46CF-AE72-7F7CBFD1B55C}">
  <sheetPr>
    <pageSetUpPr fitToPage="1"/>
  </sheetPr>
  <dimension ref="A1:J30"/>
  <sheetViews>
    <sheetView zoomScaleNormal="100" workbookViewId="0">
      <selection activeCell="B15" sqref="B15"/>
    </sheetView>
  </sheetViews>
  <sheetFormatPr defaultColWidth="11.42578125" defaultRowHeight="15" customHeight="1" x14ac:dyDescent="0.25"/>
  <cols>
    <col min="1" max="1" width="24.5703125" customWidth="1"/>
    <col min="2" max="2" width="9.42578125" customWidth="1"/>
    <col min="3" max="3" width="19.28515625" bestFit="1" customWidth="1"/>
    <col min="4" max="4" width="14.42578125" customWidth="1"/>
    <col min="5" max="5" width="13.5703125" customWidth="1"/>
    <col min="6" max="6" width="12.42578125" customWidth="1"/>
    <col min="7" max="7" width="10.5703125" customWidth="1"/>
    <col min="8" max="8" width="15.7109375" customWidth="1"/>
    <col min="9" max="9" width="12.42578125" customWidth="1"/>
    <col min="10" max="10"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10" ht="24.75" customHeight="1" x14ac:dyDescent="0.25">
      <c r="A1" s="2" t="str">
        <f>'RECAP #9511.00'!B1</f>
        <v>DPS P13 Upper Parking Lot Replacement</v>
      </c>
      <c r="B1" s="3"/>
      <c r="C1" s="4"/>
      <c r="D1" s="4"/>
      <c r="E1" s="4"/>
      <c r="F1" s="28"/>
      <c r="G1" s="28"/>
      <c r="H1" s="29"/>
      <c r="I1" s="29"/>
    </row>
    <row r="2" spans="1:10" ht="15.75" x14ac:dyDescent="0.25">
      <c r="A2" s="6" t="str">
        <f>'RECAP #9511.00'!B2</f>
        <v>Project # 9511.00</v>
      </c>
      <c r="B2" s="5"/>
      <c r="C2" s="4"/>
      <c r="D2" s="4"/>
      <c r="E2" s="4"/>
      <c r="F2" s="28"/>
      <c r="G2" s="28"/>
      <c r="H2" s="29"/>
      <c r="I2" s="29"/>
    </row>
    <row r="3" spans="1:10" ht="15.75" x14ac:dyDescent="0.25">
      <c r="A3" s="7" t="str">
        <f>'RECAP #9511.00'!B3</f>
        <v>Program code 951100</v>
      </c>
      <c r="B3" s="5"/>
      <c r="C3" s="4"/>
      <c r="D3" s="8" t="str">
        <f>'RECAP #9511.00'!E3</f>
        <v>Major Program 4E12</v>
      </c>
      <c r="E3" s="4"/>
      <c r="F3" s="28"/>
      <c r="G3" s="28"/>
      <c r="H3" s="29"/>
      <c r="I3" s="29"/>
    </row>
    <row r="4" spans="1:10" ht="15.75" x14ac:dyDescent="0.25">
      <c r="A4" s="30" t="s">
        <v>1006</v>
      </c>
      <c r="B4" s="31"/>
      <c r="C4" s="32"/>
      <c r="D4" s="33" t="s">
        <v>1007</v>
      </c>
      <c r="E4" s="28"/>
      <c r="F4" s="28"/>
      <c r="G4" s="28"/>
      <c r="H4" s="29"/>
      <c r="I4" s="29"/>
    </row>
    <row r="5" spans="1:10" ht="15.75" x14ac:dyDescent="0.25">
      <c r="A5" s="34" t="s">
        <v>104</v>
      </c>
      <c r="B5" s="35"/>
      <c r="C5" s="36"/>
      <c r="D5" s="37" t="s">
        <v>1008</v>
      </c>
      <c r="E5" s="38"/>
      <c r="F5" s="39"/>
      <c r="G5" s="39"/>
      <c r="H5" s="35"/>
      <c r="I5" s="29"/>
    </row>
    <row r="6" spans="1:10" ht="15.75" x14ac:dyDescent="0.25">
      <c r="A6" s="11" t="str">
        <f>'RECAP #9511.00'!B6</f>
        <v>Project Manager - Brandon A.</v>
      </c>
      <c r="B6" s="11"/>
      <c r="C6" s="40"/>
      <c r="D6" s="41" t="s">
        <v>386</v>
      </c>
      <c r="E6" s="42"/>
      <c r="F6" s="43"/>
      <c r="G6" s="39"/>
      <c r="H6" s="35"/>
      <c r="I6" s="29"/>
    </row>
    <row r="7" spans="1:10" ht="15.75" x14ac:dyDescent="0.25">
      <c r="A7" s="29"/>
      <c r="B7" s="44"/>
      <c r="C7" s="44"/>
      <c r="D7" s="29"/>
      <c r="E7" s="43"/>
      <c r="F7" s="43"/>
      <c r="G7" s="39"/>
      <c r="H7" s="35"/>
      <c r="I7" s="29" t="s">
        <v>2</v>
      </c>
    </row>
    <row r="8" spans="1:10" ht="32.25" thickBot="1" x14ac:dyDescent="0.3">
      <c r="A8" s="45" t="s">
        <v>16</v>
      </c>
      <c r="B8" s="46" t="s">
        <v>17</v>
      </c>
      <c r="C8" s="47" t="s">
        <v>18</v>
      </c>
      <c r="D8" s="48" t="s">
        <v>19</v>
      </c>
      <c r="E8" s="48" t="s">
        <v>20</v>
      </c>
      <c r="F8" s="48" t="s">
        <v>21</v>
      </c>
      <c r="G8" s="48" t="s">
        <v>22</v>
      </c>
      <c r="H8" s="48" t="s">
        <v>23</v>
      </c>
      <c r="I8" s="189" t="s">
        <v>529</v>
      </c>
    </row>
    <row r="9" spans="1:10" s="223" customFormat="1" ht="12.75" customHeight="1" x14ac:dyDescent="0.25">
      <c r="A9" s="230" t="s">
        <v>1009</v>
      </c>
      <c r="B9" s="177">
        <v>46188</v>
      </c>
      <c r="C9" s="231" t="s">
        <v>109</v>
      </c>
      <c r="D9" s="232">
        <v>141165.26</v>
      </c>
      <c r="E9" s="233">
        <f>D9</f>
        <v>141165.26</v>
      </c>
      <c r="F9" s="234"/>
      <c r="G9" s="234"/>
      <c r="H9" s="234">
        <f>E9</f>
        <v>141165.26</v>
      </c>
      <c r="I9" s="235"/>
    </row>
    <row r="10" spans="1:10" s="223" customFormat="1" ht="12.75" customHeight="1" x14ac:dyDescent="0.25">
      <c r="A10" s="328" t="s">
        <v>1137</v>
      </c>
      <c r="B10" s="335">
        <v>46203</v>
      </c>
      <c r="C10" s="330" t="s">
        <v>1138</v>
      </c>
      <c r="D10" s="331"/>
      <c r="E10" s="331">
        <f t="shared" ref="E10:E21" si="0">E9+D10</f>
        <v>141165.26</v>
      </c>
      <c r="F10" s="338">
        <v>959.94</v>
      </c>
      <c r="G10" s="332">
        <f t="shared" ref="G10:G21" si="1">G9+F10</f>
        <v>959.94</v>
      </c>
      <c r="H10" s="332">
        <f t="shared" ref="H10:H21" si="2">H9-F10+D10</f>
        <v>140205.32</v>
      </c>
      <c r="I10" s="336">
        <v>29.69</v>
      </c>
      <c r="J10" s="333" t="s">
        <v>1285</v>
      </c>
    </row>
    <row r="11" spans="1:10" s="223" customFormat="1" ht="12.75" customHeight="1" x14ac:dyDescent="0.25">
      <c r="A11" s="230" t="s">
        <v>1326</v>
      </c>
      <c r="B11" s="177">
        <v>46225</v>
      </c>
      <c r="C11" s="231" t="s">
        <v>1286</v>
      </c>
      <c r="D11" s="232">
        <v>0</v>
      </c>
      <c r="E11" s="233">
        <f t="shared" si="0"/>
        <v>141165.26</v>
      </c>
      <c r="F11" s="237"/>
      <c r="G11" s="234">
        <f t="shared" si="1"/>
        <v>959.94</v>
      </c>
      <c r="H11" s="234">
        <f t="shared" si="2"/>
        <v>140205.32</v>
      </c>
      <c r="I11" s="297"/>
    </row>
    <row r="12" spans="1:10" s="223" customFormat="1" ht="12.75" customHeight="1" x14ac:dyDescent="0.25">
      <c r="A12" s="230" t="s">
        <v>1326</v>
      </c>
      <c r="B12" s="177">
        <v>46265</v>
      </c>
      <c r="C12" s="231" t="s">
        <v>468</v>
      </c>
      <c r="D12" s="232">
        <v>3917.7</v>
      </c>
      <c r="E12" s="233">
        <f t="shared" si="0"/>
        <v>145082.96000000002</v>
      </c>
      <c r="F12" s="237"/>
      <c r="G12" s="234">
        <f t="shared" si="1"/>
        <v>959.94</v>
      </c>
      <c r="H12" s="234">
        <f t="shared" si="2"/>
        <v>144123.02000000002</v>
      </c>
      <c r="I12" s="297"/>
    </row>
    <row r="13" spans="1:10" s="223" customFormat="1" ht="12.75" customHeight="1" x14ac:dyDescent="0.25">
      <c r="A13" s="230"/>
      <c r="B13" s="177"/>
      <c r="C13" s="231"/>
      <c r="D13" s="233"/>
      <c r="E13" s="233">
        <f t="shared" si="0"/>
        <v>145082.96000000002</v>
      </c>
      <c r="F13" s="237"/>
      <c r="G13" s="234">
        <f t="shared" si="1"/>
        <v>959.94</v>
      </c>
      <c r="H13" s="234">
        <f t="shared" si="2"/>
        <v>144123.02000000002</v>
      </c>
      <c r="I13" s="297"/>
    </row>
    <row r="14" spans="1:10" s="223" customFormat="1" ht="12.75" customHeight="1" x14ac:dyDescent="0.25">
      <c r="A14" s="230"/>
      <c r="B14" s="177"/>
      <c r="C14" s="231"/>
      <c r="D14" s="233"/>
      <c r="E14" s="233">
        <f t="shared" si="0"/>
        <v>145082.96000000002</v>
      </c>
      <c r="F14" s="238"/>
      <c r="G14" s="234">
        <f t="shared" si="1"/>
        <v>959.94</v>
      </c>
      <c r="H14" s="234">
        <f t="shared" si="2"/>
        <v>144123.02000000002</v>
      </c>
      <c r="I14" s="297"/>
    </row>
    <row r="15" spans="1:10" s="223" customFormat="1" ht="12.75" customHeight="1" x14ac:dyDescent="0.25">
      <c r="A15" s="230"/>
      <c r="B15" s="177"/>
      <c r="C15" s="231"/>
      <c r="D15" s="233"/>
      <c r="E15" s="233">
        <f t="shared" si="0"/>
        <v>145082.96000000002</v>
      </c>
      <c r="F15" s="238"/>
      <c r="G15" s="234">
        <f t="shared" si="1"/>
        <v>959.94</v>
      </c>
      <c r="H15" s="234">
        <f t="shared" si="2"/>
        <v>144123.02000000002</v>
      </c>
      <c r="I15" s="297"/>
    </row>
    <row r="16" spans="1:10" s="223" customFormat="1" ht="12.75" customHeight="1" x14ac:dyDescent="0.25">
      <c r="A16" s="230"/>
      <c r="B16" s="177"/>
      <c r="C16" s="231"/>
      <c r="D16" s="233"/>
      <c r="E16" s="233">
        <f t="shared" si="0"/>
        <v>145082.96000000002</v>
      </c>
      <c r="F16" s="238"/>
      <c r="G16" s="234">
        <f t="shared" si="1"/>
        <v>959.94</v>
      </c>
      <c r="H16" s="234">
        <f t="shared" si="2"/>
        <v>144123.02000000002</v>
      </c>
      <c r="I16" s="297"/>
    </row>
    <row r="17" spans="1:9" s="223" customFormat="1" ht="12.75" customHeight="1" x14ac:dyDescent="0.25">
      <c r="A17" s="230"/>
      <c r="B17" s="177"/>
      <c r="C17" s="231"/>
      <c r="D17" s="233"/>
      <c r="E17" s="233">
        <f t="shared" si="0"/>
        <v>145082.96000000002</v>
      </c>
      <c r="F17" s="238"/>
      <c r="G17" s="234">
        <f t="shared" si="1"/>
        <v>959.94</v>
      </c>
      <c r="H17" s="234">
        <f t="shared" si="2"/>
        <v>144123.02000000002</v>
      </c>
      <c r="I17" s="297"/>
    </row>
    <row r="18" spans="1:9" s="223" customFormat="1" ht="12.75" customHeight="1" x14ac:dyDescent="0.25">
      <c r="A18" s="230"/>
      <c r="B18" s="177"/>
      <c r="C18" s="231"/>
      <c r="D18" s="233"/>
      <c r="E18" s="233">
        <f t="shared" si="0"/>
        <v>145082.96000000002</v>
      </c>
      <c r="F18" s="238"/>
      <c r="G18" s="234">
        <f t="shared" si="1"/>
        <v>959.94</v>
      </c>
      <c r="H18" s="234">
        <f t="shared" si="2"/>
        <v>144123.02000000002</v>
      </c>
      <c r="I18" s="297"/>
    </row>
    <row r="19" spans="1:9" s="223" customFormat="1" ht="12.75" customHeight="1" x14ac:dyDescent="0.25">
      <c r="A19" s="230"/>
      <c r="B19" s="177"/>
      <c r="C19" s="231"/>
      <c r="D19" s="233"/>
      <c r="E19" s="233">
        <f t="shared" si="0"/>
        <v>145082.96000000002</v>
      </c>
      <c r="F19" s="234"/>
      <c r="G19" s="234">
        <f t="shared" si="1"/>
        <v>959.94</v>
      </c>
      <c r="H19" s="234">
        <f t="shared" si="2"/>
        <v>144123.02000000002</v>
      </c>
      <c r="I19" s="297"/>
    </row>
    <row r="20" spans="1:9" s="223" customFormat="1" ht="12.75" customHeight="1" x14ac:dyDescent="0.25">
      <c r="A20" s="230"/>
      <c r="B20" s="177"/>
      <c r="C20" s="231"/>
      <c r="D20" s="233"/>
      <c r="E20" s="233">
        <f t="shared" si="0"/>
        <v>145082.96000000002</v>
      </c>
      <c r="F20" s="234"/>
      <c r="G20" s="234">
        <f t="shared" si="1"/>
        <v>959.94</v>
      </c>
      <c r="H20" s="234">
        <f t="shared" si="2"/>
        <v>144123.02000000002</v>
      </c>
      <c r="I20" s="297"/>
    </row>
    <row r="21" spans="1:9" s="223" customFormat="1" ht="12.75" customHeight="1" x14ac:dyDescent="0.25">
      <c r="A21" s="230"/>
      <c r="B21" s="177"/>
      <c r="C21" s="239"/>
      <c r="D21" s="233"/>
      <c r="E21" s="233">
        <f t="shared" si="0"/>
        <v>145082.96000000002</v>
      </c>
      <c r="F21" s="234"/>
      <c r="G21" s="234">
        <f t="shared" si="1"/>
        <v>959.94</v>
      </c>
      <c r="H21" s="234">
        <f t="shared" si="2"/>
        <v>144123.02000000002</v>
      </c>
      <c r="I21" s="297"/>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145082.96000000002</v>
      </c>
      <c r="E23" s="245"/>
      <c r="F23" s="245">
        <f>SUM(F9:F22)</f>
        <v>959.94</v>
      </c>
      <c r="G23" s="245"/>
      <c r="H23" s="245">
        <f>D23-F23</f>
        <v>144123.02000000002</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c r="D26" s="270"/>
      <c r="E26" s="270"/>
      <c r="F26" s="270"/>
      <c r="G26" s="270"/>
      <c r="H26" s="270"/>
      <c r="I26" s="235"/>
    </row>
    <row r="27" spans="1:9" s="223" customFormat="1" ht="12.75" customHeight="1" x14ac:dyDescent="0.25">
      <c r="A27" s="230"/>
      <c r="B27" s="231"/>
      <c r="C27" s="253"/>
      <c r="D27" s="270"/>
      <c r="E27" s="270"/>
      <c r="F27" s="270"/>
      <c r="G27" s="270"/>
      <c r="H27" s="270"/>
      <c r="I27" s="235"/>
    </row>
    <row r="28" spans="1:9" s="223" customFormat="1" ht="12.75" customHeight="1" x14ac:dyDescent="0.25">
      <c r="A28" s="230"/>
      <c r="B28" s="231"/>
      <c r="C28" s="255"/>
      <c r="D28" s="271"/>
      <c r="E28" s="271"/>
      <c r="F28" s="271"/>
      <c r="G28" s="271"/>
      <c r="H28" s="271"/>
      <c r="I28" s="235"/>
    </row>
    <row r="29" spans="1:9" s="223" customFormat="1" ht="12.75" customHeight="1" x14ac:dyDescent="0.25"/>
    <row r="30" spans="1:9" s="223" customFormat="1" ht="12.75" customHeight="1" x14ac:dyDescent="0.25"/>
  </sheetData>
  <conditionalFormatting sqref="I9:I23">
    <cfRule type="cellIs" dxfId="16" priority="1" operator="greaterThan">
      <formula>$H$23</formula>
    </cfRule>
  </conditionalFormatting>
  <pageMargins left="0.25" right="0.25" top="0.95" bottom="0.75" header="0.09" footer="0.3"/>
  <pageSetup scale="7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BFC91-30C1-4B7D-91E0-5F83257540BC}">
  <sheetPr>
    <tabColor rgb="FF0070C0"/>
    <pageSetUpPr fitToPage="1"/>
  </sheetPr>
  <dimension ref="A1:G19"/>
  <sheetViews>
    <sheetView zoomScaleNormal="100" workbookViewId="0">
      <selection activeCell="B24" sqref="B24"/>
    </sheetView>
  </sheetViews>
  <sheetFormatPr defaultColWidth="11.42578125" defaultRowHeight="15" customHeight="1" x14ac:dyDescent="0.25"/>
  <cols>
    <col min="1" max="1" width="3.5703125" style="274" customWidth="1"/>
    <col min="2" max="2" width="25" style="274" customWidth="1"/>
    <col min="3" max="3" width="17.42578125" style="274" customWidth="1"/>
    <col min="4" max="4" width="17" style="274" customWidth="1"/>
    <col min="5" max="5" width="13.42578125" style="274" bestFit="1" customWidth="1"/>
    <col min="6" max="6" width="16.42578125" style="274" customWidth="1"/>
    <col min="7" max="7" width="16.42578125" style="274" bestFit="1" customWidth="1"/>
    <col min="8" max="256" width="11.42578125" style="274"/>
    <col min="257" max="263" width="11.42578125" style="274" customWidth="1"/>
    <col min="264" max="512" width="11.42578125" style="274"/>
    <col min="513" max="519" width="11.42578125" style="274" customWidth="1"/>
    <col min="520" max="768" width="11.42578125" style="274"/>
    <col min="769" max="775" width="11.42578125" style="274" customWidth="1"/>
    <col min="776" max="1024" width="11.42578125" style="274"/>
    <col min="1025" max="1031" width="11.42578125" style="274" customWidth="1"/>
    <col min="1032" max="1280" width="11.42578125" style="274"/>
    <col min="1281" max="1287" width="11.42578125" style="274" customWidth="1"/>
    <col min="1288" max="1536" width="11.42578125" style="274"/>
    <col min="1537" max="1543" width="11.42578125" style="274" customWidth="1"/>
    <col min="1544" max="1792" width="11.42578125" style="274"/>
    <col min="1793" max="1799" width="11.42578125" style="274" customWidth="1"/>
    <col min="1800" max="2048" width="11.42578125" style="274"/>
    <col min="2049" max="2055" width="11.42578125" style="274" customWidth="1"/>
    <col min="2056" max="2304" width="11.42578125" style="274"/>
    <col min="2305" max="2311" width="11.42578125" style="274" customWidth="1"/>
    <col min="2312" max="2560" width="11.42578125" style="274"/>
    <col min="2561" max="2567" width="11.42578125" style="274" customWidth="1"/>
    <col min="2568" max="2816" width="11.42578125" style="274"/>
    <col min="2817" max="2823" width="11.42578125" style="274" customWidth="1"/>
    <col min="2824" max="3072" width="11.42578125" style="274"/>
    <col min="3073" max="3079" width="11.42578125" style="274" customWidth="1"/>
    <col min="3080" max="3328" width="11.42578125" style="274"/>
    <col min="3329" max="3335" width="11.42578125" style="274" customWidth="1"/>
    <col min="3336" max="3584" width="11.42578125" style="274"/>
    <col min="3585" max="3591" width="11.42578125" style="274" customWidth="1"/>
    <col min="3592" max="3840" width="11.42578125" style="274"/>
    <col min="3841" max="3847" width="11.42578125" style="274" customWidth="1"/>
    <col min="3848" max="4096" width="11.42578125" style="274"/>
    <col min="4097" max="4103" width="11.42578125" style="274" customWidth="1"/>
    <col min="4104" max="4352" width="11.42578125" style="274"/>
    <col min="4353" max="4359" width="11.42578125" style="274" customWidth="1"/>
    <col min="4360" max="4608" width="11.42578125" style="274"/>
    <col min="4609" max="4615" width="11.42578125" style="274" customWidth="1"/>
    <col min="4616" max="4864" width="11.42578125" style="274"/>
    <col min="4865" max="4871" width="11.42578125" style="274" customWidth="1"/>
    <col min="4872" max="5120" width="11.42578125" style="274"/>
    <col min="5121" max="5127" width="11.42578125" style="274" customWidth="1"/>
    <col min="5128" max="5376" width="11.42578125" style="274"/>
    <col min="5377" max="5383" width="11.42578125" style="274" customWidth="1"/>
    <col min="5384" max="5632" width="11.42578125" style="274"/>
    <col min="5633" max="5639" width="11.42578125" style="274" customWidth="1"/>
    <col min="5640" max="5888" width="11.42578125" style="274"/>
    <col min="5889" max="5895" width="11.42578125" style="274" customWidth="1"/>
    <col min="5896" max="6144" width="11.42578125" style="274"/>
    <col min="6145" max="6151" width="11.42578125" style="274" customWidth="1"/>
    <col min="6152" max="6400" width="11.42578125" style="274"/>
    <col min="6401" max="6407" width="11.42578125" style="274" customWidth="1"/>
    <col min="6408" max="6656" width="11.42578125" style="274"/>
    <col min="6657" max="6663" width="11.42578125" style="274" customWidth="1"/>
    <col min="6664" max="6912" width="11.42578125" style="274"/>
    <col min="6913" max="6919" width="11.42578125" style="274" customWidth="1"/>
    <col min="6920" max="7168" width="11.42578125" style="274"/>
    <col min="7169" max="7175" width="11.42578125" style="274" customWidth="1"/>
    <col min="7176" max="7424" width="11.42578125" style="274"/>
    <col min="7425" max="7431" width="11.42578125" style="274" customWidth="1"/>
    <col min="7432" max="7680" width="11.42578125" style="274"/>
    <col min="7681" max="7687" width="11.42578125" style="274" customWidth="1"/>
    <col min="7688" max="7936" width="11.42578125" style="274"/>
    <col min="7937" max="7943" width="11.42578125" style="274" customWidth="1"/>
    <col min="7944" max="8192" width="11.42578125" style="274"/>
    <col min="8193" max="8199" width="11.42578125" style="274" customWidth="1"/>
    <col min="8200" max="8448" width="11.42578125" style="274"/>
    <col min="8449" max="8455" width="11.42578125" style="274" customWidth="1"/>
    <col min="8456" max="8704" width="11.42578125" style="274"/>
    <col min="8705" max="8711" width="11.42578125" style="274" customWidth="1"/>
    <col min="8712" max="8960" width="11.42578125" style="274"/>
    <col min="8961" max="8967" width="11.42578125" style="274" customWidth="1"/>
    <col min="8968" max="9216" width="11.42578125" style="274"/>
    <col min="9217" max="9223" width="11.42578125" style="274" customWidth="1"/>
    <col min="9224" max="9472" width="11.42578125" style="274"/>
    <col min="9473" max="9479" width="11.42578125" style="274" customWidth="1"/>
    <col min="9480" max="9728" width="11.42578125" style="274"/>
    <col min="9729" max="9735" width="11.42578125" style="274" customWidth="1"/>
    <col min="9736" max="9984" width="11.42578125" style="274"/>
    <col min="9985" max="9991" width="11.42578125" style="274" customWidth="1"/>
    <col min="9992" max="10240" width="11.42578125" style="274"/>
    <col min="10241" max="10247" width="11.42578125" style="274" customWidth="1"/>
    <col min="10248" max="10496" width="11.42578125" style="274"/>
    <col min="10497" max="10503" width="11.42578125" style="274" customWidth="1"/>
    <col min="10504" max="10752" width="11.42578125" style="274"/>
    <col min="10753" max="10759" width="11.42578125" style="274" customWidth="1"/>
    <col min="10760" max="11008" width="11.42578125" style="274"/>
    <col min="11009" max="11015" width="11.42578125" style="274" customWidth="1"/>
    <col min="11016" max="11264" width="11.42578125" style="274"/>
    <col min="11265" max="11271" width="11.42578125" style="274" customWidth="1"/>
    <col min="11272" max="11520" width="11.42578125" style="274"/>
    <col min="11521" max="11527" width="11.42578125" style="274" customWidth="1"/>
    <col min="11528" max="11776" width="11.42578125" style="274"/>
    <col min="11777" max="11783" width="11.42578125" style="274" customWidth="1"/>
    <col min="11784" max="12032" width="11.42578125" style="274"/>
    <col min="12033" max="12039" width="11.42578125" style="274" customWidth="1"/>
    <col min="12040" max="12288" width="11.42578125" style="274"/>
    <col min="12289" max="12295" width="11.42578125" style="274" customWidth="1"/>
    <col min="12296" max="12544" width="11.42578125" style="274"/>
    <col min="12545" max="12551" width="11.42578125" style="274" customWidth="1"/>
    <col min="12552" max="12800" width="11.42578125" style="274"/>
    <col min="12801" max="12807" width="11.42578125" style="274" customWidth="1"/>
    <col min="12808" max="13056" width="11.42578125" style="274"/>
    <col min="13057" max="13063" width="11.42578125" style="274" customWidth="1"/>
    <col min="13064" max="13312" width="11.42578125" style="274"/>
    <col min="13313" max="13319" width="11.42578125" style="274" customWidth="1"/>
    <col min="13320" max="13568" width="11.42578125" style="274"/>
    <col min="13569" max="13575" width="11.42578125" style="274" customWidth="1"/>
    <col min="13576" max="13824" width="11.42578125" style="274"/>
    <col min="13825" max="13831" width="11.42578125" style="274" customWidth="1"/>
    <col min="13832" max="14080" width="11.42578125" style="274"/>
    <col min="14081" max="14087" width="11.42578125" style="274" customWidth="1"/>
    <col min="14088" max="14336" width="11.42578125" style="274"/>
    <col min="14337" max="14343" width="11.42578125" style="274" customWidth="1"/>
    <col min="14344" max="14592" width="11.42578125" style="274"/>
    <col min="14593" max="14599" width="11.42578125" style="274" customWidth="1"/>
    <col min="14600" max="14848" width="11.42578125" style="274"/>
    <col min="14849" max="14855" width="11.42578125" style="274" customWidth="1"/>
    <col min="14856" max="15104" width="11.42578125" style="274"/>
    <col min="15105" max="15111" width="11.42578125" style="274" customWidth="1"/>
    <col min="15112" max="15360" width="11.42578125" style="274"/>
    <col min="15361" max="15367" width="11.42578125" style="274" customWidth="1"/>
    <col min="15368" max="15616" width="11.42578125" style="274"/>
    <col min="15617" max="15623" width="11.42578125" style="274" customWidth="1"/>
    <col min="15624" max="15872" width="11.42578125" style="274"/>
    <col min="15873" max="15879" width="11.42578125" style="274" customWidth="1"/>
    <col min="15880" max="16128" width="11.42578125" style="274"/>
    <col min="16129" max="16135" width="11.42578125" style="274" customWidth="1"/>
    <col min="16136" max="16384" width="11.42578125" style="274"/>
  </cols>
  <sheetData>
    <row r="1" spans="1:7" ht="24.75" customHeight="1" x14ac:dyDescent="0.25">
      <c r="A1" s="151"/>
      <c r="B1" s="30" t="s">
        <v>163</v>
      </c>
      <c r="C1" s="30"/>
      <c r="D1" s="153"/>
      <c r="E1" s="153"/>
      <c r="F1" s="153"/>
      <c r="G1" s="153"/>
    </row>
    <row r="2" spans="1:7" ht="15.75" x14ac:dyDescent="0.25">
      <c r="A2" s="151"/>
      <c r="B2" s="31" t="s">
        <v>225</v>
      </c>
      <c r="C2" s="150"/>
      <c r="D2" s="153"/>
      <c r="E2" s="153"/>
      <c r="F2" s="153"/>
      <c r="G2" s="153"/>
    </row>
    <row r="3" spans="1:7" ht="15.75" x14ac:dyDescent="0.25">
      <c r="A3" s="151"/>
      <c r="B3" s="154" t="s">
        <v>226</v>
      </c>
      <c r="C3" s="150"/>
      <c r="D3" s="153"/>
      <c r="E3" s="155" t="s">
        <v>181</v>
      </c>
      <c r="F3" s="153"/>
      <c r="G3" s="153"/>
    </row>
    <row r="4" spans="1:7" ht="15.75" x14ac:dyDescent="0.25">
      <c r="A4" s="151"/>
      <c r="B4" s="156" t="s">
        <v>1</v>
      </c>
      <c r="C4" s="157" t="s">
        <v>2</v>
      </c>
      <c r="D4" s="153"/>
      <c r="E4" s="153"/>
      <c r="F4" s="153"/>
      <c r="G4" s="153"/>
    </row>
    <row r="5" spans="1:7" ht="15.75" x14ac:dyDescent="0.25">
      <c r="A5" s="151"/>
      <c r="B5" s="31" t="s">
        <v>64</v>
      </c>
      <c r="C5" s="150"/>
      <c r="D5" s="153"/>
      <c r="E5" s="159" t="s">
        <v>1280</v>
      </c>
      <c r="F5" s="377">
        <v>46218</v>
      </c>
      <c r="G5" s="153"/>
    </row>
    <row r="6" spans="1:7" ht="15.75" x14ac:dyDescent="0.25">
      <c r="A6" s="151"/>
      <c r="B6" s="31" t="s">
        <v>975</v>
      </c>
      <c r="C6" s="158"/>
      <c r="D6" s="159" t="s">
        <v>2</v>
      </c>
      <c r="E6" s="153"/>
      <c r="F6" s="153"/>
      <c r="G6" s="153"/>
    </row>
    <row r="7" spans="1:7" ht="32.25" customHeight="1" thickBot="1" x14ac:dyDescent="0.3">
      <c r="A7" s="151"/>
      <c r="B7" s="160" t="s">
        <v>2</v>
      </c>
      <c r="C7" s="161" t="s">
        <v>3</v>
      </c>
      <c r="D7" s="162" t="s">
        <v>4</v>
      </c>
      <c r="E7" s="163" t="s">
        <v>5</v>
      </c>
      <c r="F7" s="164" t="s">
        <v>6</v>
      </c>
      <c r="G7" s="164" t="s">
        <v>7</v>
      </c>
    </row>
    <row r="8" spans="1:7" ht="28.35" customHeight="1" x14ac:dyDescent="0.25">
      <c r="A8" s="151"/>
      <c r="B8" s="151" t="s">
        <v>8</v>
      </c>
      <c r="C8" s="165">
        <f>FINANCIAL!G35</f>
        <v>32103.420000000002</v>
      </c>
      <c r="D8" s="166"/>
      <c r="E8" s="166"/>
      <c r="F8" s="166"/>
      <c r="G8" s="167"/>
    </row>
    <row r="9" spans="1:7" s="282" customFormat="1" ht="12.75" customHeight="1" x14ac:dyDescent="0.25">
      <c r="A9" s="273"/>
      <c r="B9" s="309"/>
      <c r="C9" s="313"/>
      <c r="D9" s="311"/>
      <c r="E9" s="311"/>
      <c r="F9" s="311"/>
      <c r="G9" s="312"/>
    </row>
    <row r="10" spans="1:7" s="282" customFormat="1" ht="12.75" customHeight="1" x14ac:dyDescent="0.25">
      <c r="A10" s="273" t="s">
        <v>250</v>
      </c>
      <c r="B10" s="309" t="s">
        <v>420</v>
      </c>
      <c r="C10" s="313"/>
      <c r="D10" s="314">
        <f>'#9512.00 Larson Engineering'!D23</f>
        <v>5820</v>
      </c>
      <c r="E10" s="314">
        <f>'#9512.00 Larson Engineering'!F23</f>
        <v>5820</v>
      </c>
      <c r="F10" s="314">
        <f>'#9512.00 Larson Engineering'!H23</f>
        <v>0</v>
      </c>
      <c r="G10" s="312"/>
    </row>
    <row r="11" spans="1:7" s="282" customFormat="1" ht="12.75" customHeight="1" x14ac:dyDescent="0.25">
      <c r="A11" s="273" t="s">
        <v>250</v>
      </c>
      <c r="B11" s="309" t="s">
        <v>10</v>
      </c>
      <c r="C11" s="313"/>
      <c r="D11" s="314">
        <f>'#9512.00 PM TIME'!E30</f>
        <v>9299.8100000000013</v>
      </c>
      <c r="E11" s="314">
        <f>'#9512.00 PM TIME'!G30</f>
        <v>9299.81</v>
      </c>
      <c r="F11" s="314">
        <f>'#9512.00 PM TIME'!I30</f>
        <v>0</v>
      </c>
      <c r="G11" s="312"/>
    </row>
    <row r="12" spans="1:7" s="282" customFormat="1" ht="12.75" customHeight="1" x14ac:dyDescent="0.25">
      <c r="A12" s="273" t="s">
        <v>250</v>
      </c>
      <c r="B12" s="309" t="s">
        <v>11</v>
      </c>
      <c r="C12" s="311"/>
      <c r="D12" s="315">
        <f>'#9512.00 Misc'!G22</f>
        <v>0</v>
      </c>
      <c r="E12" s="315">
        <f>'#9512.00 Misc'!H22</f>
        <v>0</v>
      </c>
      <c r="F12" s="314">
        <f>D12-E12</f>
        <v>0</v>
      </c>
      <c r="G12" s="312"/>
    </row>
    <row r="13" spans="1:7" s="282" customFormat="1" ht="12.75" customHeight="1" x14ac:dyDescent="0.25">
      <c r="A13" s="273" t="s">
        <v>250</v>
      </c>
      <c r="B13" s="309" t="s">
        <v>350</v>
      </c>
      <c r="C13" s="311"/>
      <c r="D13" s="315">
        <f>'#9512.00 Boyd Jones'!D23</f>
        <v>4851.13</v>
      </c>
      <c r="E13" s="315">
        <f>'#9512.00 Boyd Jones'!F23</f>
        <v>4851.13</v>
      </c>
      <c r="F13" s="314">
        <f>'#9512.00 Boyd Jones'!H23</f>
        <v>0</v>
      </c>
      <c r="G13" s="312"/>
    </row>
    <row r="14" spans="1:7" s="282" customFormat="1" ht="12.75" customHeight="1" x14ac:dyDescent="0.25">
      <c r="A14" s="273" t="s">
        <v>250</v>
      </c>
      <c r="B14" s="309" t="s">
        <v>717</v>
      </c>
      <c r="C14" s="311"/>
      <c r="D14" s="315">
        <f>'#9512.00 Boyd Jones (2)'!D23</f>
        <v>12132.48</v>
      </c>
      <c r="E14" s="315">
        <f>'#9512.00 Boyd Jones (2)'!F23</f>
        <v>12132.48</v>
      </c>
      <c r="F14" s="314">
        <f>'#9512.00 Boyd Jones (2)'!H23</f>
        <v>0</v>
      </c>
      <c r="G14" s="312"/>
    </row>
    <row r="15" spans="1:7" s="282" customFormat="1" ht="12.75" customHeight="1" x14ac:dyDescent="0.25">
      <c r="A15" s="273"/>
      <c r="B15" s="309"/>
      <c r="C15" s="311"/>
      <c r="D15" s="315"/>
      <c r="E15" s="315"/>
      <c r="F15" s="314"/>
      <c r="G15" s="312"/>
    </row>
    <row r="16" spans="1:7" ht="24" customHeight="1" thickBot="1" x14ac:dyDescent="0.3">
      <c r="A16" s="171"/>
      <c r="B16" s="172" t="s">
        <v>12</v>
      </c>
      <c r="C16" s="173">
        <f>SUM(C8:C15)</f>
        <v>32103.420000000002</v>
      </c>
      <c r="D16" s="173">
        <f>SUM(D8:D15)</f>
        <v>32103.420000000002</v>
      </c>
      <c r="E16" s="173">
        <f>SUM(E8:E15)</f>
        <v>32103.42</v>
      </c>
      <c r="F16" s="173">
        <f>SUM(D16-E16)</f>
        <v>3.637978807091713E-12</v>
      </c>
      <c r="G16" s="173">
        <f>C8-D16</f>
        <v>0</v>
      </c>
    </row>
    <row r="17" spans="2:2" ht="15" customHeight="1" thickTop="1" x14ac:dyDescent="0.25"/>
    <row r="18" spans="2:2" ht="15" customHeight="1" x14ac:dyDescent="0.25">
      <c r="B18" s="273"/>
    </row>
    <row r="19" spans="2:2" ht="15" customHeight="1" x14ac:dyDescent="0.25">
      <c r="B19" s="316" t="s">
        <v>1264</v>
      </c>
    </row>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8624F-9DF2-49EF-A10F-E411C1310DAB}">
  <sheetPr>
    <tabColor rgb="FF0070C0"/>
    <pageSetUpPr fitToPage="1"/>
  </sheetPr>
  <dimension ref="A1:J32"/>
  <sheetViews>
    <sheetView topLeftCell="A6" zoomScaleNormal="100" workbookViewId="0">
      <selection activeCell="B13" sqref="B13:D13"/>
    </sheetView>
  </sheetViews>
  <sheetFormatPr defaultColWidth="11.42578125" defaultRowHeight="15" customHeight="1" x14ac:dyDescent="0.25"/>
  <cols>
    <col min="1" max="1" width="24.5703125" style="274" customWidth="1"/>
    <col min="2" max="2" width="9.42578125" style="274" customWidth="1"/>
    <col min="3" max="3" width="21.85546875" style="274" bestFit="1" customWidth="1"/>
    <col min="4" max="4" width="14.42578125" style="274" customWidth="1"/>
    <col min="5" max="5" width="13.5703125" style="274" customWidth="1"/>
    <col min="6" max="6" width="12.42578125" style="274" customWidth="1"/>
    <col min="7" max="7" width="10.5703125" style="274" customWidth="1"/>
    <col min="8" max="8" width="10.5703125" style="274" bestFit="1"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'[2]RECAP #9512.00'!B1</f>
        <v>IDOE IPBS 6450 Corporate Drive Repair Auditorium Exterior Fire Exit</v>
      </c>
      <c r="B1" s="30"/>
      <c r="C1" s="153"/>
      <c r="D1" s="153"/>
      <c r="E1" s="153"/>
      <c r="F1" s="156"/>
      <c r="G1" s="156"/>
      <c r="H1" s="179"/>
      <c r="I1" s="179"/>
    </row>
    <row r="2" spans="1:9" ht="15.75" x14ac:dyDescent="0.25">
      <c r="A2" s="31" t="str">
        <f>'[2]RECAP #9512.00'!B2</f>
        <v>Project # 9512.00</v>
      </c>
      <c r="B2" s="150"/>
      <c r="C2" s="153"/>
      <c r="D2" s="153"/>
      <c r="E2" s="153"/>
      <c r="F2" s="156"/>
      <c r="G2" s="156"/>
      <c r="H2" s="179"/>
      <c r="I2" s="179"/>
    </row>
    <row r="3" spans="1:9" ht="15.75" x14ac:dyDescent="0.25">
      <c r="A3" s="154" t="str">
        <f>'[2]RECAP #9512.00'!B3</f>
        <v>Program code 951200</v>
      </c>
      <c r="B3" s="150"/>
      <c r="C3" s="153"/>
      <c r="D3" s="155" t="str">
        <f>'[2]RECAP #9512.00'!E3</f>
        <v>Major Program 4E19</v>
      </c>
      <c r="E3" s="153"/>
      <c r="F3" s="156"/>
      <c r="G3" s="156"/>
      <c r="H3" s="179"/>
      <c r="I3" s="179"/>
    </row>
    <row r="4" spans="1:9" ht="15.75" x14ac:dyDescent="0.25">
      <c r="A4" s="30" t="s">
        <v>420</v>
      </c>
      <c r="B4" s="31"/>
      <c r="C4" s="179"/>
      <c r="D4" s="180" t="s">
        <v>421</v>
      </c>
      <c r="E4" s="156"/>
      <c r="F4" s="156"/>
      <c r="G4" s="156"/>
      <c r="H4" s="179"/>
      <c r="I4" s="179"/>
    </row>
    <row r="5" spans="1:9" ht="15.75" x14ac:dyDescent="0.25">
      <c r="A5" s="181" t="s">
        <v>115</v>
      </c>
      <c r="B5" s="179"/>
      <c r="C5" s="182"/>
      <c r="D5" s="37" t="s">
        <v>422</v>
      </c>
      <c r="E5" s="42"/>
      <c r="F5" s="156"/>
      <c r="G5" s="156"/>
      <c r="H5" s="179"/>
      <c r="I5" s="179"/>
    </row>
    <row r="6" spans="1:9" ht="15.75" x14ac:dyDescent="0.25">
      <c r="A6" s="31" t="str">
        <f>'[2]RECAP #9512.00'!B6</f>
        <v>Project Manager -Brandon A.</v>
      </c>
      <c r="B6" s="31"/>
      <c r="C6" s="183"/>
      <c r="D6" s="184" t="s">
        <v>118</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721</v>
      </c>
      <c r="B9" s="276">
        <v>46045</v>
      </c>
      <c r="C9" s="277" t="s">
        <v>109</v>
      </c>
      <c r="D9" s="278">
        <v>5820</v>
      </c>
      <c r="E9" s="279">
        <f>D9</f>
        <v>5820</v>
      </c>
      <c r="F9" s="280"/>
      <c r="G9" s="280"/>
      <c r="H9" s="280">
        <f>E9</f>
        <v>5820</v>
      </c>
      <c r="I9" s="281"/>
    </row>
    <row r="10" spans="1:9" s="282" customFormat="1" ht="12.75" customHeight="1" x14ac:dyDescent="0.25">
      <c r="A10" s="275" t="s">
        <v>723</v>
      </c>
      <c r="B10" s="283">
        <v>46112</v>
      </c>
      <c r="C10" s="277" t="s">
        <v>722</v>
      </c>
      <c r="D10" s="279"/>
      <c r="E10" s="279">
        <f t="shared" ref="E10:E21" si="0">E9+D10</f>
        <v>5820</v>
      </c>
      <c r="F10" s="284">
        <v>2075</v>
      </c>
      <c r="G10" s="280">
        <f t="shared" ref="G10:G21" si="1">G9+F10</f>
        <v>2075</v>
      </c>
      <c r="H10" s="280">
        <f t="shared" ref="H10:H21" si="2">H9-F10+D10</f>
        <v>3745</v>
      </c>
      <c r="I10" s="281"/>
    </row>
    <row r="11" spans="1:9" s="282" customFormat="1" ht="12.75" customHeight="1" x14ac:dyDescent="0.25">
      <c r="A11" s="275" t="s">
        <v>730</v>
      </c>
      <c r="B11" s="276">
        <v>46114</v>
      </c>
      <c r="C11" s="277" t="s">
        <v>731</v>
      </c>
      <c r="D11" s="279"/>
      <c r="E11" s="279">
        <f t="shared" si="0"/>
        <v>5820</v>
      </c>
      <c r="F11" s="284">
        <v>2055</v>
      </c>
      <c r="G11" s="280">
        <f t="shared" si="1"/>
        <v>4130</v>
      </c>
      <c r="H11" s="280">
        <f t="shared" si="2"/>
        <v>1690</v>
      </c>
      <c r="I11" s="281"/>
    </row>
    <row r="12" spans="1:9" s="282" customFormat="1" ht="12.75" customHeight="1" x14ac:dyDescent="0.25">
      <c r="A12" s="275" t="s">
        <v>907</v>
      </c>
      <c r="B12" s="276">
        <v>46162</v>
      </c>
      <c r="C12" s="277" t="s">
        <v>908</v>
      </c>
      <c r="D12" s="279"/>
      <c r="E12" s="279">
        <f t="shared" si="0"/>
        <v>5820</v>
      </c>
      <c r="F12" s="284">
        <v>515</v>
      </c>
      <c r="G12" s="280">
        <f t="shared" si="1"/>
        <v>4645</v>
      </c>
      <c r="H12" s="280">
        <f t="shared" si="2"/>
        <v>1175</v>
      </c>
      <c r="I12" s="281"/>
    </row>
    <row r="13" spans="1:9" s="282" customFormat="1" ht="12.75" customHeight="1" x14ac:dyDescent="0.25">
      <c r="A13" s="275" t="s">
        <v>951</v>
      </c>
      <c r="B13" s="276">
        <v>46169</v>
      </c>
      <c r="C13" s="277" t="s">
        <v>952</v>
      </c>
      <c r="D13" s="279"/>
      <c r="E13" s="279">
        <f t="shared" si="0"/>
        <v>5820</v>
      </c>
      <c r="F13" s="284">
        <v>117.5</v>
      </c>
      <c r="G13" s="280">
        <f t="shared" si="1"/>
        <v>4762.5</v>
      </c>
      <c r="H13" s="280">
        <f t="shared" si="2"/>
        <v>1057.5</v>
      </c>
      <c r="I13" s="281"/>
    </row>
    <row r="14" spans="1:9" s="282" customFormat="1" ht="12.75" customHeight="1" x14ac:dyDescent="0.25">
      <c r="A14" s="275" t="s">
        <v>1245</v>
      </c>
      <c r="B14" s="276">
        <v>46217</v>
      </c>
      <c r="C14" s="277" t="s">
        <v>1246</v>
      </c>
      <c r="D14" s="279"/>
      <c r="E14" s="279">
        <f t="shared" si="0"/>
        <v>5820</v>
      </c>
      <c r="F14" s="284">
        <v>1057.5</v>
      </c>
      <c r="G14" s="280">
        <f t="shared" si="1"/>
        <v>5820</v>
      </c>
      <c r="H14" s="280">
        <f t="shared" si="2"/>
        <v>0</v>
      </c>
      <c r="I14" s="281"/>
    </row>
    <row r="15" spans="1:9" s="282" customFormat="1" ht="12.75" customHeight="1" x14ac:dyDescent="0.25">
      <c r="A15" s="275"/>
      <c r="B15" s="276"/>
      <c r="C15" s="277"/>
      <c r="D15" s="279"/>
      <c r="E15" s="279">
        <f t="shared" si="0"/>
        <v>5820</v>
      </c>
      <c r="F15" s="284"/>
      <c r="G15" s="280">
        <f t="shared" si="1"/>
        <v>5820</v>
      </c>
      <c r="H15" s="280">
        <f t="shared" si="2"/>
        <v>0</v>
      </c>
      <c r="I15" s="281"/>
    </row>
    <row r="16" spans="1:9" s="282" customFormat="1" ht="12.75" customHeight="1" x14ac:dyDescent="0.25">
      <c r="A16" s="275"/>
      <c r="B16" s="276"/>
      <c r="C16" s="277"/>
      <c r="D16" s="279"/>
      <c r="E16" s="279">
        <f t="shared" si="0"/>
        <v>5820</v>
      </c>
      <c r="F16" s="284"/>
      <c r="G16" s="280">
        <f t="shared" si="1"/>
        <v>5820</v>
      </c>
      <c r="H16" s="280">
        <f t="shared" si="2"/>
        <v>0</v>
      </c>
      <c r="I16" s="281"/>
    </row>
    <row r="17" spans="1:10" s="282" customFormat="1" ht="12.75" customHeight="1" x14ac:dyDescent="0.25">
      <c r="A17" s="275"/>
      <c r="B17" s="276"/>
      <c r="C17" s="277"/>
      <c r="D17" s="279"/>
      <c r="E17" s="279">
        <f t="shared" si="0"/>
        <v>5820</v>
      </c>
      <c r="F17" s="284"/>
      <c r="G17" s="280">
        <f t="shared" si="1"/>
        <v>5820</v>
      </c>
      <c r="H17" s="280">
        <f t="shared" si="2"/>
        <v>0</v>
      </c>
      <c r="I17" s="281"/>
    </row>
    <row r="18" spans="1:10" s="282" customFormat="1" ht="12.75" customHeight="1" x14ac:dyDescent="0.25">
      <c r="A18" s="275"/>
      <c r="B18" s="276"/>
      <c r="C18" s="277"/>
      <c r="D18" s="279"/>
      <c r="E18" s="279">
        <f t="shared" si="0"/>
        <v>5820</v>
      </c>
      <c r="F18" s="284"/>
      <c r="G18" s="280">
        <f t="shared" si="1"/>
        <v>5820</v>
      </c>
      <c r="H18" s="280">
        <f t="shared" si="2"/>
        <v>0</v>
      </c>
      <c r="I18" s="281"/>
    </row>
    <row r="19" spans="1:10" s="282" customFormat="1" ht="12.75" customHeight="1" x14ac:dyDescent="0.25">
      <c r="A19" s="275"/>
      <c r="B19" s="276"/>
      <c r="C19" s="277"/>
      <c r="D19" s="279"/>
      <c r="E19" s="279">
        <f t="shared" si="0"/>
        <v>5820</v>
      </c>
      <c r="F19" s="280"/>
      <c r="G19" s="280">
        <f t="shared" si="1"/>
        <v>5820</v>
      </c>
      <c r="H19" s="280">
        <f t="shared" si="2"/>
        <v>0</v>
      </c>
      <c r="I19" s="281"/>
    </row>
    <row r="20" spans="1:10" s="282" customFormat="1" ht="12.75" customHeight="1" x14ac:dyDescent="0.25">
      <c r="A20" s="275"/>
      <c r="B20" s="276"/>
      <c r="C20" s="277"/>
      <c r="D20" s="279"/>
      <c r="E20" s="279">
        <f t="shared" si="0"/>
        <v>5820</v>
      </c>
      <c r="F20" s="280"/>
      <c r="G20" s="280">
        <f t="shared" si="1"/>
        <v>5820</v>
      </c>
      <c r="H20" s="280">
        <f t="shared" si="2"/>
        <v>0</v>
      </c>
      <c r="I20" s="281"/>
    </row>
    <row r="21" spans="1:10" s="282" customFormat="1" ht="12.75" customHeight="1" x14ac:dyDescent="0.25">
      <c r="A21" s="275"/>
      <c r="B21" s="276"/>
      <c r="C21" s="286"/>
      <c r="D21" s="279"/>
      <c r="E21" s="279">
        <f t="shared" si="0"/>
        <v>5820</v>
      </c>
      <c r="F21" s="280"/>
      <c r="G21" s="280">
        <f t="shared" si="1"/>
        <v>5820</v>
      </c>
      <c r="H21" s="280">
        <f t="shared" si="2"/>
        <v>0</v>
      </c>
      <c r="I21" s="281"/>
    </row>
    <row r="22" spans="1:10" s="282" customFormat="1" ht="12.75" customHeight="1" x14ac:dyDescent="0.25">
      <c r="A22" s="275"/>
      <c r="B22" s="277"/>
      <c r="C22" s="287"/>
      <c r="D22" s="280"/>
      <c r="E22" s="280"/>
      <c r="F22" s="280"/>
      <c r="G22" s="280"/>
      <c r="H22" s="280"/>
      <c r="I22" s="281"/>
    </row>
    <row r="23" spans="1:10" s="282" customFormat="1" ht="12.75" customHeight="1" thickBot="1" x14ac:dyDescent="0.3">
      <c r="A23" s="275"/>
      <c r="B23" s="288"/>
      <c r="C23" s="289" t="s">
        <v>24</v>
      </c>
      <c r="D23" s="290">
        <f>SUM(D9:D22)</f>
        <v>5820</v>
      </c>
      <c r="E23" s="290"/>
      <c r="F23" s="290">
        <f>SUM(F9:F22)</f>
        <v>5820</v>
      </c>
      <c r="G23" s="290"/>
      <c r="H23" s="290">
        <f>D23-F23</f>
        <v>0</v>
      </c>
      <c r="I23" s="291" t="s">
        <v>444</v>
      </c>
    </row>
    <row r="24" spans="1:10" s="282" customFormat="1" ht="12.75" customHeight="1" thickTop="1" x14ac:dyDescent="0.25">
      <c r="A24" s="275"/>
      <c r="B24" s="277"/>
      <c r="C24" s="287"/>
      <c r="D24" s="280"/>
      <c r="E24" s="280"/>
      <c r="F24" s="280"/>
      <c r="G24" s="280"/>
      <c r="H24" s="280"/>
      <c r="I24" s="281"/>
    </row>
    <row r="25" spans="1:10" s="282" customFormat="1" ht="12.75" customHeight="1" x14ac:dyDescent="0.25">
      <c r="A25" s="275"/>
      <c r="B25" s="277"/>
      <c r="C25" s="287"/>
      <c r="D25" s="280"/>
      <c r="E25" s="280"/>
      <c r="F25" s="280"/>
      <c r="G25" s="280"/>
      <c r="H25" s="280"/>
      <c r="I25" s="281"/>
    </row>
    <row r="26" spans="1:10" s="282" customFormat="1" ht="12.75" customHeight="1" x14ac:dyDescent="0.25">
      <c r="A26" s="275"/>
      <c r="B26" s="277"/>
      <c r="C26" s="287" t="s">
        <v>455</v>
      </c>
      <c r="D26" s="280">
        <v>900</v>
      </c>
      <c r="E26" s="280"/>
      <c r="F26" s="280">
        <f>900</f>
        <v>900</v>
      </c>
      <c r="G26" s="280"/>
      <c r="H26" s="280">
        <f>D26-F26</f>
        <v>0</v>
      </c>
      <c r="I26" s="281"/>
    </row>
    <row r="27" spans="1:10" s="282" customFormat="1" ht="12.75" customHeight="1" x14ac:dyDescent="0.25">
      <c r="A27" s="275"/>
      <c r="B27" s="277"/>
      <c r="C27" s="287" t="s">
        <v>457</v>
      </c>
      <c r="D27" s="280">
        <v>1175</v>
      </c>
      <c r="E27" s="280"/>
      <c r="F27" s="280">
        <f>1175</f>
        <v>1175</v>
      </c>
      <c r="G27" s="280"/>
      <c r="H27" s="280">
        <f>D27-F27</f>
        <v>0</v>
      </c>
      <c r="I27" s="281"/>
    </row>
    <row r="28" spans="1:10" s="282" customFormat="1" ht="12.75" customHeight="1" x14ac:dyDescent="0.25">
      <c r="A28" s="275"/>
      <c r="B28" s="277"/>
      <c r="C28" s="287" t="s">
        <v>399</v>
      </c>
      <c r="D28" s="280">
        <v>2055</v>
      </c>
      <c r="E28" s="280"/>
      <c r="F28" s="280">
        <v>2055</v>
      </c>
      <c r="G28" s="280"/>
      <c r="H28" s="280">
        <f>D28-F28</f>
        <v>0</v>
      </c>
      <c r="I28" s="281"/>
      <c r="J28" s="326"/>
    </row>
    <row r="29" spans="1:10" s="282" customFormat="1" ht="12.75" customHeight="1" x14ac:dyDescent="0.25">
      <c r="C29" s="287" t="s">
        <v>300</v>
      </c>
      <c r="D29" s="292">
        <v>515</v>
      </c>
      <c r="E29" s="292"/>
      <c r="F29" s="292">
        <f>515</f>
        <v>515</v>
      </c>
      <c r="G29" s="292"/>
      <c r="H29" s="280">
        <f>D29-F29</f>
        <v>0</v>
      </c>
    </row>
    <row r="30" spans="1:10" ht="15" customHeight="1" x14ac:dyDescent="0.25">
      <c r="C30" s="287" t="s">
        <v>122</v>
      </c>
      <c r="D30" s="292">
        <v>1175</v>
      </c>
      <c r="E30" s="292"/>
      <c r="F30" s="292">
        <f>117.5+1057.5</f>
        <v>1175</v>
      </c>
      <c r="G30" s="292"/>
      <c r="H30" s="280">
        <f>D30-F30</f>
        <v>0</v>
      </c>
    </row>
    <row r="31" spans="1:10" ht="15" customHeight="1" thickBot="1" x14ac:dyDescent="0.3">
      <c r="C31" s="293" t="s">
        <v>67</v>
      </c>
      <c r="D31" s="290">
        <f>SUM(D25:D30)</f>
        <v>5820</v>
      </c>
      <c r="E31" s="294"/>
      <c r="F31" s="290">
        <f>SUM(F26:F30)</f>
        <v>5820</v>
      </c>
      <c r="G31" s="294"/>
      <c r="H31" s="290">
        <f>SUM(H25:H30)</f>
        <v>0</v>
      </c>
    </row>
    <row r="32" spans="1:10" ht="15" customHeight="1" thickTop="1" x14ac:dyDescent="0.25">
      <c r="C32" s="282"/>
      <c r="D32" s="282"/>
      <c r="E32" s="282"/>
      <c r="F32" s="282"/>
      <c r="G32" s="282"/>
      <c r="H32" s="282"/>
    </row>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472DA-C6AC-4A50-909B-DB0B3FA13921}">
  <sheetPr>
    <tabColor rgb="FF0070C0"/>
    <pageSetUpPr fitToPage="1"/>
  </sheetPr>
  <dimension ref="A1:J31"/>
  <sheetViews>
    <sheetView zoomScaleNormal="100" workbookViewId="0">
      <selection activeCell="E27" sqref="E27"/>
    </sheetView>
  </sheetViews>
  <sheetFormatPr defaultColWidth="11.42578125" defaultRowHeight="15" customHeight="1" x14ac:dyDescent="0.25"/>
  <cols>
    <col min="1" max="1" width="24.5703125" style="274" customWidth="1"/>
    <col min="2" max="3" width="9.42578125" style="274" customWidth="1"/>
    <col min="4" max="4" width="41.85546875" style="274" customWidth="1"/>
    <col min="5" max="5" width="12.5703125" style="274" customWidth="1"/>
    <col min="6" max="6" width="13.5703125" style="274" customWidth="1"/>
    <col min="7" max="7" width="12.42578125" style="274" customWidth="1"/>
    <col min="8" max="8" width="10.5703125" style="274" customWidth="1"/>
    <col min="9" max="9" width="10.5703125" style="274" bestFit="1" customWidth="1"/>
    <col min="10" max="256" width="11.42578125" style="274"/>
    <col min="257" max="265" width="11.42578125" style="274" customWidth="1"/>
    <col min="266" max="512" width="11.42578125" style="274"/>
    <col min="513" max="521" width="11.42578125" style="274" customWidth="1"/>
    <col min="522" max="768" width="11.42578125" style="274"/>
    <col min="769" max="777" width="11.42578125" style="274" customWidth="1"/>
    <col min="778" max="1024" width="11.42578125" style="274"/>
    <col min="1025" max="1033" width="11.42578125" style="274" customWidth="1"/>
    <col min="1034" max="1280" width="11.42578125" style="274"/>
    <col min="1281" max="1289" width="11.42578125" style="274" customWidth="1"/>
    <col min="1290" max="1536" width="11.42578125" style="274"/>
    <col min="1537" max="1545" width="11.42578125" style="274" customWidth="1"/>
    <col min="1546" max="1792" width="11.42578125" style="274"/>
    <col min="1793" max="1801" width="11.42578125" style="274" customWidth="1"/>
    <col min="1802" max="2048" width="11.42578125" style="274"/>
    <col min="2049" max="2057" width="11.42578125" style="274" customWidth="1"/>
    <col min="2058" max="2304" width="11.42578125" style="274"/>
    <col min="2305" max="2313" width="11.42578125" style="274" customWidth="1"/>
    <col min="2314" max="2560" width="11.42578125" style="274"/>
    <col min="2561" max="2569" width="11.42578125" style="274" customWidth="1"/>
    <col min="2570" max="2816" width="11.42578125" style="274"/>
    <col min="2817" max="2825" width="11.42578125" style="274" customWidth="1"/>
    <col min="2826" max="3072" width="11.42578125" style="274"/>
    <col min="3073" max="3081" width="11.42578125" style="274" customWidth="1"/>
    <col min="3082" max="3328" width="11.42578125" style="274"/>
    <col min="3329" max="3337" width="11.42578125" style="274" customWidth="1"/>
    <col min="3338" max="3584" width="11.42578125" style="274"/>
    <col min="3585" max="3593" width="11.42578125" style="274" customWidth="1"/>
    <col min="3594" max="3840" width="11.42578125" style="274"/>
    <col min="3841" max="3849" width="11.42578125" style="274" customWidth="1"/>
    <col min="3850" max="4096" width="11.42578125" style="274"/>
    <col min="4097" max="4105" width="11.42578125" style="274" customWidth="1"/>
    <col min="4106" max="4352" width="11.42578125" style="274"/>
    <col min="4353" max="4361" width="11.42578125" style="274" customWidth="1"/>
    <col min="4362" max="4608" width="11.42578125" style="274"/>
    <col min="4609" max="4617" width="11.42578125" style="274" customWidth="1"/>
    <col min="4618" max="4864" width="11.42578125" style="274"/>
    <col min="4865" max="4873" width="11.42578125" style="274" customWidth="1"/>
    <col min="4874" max="5120" width="11.42578125" style="274"/>
    <col min="5121" max="5129" width="11.42578125" style="274" customWidth="1"/>
    <col min="5130" max="5376" width="11.42578125" style="274"/>
    <col min="5377" max="5385" width="11.42578125" style="274" customWidth="1"/>
    <col min="5386" max="5632" width="11.42578125" style="274"/>
    <col min="5633" max="5641" width="11.42578125" style="274" customWidth="1"/>
    <col min="5642" max="5888" width="11.42578125" style="274"/>
    <col min="5889" max="5897" width="11.42578125" style="274" customWidth="1"/>
    <col min="5898" max="6144" width="11.42578125" style="274"/>
    <col min="6145" max="6153" width="11.42578125" style="274" customWidth="1"/>
    <col min="6154" max="6400" width="11.42578125" style="274"/>
    <col min="6401" max="6409" width="11.42578125" style="274" customWidth="1"/>
    <col min="6410" max="6656" width="11.42578125" style="274"/>
    <col min="6657" max="6665" width="11.42578125" style="274" customWidth="1"/>
    <col min="6666" max="6912" width="11.42578125" style="274"/>
    <col min="6913" max="6921" width="11.42578125" style="274" customWidth="1"/>
    <col min="6922" max="7168" width="11.42578125" style="274"/>
    <col min="7169" max="7177" width="11.42578125" style="274" customWidth="1"/>
    <col min="7178" max="7424" width="11.42578125" style="274"/>
    <col min="7425" max="7433" width="11.42578125" style="274" customWidth="1"/>
    <col min="7434" max="7680" width="11.42578125" style="274"/>
    <col min="7681" max="7689" width="11.42578125" style="274" customWidth="1"/>
    <col min="7690" max="7936" width="11.42578125" style="274"/>
    <col min="7937" max="7945" width="11.42578125" style="274" customWidth="1"/>
    <col min="7946" max="8192" width="11.42578125" style="274"/>
    <col min="8193" max="8201" width="11.42578125" style="274" customWidth="1"/>
    <col min="8202" max="8448" width="11.42578125" style="274"/>
    <col min="8449" max="8457" width="11.42578125" style="274" customWidth="1"/>
    <col min="8458" max="8704" width="11.42578125" style="274"/>
    <col min="8705" max="8713" width="11.42578125" style="274" customWidth="1"/>
    <col min="8714" max="8960" width="11.42578125" style="274"/>
    <col min="8961" max="8969" width="11.42578125" style="274" customWidth="1"/>
    <col min="8970" max="9216" width="11.42578125" style="274"/>
    <col min="9217" max="9225" width="11.42578125" style="274" customWidth="1"/>
    <col min="9226" max="9472" width="11.42578125" style="274"/>
    <col min="9473" max="9481" width="11.42578125" style="274" customWidth="1"/>
    <col min="9482" max="9728" width="11.42578125" style="274"/>
    <col min="9729" max="9737" width="11.42578125" style="274" customWidth="1"/>
    <col min="9738" max="9984" width="11.42578125" style="274"/>
    <col min="9985" max="9993" width="11.42578125" style="274" customWidth="1"/>
    <col min="9994" max="10240" width="11.42578125" style="274"/>
    <col min="10241" max="10249" width="11.42578125" style="274" customWidth="1"/>
    <col min="10250" max="10496" width="11.42578125" style="274"/>
    <col min="10497" max="10505" width="11.42578125" style="274" customWidth="1"/>
    <col min="10506" max="10752" width="11.42578125" style="274"/>
    <col min="10753" max="10761" width="11.42578125" style="274" customWidth="1"/>
    <col min="10762" max="11008" width="11.42578125" style="274"/>
    <col min="11009" max="11017" width="11.42578125" style="274" customWidth="1"/>
    <col min="11018" max="11264" width="11.42578125" style="274"/>
    <col min="11265" max="11273" width="11.42578125" style="274" customWidth="1"/>
    <col min="11274" max="11520" width="11.42578125" style="274"/>
    <col min="11521" max="11529" width="11.42578125" style="274" customWidth="1"/>
    <col min="11530" max="11776" width="11.42578125" style="274"/>
    <col min="11777" max="11785" width="11.42578125" style="274" customWidth="1"/>
    <col min="11786" max="12032" width="11.42578125" style="274"/>
    <col min="12033" max="12041" width="11.42578125" style="274" customWidth="1"/>
    <col min="12042" max="12288" width="11.42578125" style="274"/>
    <col min="12289" max="12297" width="11.42578125" style="274" customWidth="1"/>
    <col min="12298" max="12544" width="11.42578125" style="274"/>
    <col min="12545" max="12553" width="11.42578125" style="274" customWidth="1"/>
    <col min="12554" max="12800" width="11.42578125" style="274"/>
    <col min="12801" max="12809" width="11.42578125" style="274" customWidth="1"/>
    <col min="12810" max="13056" width="11.42578125" style="274"/>
    <col min="13057" max="13065" width="11.42578125" style="274" customWidth="1"/>
    <col min="13066" max="13312" width="11.42578125" style="274"/>
    <col min="13313" max="13321" width="11.42578125" style="274" customWidth="1"/>
    <col min="13322" max="13568" width="11.42578125" style="274"/>
    <col min="13569" max="13577" width="11.42578125" style="274" customWidth="1"/>
    <col min="13578" max="13824" width="11.42578125" style="274"/>
    <col min="13825" max="13833" width="11.42578125" style="274" customWidth="1"/>
    <col min="13834" max="14080" width="11.42578125" style="274"/>
    <col min="14081" max="14089" width="11.42578125" style="274" customWidth="1"/>
    <col min="14090" max="14336" width="11.42578125" style="274"/>
    <col min="14337" max="14345" width="11.42578125" style="274" customWidth="1"/>
    <col min="14346" max="14592" width="11.42578125" style="274"/>
    <col min="14593" max="14601" width="11.42578125" style="274" customWidth="1"/>
    <col min="14602" max="14848" width="11.42578125" style="274"/>
    <col min="14849" max="14857" width="11.42578125" style="274" customWidth="1"/>
    <col min="14858" max="15104" width="11.42578125" style="274"/>
    <col min="15105" max="15113" width="11.42578125" style="274" customWidth="1"/>
    <col min="15114" max="15360" width="11.42578125" style="274"/>
    <col min="15361" max="15369" width="11.42578125" style="274" customWidth="1"/>
    <col min="15370" max="15616" width="11.42578125" style="274"/>
    <col min="15617" max="15625" width="11.42578125" style="274" customWidth="1"/>
    <col min="15626" max="15872" width="11.42578125" style="274"/>
    <col min="15873" max="15881" width="11.42578125" style="274" customWidth="1"/>
    <col min="15882" max="16128" width="11.42578125" style="274"/>
    <col min="16129" max="16137" width="11.42578125" style="274" customWidth="1"/>
    <col min="16138" max="16384" width="11.42578125" style="274"/>
  </cols>
  <sheetData>
    <row r="1" spans="1:10" ht="24.75" customHeight="1" x14ac:dyDescent="0.25">
      <c r="A1" s="30" t="str">
        <f>'RECAP #9512.00'!B1</f>
        <v>IDOE IPBS 6450 Corporate Drive Repair Auditorium Exterior Fire Exit</v>
      </c>
      <c r="B1" s="30"/>
      <c r="C1" s="30"/>
      <c r="D1" s="153"/>
      <c r="E1" s="153"/>
      <c r="F1" s="153"/>
      <c r="G1" s="156"/>
      <c r="H1" s="156"/>
      <c r="I1" s="179"/>
      <c r="J1" s="179"/>
    </row>
    <row r="2" spans="1:10" ht="15.75" x14ac:dyDescent="0.25">
      <c r="A2" s="31" t="str">
        <f>'RECAP #9512.00'!B2</f>
        <v>Project # 9512.00</v>
      </c>
      <c r="B2" s="150"/>
      <c r="C2" s="150"/>
      <c r="D2" s="153"/>
      <c r="E2" s="153"/>
      <c r="F2" s="153"/>
      <c r="G2" s="156"/>
      <c r="H2" s="156"/>
      <c r="I2" s="179"/>
      <c r="J2" s="179"/>
    </row>
    <row r="3" spans="1:10" ht="15.75" x14ac:dyDescent="0.25">
      <c r="A3" s="154" t="str">
        <f>'RECAP #9512.00'!B3</f>
        <v>Program code 951200</v>
      </c>
      <c r="B3" s="150"/>
      <c r="C3" s="150"/>
      <c r="D3" s="153"/>
      <c r="E3" s="155" t="str">
        <f>'RECAP #9512.00'!E3</f>
        <v>Major Program 4E19</v>
      </c>
      <c r="F3" s="153"/>
      <c r="G3" s="156"/>
      <c r="H3" s="156"/>
      <c r="I3" s="179"/>
      <c r="J3" s="179"/>
    </row>
    <row r="4" spans="1:10" ht="15.75" x14ac:dyDescent="0.25">
      <c r="A4" s="30" t="s">
        <v>10</v>
      </c>
      <c r="B4" s="31"/>
      <c r="C4" s="31"/>
      <c r="D4" s="179"/>
      <c r="E4" s="180" t="s">
        <v>25</v>
      </c>
      <c r="F4" s="156"/>
      <c r="G4" s="156"/>
      <c r="H4" s="156"/>
      <c r="I4" s="179"/>
      <c r="J4" s="179"/>
    </row>
    <row r="5" spans="1:10" ht="15.75" x14ac:dyDescent="0.25">
      <c r="A5" s="31"/>
      <c r="B5" s="179"/>
      <c r="C5" s="179"/>
      <c r="D5" s="182"/>
      <c r="E5" s="37"/>
      <c r="F5" s="42"/>
      <c r="G5" s="156"/>
      <c r="H5" s="156"/>
      <c r="I5" s="179"/>
      <c r="J5" s="179"/>
    </row>
    <row r="6" spans="1:10" ht="15.75" x14ac:dyDescent="0.25">
      <c r="A6" s="181" t="s">
        <v>66</v>
      </c>
      <c r="B6" s="31"/>
      <c r="C6" s="31"/>
      <c r="D6" s="183"/>
      <c r="E6" s="37" t="s">
        <v>248</v>
      </c>
      <c r="F6" s="42"/>
      <c r="G6" s="43"/>
      <c r="H6" s="156"/>
      <c r="I6" s="179"/>
      <c r="J6" s="179"/>
    </row>
    <row r="7" spans="1:10" ht="15.75" x14ac:dyDescent="0.25">
      <c r="A7" s="31" t="str">
        <f>'RECAP #9512.00'!B6</f>
        <v>Project Manager -Brandon A.</v>
      </c>
      <c r="B7" s="185"/>
      <c r="C7" s="185"/>
      <c r="D7" s="185"/>
      <c r="E7" s="43" t="s">
        <v>2</v>
      </c>
      <c r="F7" s="43"/>
      <c r="G7" s="43"/>
      <c r="H7" s="156"/>
      <c r="I7" s="179"/>
      <c r="J7" s="179" t="s">
        <v>2</v>
      </c>
    </row>
    <row r="8" spans="1:10" ht="32.25" thickBot="1" x14ac:dyDescent="0.3">
      <c r="A8" s="186" t="s">
        <v>16</v>
      </c>
      <c r="B8" s="187" t="s">
        <v>17</v>
      </c>
      <c r="C8" s="207" t="s">
        <v>27</v>
      </c>
      <c r="D8" s="188" t="s">
        <v>28</v>
      </c>
      <c r="E8" s="318" t="s">
        <v>19</v>
      </c>
      <c r="F8" s="189" t="s">
        <v>20</v>
      </c>
      <c r="G8" s="189" t="s">
        <v>21</v>
      </c>
      <c r="H8" s="189" t="s">
        <v>22</v>
      </c>
      <c r="I8" s="189" t="s">
        <v>23</v>
      </c>
      <c r="J8" s="179" t="s">
        <v>2</v>
      </c>
    </row>
    <row r="9" spans="1:10" s="282" customFormat="1" ht="12.75" customHeight="1" x14ac:dyDescent="0.25">
      <c r="A9" s="304"/>
      <c r="B9" s="276"/>
      <c r="C9" s="276"/>
      <c r="D9" s="287" t="s">
        <v>29</v>
      </c>
      <c r="E9" s="278">
        <f>4000+5000+268.86+30.95</f>
        <v>9299.8100000000013</v>
      </c>
      <c r="F9" s="279">
        <f>E9</f>
        <v>9299.8100000000013</v>
      </c>
      <c r="G9" s="280"/>
      <c r="H9" s="280"/>
      <c r="I9" s="280">
        <f>F9</f>
        <v>9299.8100000000013</v>
      </c>
      <c r="J9" s="281"/>
    </row>
    <row r="10" spans="1:10" s="282" customFormat="1" ht="12.75" customHeight="1" x14ac:dyDescent="0.25">
      <c r="A10" s="305" t="s">
        <v>314</v>
      </c>
      <c r="B10" s="276">
        <v>45968</v>
      </c>
      <c r="C10" s="304" t="s">
        <v>261</v>
      </c>
      <c r="D10" s="306" t="s">
        <v>315</v>
      </c>
      <c r="E10" s="279"/>
      <c r="F10" s="279">
        <f t="shared" ref="F10:F28" si="0">F9+E10</f>
        <v>9299.8100000000013</v>
      </c>
      <c r="G10" s="284">
        <v>91</v>
      </c>
      <c r="H10" s="280">
        <f t="shared" ref="H10:H28" si="1">H9+G10</f>
        <v>91</v>
      </c>
      <c r="I10" s="280">
        <f t="shared" ref="I10:I28" si="2">I9-G10+E10</f>
        <v>9208.8100000000013</v>
      </c>
      <c r="J10" s="281"/>
    </row>
    <row r="11" spans="1:10" s="282" customFormat="1" ht="12.75" customHeight="1" x14ac:dyDescent="0.25">
      <c r="A11" s="305" t="s">
        <v>314</v>
      </c>
      <c r="B11" s="276">
        <v>45968</v>
      </c>
      <c r="C11" s="304">
        <v>9500</v>
      </c>
      <c r="D11" s="306" t="s">
        <v>316</v>
      </c>
      <c r="E11" s="279"/>
      <c r="F11" s="279">
        <f t="shared" si="0"/>
        <v>9299.8100000000013</v>
      </c>
      <c r="G11" s="284">
        <v>1384.8</v>
      </c>
      <c r="H11" s="280">
        <f t="shared" si="1"/>
        <v>1475.8</v>
      </c>
      <c r="I11" s="280">
        <f t="shared" si="2"/>
        <v>7824.0100000000011</v>
      </c>
      <c r="J11" s="281"/>
    </row>
    <row r="12" spans="1:10" s="282" customFormat="1" ht="12.75" customHeight="1" x14ac:dyDescent="0.2">
      <c r="A12" s="211" t="s">
        <v>364</v>
      </c>
      <c r="B12" s="191">
        <v>45996</v>
      </c>
      <c r="C12" s="194" t="s">
        <v>261</v>
      </c>
      <c r="D12" s="209" t="s">
        <v>365</v>
      </c>
      <c r="E12" s="279"/>
      <c r="F12" s="279">
        <f t="shared" si="0"/>
        <v>9299.8100000000013</v>
      </c>
      <c r="G12" s="284">
        <v>147.18</v>
      </c>
      <c r="H12" s="280">
        <f t="shared" si="1"/>
        <v>1622.98</v>
      </c>
      <c r="I12" s="280">
        <f t="shared" si="2"/>
        <v>7676.8300000000008</v>
      </c>
      <c r="J12" s="281"/>
    </row>
    <row r="13" spans="1:10" s="282" customFormat="1" ht="12.75" customHeight="1" x14ac:dyDescent="0.2">
      <c r="A13" s="211" t="s">
        <v>364</v>
      </c>
      <c r="B13" s="191">
        <v>45996</v>
      </c>
      <c r="C13" s="308">
        <v>9500</v>
      </c>
      <c r="D13" s="209" t="s">
        <v>366</v>
      </c>
      <c r="E13" s="279"/>
      <c r="F13" s="279">
        <f t="shared" si="0"/>
        <v>9299.8100000000013</v>
      </c>
      <c r="G13" s="284">
        <v>669.9</v>
      </c>
      <c r="H13" s="280">
        <f t="shared" si="1"/>
        <v>2292.88</v>
      </c>
      <c r="I13" s="280">
        <f t="shared" si="2"/>
        <v>7006.9300000000012</v>
      </c>
      <c r="J13" s="281"/>
    </row>
    <row r="14" spans="1:10" s="282" customFormat="1" ht="12.75" customHeight="1" x14ac:dyDescent="0.2">
      <c r="A14" s="211" t="s">
        <v>423</v>
      </c>
      <c r="B14" s="191">
        <v>46030</v>
      </c>
      <c r="C14" s="194" t="s">
        <v>261</v>
      </c>
      <c r="D14" s="209" t="s">
        <v>424</v>
      </c>
      <c r="E14" s="279"/>
      <c r="F14" s="279">
        <f t="shared" si="0"/>
        <v>9299.8100000000013</v>
      </c>
      <c r="G14" s="284">
        <v>38.270000000000003</v>
      </c>
      <c r="H14" s="280">
        <f t="shared" si="1"/>
        <v>2331.15</v>
      </c>
      <c r="I14" s="280">
        <f t="shared" si="2"/>
        <v>6968.6600000000008</v>
      </c>
      <c r="J14" s="281"/>
    </row>
    <row r="15" spans="1:10" s="282" customFormat="1" ht="12.75" customHeight="1" x14ac:dyDescent="0.2">
      <c r="A15" s="211" t="s">
        <v>423</v>
      </c>
      <c r="B15" s="191">
        <v>46030</v>
      </c>
      <c r="C15" s="308">
        <v>9500</v>
      </c>
      <c r="D15" s="209" t="s">
        <v>425</v>
      </c>
      <c r="E15" s="279"/>
      <c r="F15" s="279">
        <f t="shared" si="0"/>
        <v>9299.8100000000013</v>
      </c>
      <c r="G15" s="284">
        <v>435.2</v>
      </c>
      <c r="H15" s="280">
        <f t="shared" si="1"/>
        <v>2766.35</v>
      </c>
      <c r="I15" s="280">
        <f t="shared" si="2"/>
        <v>6533.4600000000009</v>
      </c>
      <c r="J15" s="281"/>
    </row>
    <row r="16" spans="1:10" s="282" customFormat="1" ht="12.75" customHeight="1" x14ac:dyDescent="0.2">
      <c r="A16" s="211" t="s">
        <v>548</v>
      </c>
      <c r="B16" s="191">
        <v>46062</v>
      </c>
      <c r="C16" s="194" t="s">
        <v>261</v>
      </c>
      <c r="D16" s="209" t="s">
        <v>549</v>
      </c>
      <c r="E16" s="279"/>
      <c r="F16" s="279">
        <f t="shared" si="0"/>
        <v>9299.8100000000013</v>
      </c>
      <c r="G16" s="284">
        <v>61.64</v>
      </c>
      <c r="H16" s="280">
        <f t="shared" si="1"/>
        <v>2827.99</v>
      </c>
      <c r="I16" s="280">
        <f t="shared" si="2"/>
        <v>6471.8200000000006</v>
      </c>
      <c r="J16" s="281"/>
    </row>
    <row r="17" spans="1:10" s="282" customFormat="1" ht="12.75" customHeight="1" x14ac:dyDescent="0.2">
      <c r="A17" s="211" t="s">
        <v>548</v>
      </c>
      <c r="B17" s="191">
        <v>46062</v>
      </c>
      <c r="C17" s="308">
        <v>9500</v>
      </c>
      <c r="D17" s="209" t="s">
        <v>550</v>
      </c>
      <c r="E17" s="279"/>
      <c r="F17" s="279">
        <f t="shared" si="0"/>
        <v>9299.8100000000013</v>
      </c>
      <c r="G17" s="284">
        <v>764.4</v>
      </c>
      <c r="H17" s="280">
        <f t="shared" si="1"/>
        <v>3592.39</v>
      </c>
      <c r="I17" s="280">
        <f t="shared" si="2"/>
        <v>5707.420000000001</v>
      </c>
      <c r="J17" s="281"/>
    </row>
    <row r="18" spans="1:10" s="282" customFormat="1" ht="12.75" customHeight="1" x14ac:dyDescent="0.25">
      <c r="A18" s="211" t="s">
        <v>644</v>
      </c>
      <c r="B18" s="191">
        <v>46090</v>
      </c>
      <c r="C18" s="194" t="s">
        <v>261</v>
      </c>
      <c r="D18" s="209" t="s">
        <v>645</v>
      </c>
      <c r="E18" s="274"/>
      <c r="F18" s="279">
        <f t="shared" si="0"/>
        <v>9299.8100000000013</v>
      </c>
      <c r="G18" s="284">
        <v>77.349999999999994</v>
      </c>
      <c r="H18" s="280">
        <f t="shared" si="1"/>
        <v>3669.74</v>
      </c>
      <c r="I18" s="280">
        <f t="shared" si="2"/>
        <v>5630.0700000000006</v>
      </c>
      <c r="J18" s="281"/>
    </row>
    <row r="19" spans="1:10" s="282" customFormat="1" ht="12.75" customHeight="1" x14ac:dyDescent="0.25">
      <c r="A19" s="211" t="s">
        <v>644</v>
      </c>
      <c r="B19" s="191">
        <v>46090</v>
      </c>
      <c r="C19" s="308">
        <v>9500</v>
      </c>
      <c r="D19" s="209" t="s">
        <v>646</v>
      </c>
      <c r="E19" s="274"/>
      <c r="F19" s="279">
        <f t="shared" si="0"/>
        <v>9299.8100000000013</v>
      </c>
      <c r="G19" s="284">
        <v>891.2</v>
      </c>
      <c r="H19" s="280">
        <f t="shared" si="1"/>
        <v>4560.9399999999996</v>
      </c>
      <c r="I19" s="280">
        <f t="shared" si="2"/>
        <v>4738.8700000000008</v>
      </c>
      <c r="J19" s="281"/>
    </row>
    <row r="20" spans="1:10" s="282" customFormat="1" ht="12.75" customHeight="1" x14ac:dyDescent="0.25">
      <c r="A20" s="211" t="s">
        <v>744</v>
      </c>
      <c r="B20" s="191">
        <v>46118</v>
      </c>
      <c r="C20" s="194" t="s">
        <v>261</v>
      </c>
      <c r="D20" s="209" t="s">
        <v>745</v>
      </c>
      <c r="E20" s="274"/>
      <c r="F20" s="279">
        <f t="shared" si="0"/>
        <v>9299.8100000000013</v>
      </c>
      <c r="G20" s="284">
        <v>121.29</v>
      </c>
      <c r="H20" s="280">
        <f t="shared" si="1"/>
        <v>4682.2299999999996</v>
      </c>
      <c r="I20" s="280">
        <f t="shared" si="2"/>
        <v>4617.5800000000008</v>
      </c>
      <c r="J20" s="281"/>
    </row>
    <row r="21" spans="1:10" s="282" customFormat="1" ht="12.75" customHeight="1" x14ac:dyDescent="0.25">
      <c r="A21" s="211" t="s">
        <v>744</v>
      </c>
      <c r="B21" s="191">
        <v>46118</v>
      </c>
      <c r="C21" s="308">
        <v>9500</v>
      </c>
      <c r="D21" s="209" t="s">
        <v>746</v>
      </c>
      <c r="E21" s="274"/>
      <c r="F21" s="279">
        <f t="shared" si="0"/>
        <v>9299.8100000000013</v>
      </c>
      <c r="G21" s="284">
        <v>985.1</v>
      </c>
      <c r="H21" s="280">
        <f t="shared" si="1"/>
        <v>5667.33</v>
      </c>
      <c r="I21" s="280">
        <f t="shared" si="2"/>
        <v>3632.4800000000009</v>
      </c>
      <c r="J21" s="281"/>
    </row>
    <row r="22" spans="1:10" s="282" customFormat="1" ht="12.75" customHeight="1" x14ac:dyDescent="0.25">
      <c r="A22" s="211" t="s">
        <v>869</v>
      </c>
      <c r="B22" s="191">
        <v>46149</v>
      </c>
      <c r="C22" s="194" t="s">
        <v>261</v>
      </c>
      <c r="D22" s="209" t="s">
        <v>870</v>
      </c>
      <c r="E22" s="274"/>
      <c r="F22" s="279">
        <f t="shared" si="0"/>
        <v>9299.8100000000013</v>
      </c>
      <c r="G22" s="284">
        <v>99.91</v>
      </c>
      <c r="H22" s="280">
        <f t="shared" si="1"/>
        <v>5767.24</v>
      </c>
      <c r="I22" s="280">
        <f t="shared" si="2"/>
        <v>3532.5700000000011</v>
      </c>
      <c r="J22" s="281"/>
    </row>
    <row r="23" spans="1:10" s="282" customFormat="1" ht="12.75" customHeight="1" x14ac:dyDescent="0.2">
      <c r="A23" s="211" t="s">
        <v>869</v>
      </c>
      <c r="B23" s="191">
        <v>46149</v>
      </c>
      <c r="C23" s="308">
        <v>9500</v>
      </c>
      <c r="D23" s="209" t="s">
        <v>871</v>
      </c>
      <c r="E23" s="279"/>
      <c r="F23" s="279">
        <f t="shared" si="0"/>
        <v>9299.8100000000013</v>
      </c>
      <c r="G23" s="284">
        <v>1045.0999999999999</v>
      </c>
      <c r="H23" s="280">
        <f t="shared" si="1"/>
        <v>6812.34</v>
      </c>
      <c r="I23" s="280">
        <f t="shared" si="2"/>
        <v>2487.4700000000012</v>
      </c>
      <c r="J23" s="281"/>
    </row>
    <row r="24" spans="1:10" s="282" customFormat="1" ht="12.75" customHeight="1" x14ac:dyDescent="0.2">
      <c r="A24" s="211" t="s">
        <v>984</v>
      </c>
      <c r="B24" s="191">
        <v>46181</v>
      </c>
      <c r="C24" s="194" t="s">
        <v>261</v>
      </c>
      <c r="D24" s="209" t="s">
        <v>985</v>
      </c>
      <c r="E24" s="279"/>
      <c r="F24" s="279">
        <f t="shared" si="0"/>
        <v>9299.8100000000013</v>
      </c>
      <c r="G24" s="284">
        <v>112.05</v>
      </c>
      <c r="H24" s="280">
        <f t="shared" si="1"/>
        <v>6924.39</v>
      </c>
      <c r="I24" s="280">
        <f t="shared" si="2"/>
        <v>2375.420000000001</v>
      </c>
      <c r="J24" s="281"/>
    </row>
    <row r="25" spans="1:10" s="282" customFormat="1" ht="12.75" customHeight="1" x14ac:dyDescent="0.2">
      <c r="A25" s="211" t="s">
        <v>984</v>
      </c>
      <c r="B25" s="191">
        <v>46181</v>
      </c>
      <c r="C25" s="308">
        <v>9500</v>
      </c>
      <c r="D25" s="209" t="s">
        <v>986</v>
      </c>
      <c r="E25" s="279"/>
      <c r="F25" s="279">
        <f t="shared" si="0"/>
        <v>9299.8100000000013</v>
      </c>
      <c r="G25" s="284">
        <v>1372.6</v>
      </c>
      <c r="H25" s="280">
        <f t="shared" si="1"/>
        <v>8296.99</v>
      </c>
      <c r="I25" s="280">
        <f t="shared" si="2"/>
        <v>1002.8200000000011</v>
      </c>
      <c r="J25" s="281"/>
    </row>
    <row r="26" spans="1:10" s="282" customFormat="1" ht="12.75" customHeight="1" x14ac:dyDescent="0.2">
      <c r="A26" s="211" t="s">
        <v>1186</v>
      </c>
      <c r="B26" s="191">
        <v>46211</v>
      </c>
      <c r="C26" s="194" t="s">
        <v>261</v>
      </c>
      <c r="D26" s="209" t="s">
        <v>1187</v>
      </c>
      <c r="E26" s="279"/>
      <c r="F26" s="279">
        <f t="shared" si="0"/>
        <v>9299.8100000000013</v>
      </c>
      <c r="G26" s="284">
        <v>78.069999999999993</v>
      </c>
      <c r="H26" s="280">
        <f t="shared" si="1"/>
        <v>8375.06</v>
      </c>
      <c r="I26" s="280">
        <f t="shared" si="2"/>
        <v>924.75000000000114</v>
      </c>
      <c r="J26" s="281"/>
    </row>
    <row r="27" spans="1:10" s="282" customFormat="1" ht="12.75" customHeight="1" x14ac:dyDescent="0.2">
      <c r="A27" s="211" t="s">
        <v>1186</v>
      </c>
      <c r="B27" s="191">
        <v>46211</v>
      </c>
      <c r="C27" s="308">
        <v>9500</v>
      </c>
      <c r="D27" s="209" t="s">
        <v>1188</v>
      </c>
      <c r="E27" s="279"/>
      <c r="F27" s="279">
        <f t="shared" si="0"/>
        <v>9299.8100000000013</v>
      </c>
      <c r="G27" s="284">
        <v>893.8</v>
      </c>
      <c r="H27" s="280">
        <f t="shared" si="1"/>
        <v>9268.8599999999988</v>
      </c>
      <c r="I27" s="280">
        <f t="shared" si="2"/>
        <v>30.950000000001182</v>
      </c>
      <c r="J27" s="281"/>
    </row>
    <row r="28" spans="1:10" s="282" customFormat="1" ht="12.75" customHeight="1" x14ac:dyDescent="0.2">
      <c r="A28" s="211" t="s">
        <v>1265</v>
      </c>
      <c r="B28" s="191">
        <v>46218</v>
      </c>
      <c r="C28" s="194" t="s">
        <v>261</v>
      </c>
      <c r="D28" s="209" t="s">
        <v>1266</v>
      </c>
      <c r="E28" s="279"/>
      <c r="F28" s="279">
        <f t="shared" si="0"/>
        <v>9299.8100000000013</v>
      </c>
      <c r="G28" s="284">
        <v>30.95</v>
      </c>
      <c r="H28" s="280">
        <f t="shared" si="1"/>
        <v>9299.81</v>
      </c>
      <c r="I28" s="280">
        <f t="shared" si="2"/>
        <v>1.1830536550405668E-12</v>
      </c>
      <c r="J28" s="281"/>
    </row>
    <row r="29" spans="1:10" s="282" customFormat="1" ht="12.75" customHeight="1" x14ac:dyDescent="0.25">
      <c r="A29" s="275"/>
      <c r="B29" s="277"/>
      <c r="C29" s="304"/>
      <c r="D29" s="287"/>
      <c r="E29" s="280"/>
      <c r="F29" s="280"/>
      <c r="G29" s="280"/>
      <c r="H29" s="280"/>
      <c r="I29" s="280"/>
      <c r="J29" s="281"/>
    </row>
    <row r="30" spans="1:10" s="282" customFormat="1" ht="12.75" customHeight="1" thickBot="1" x14ac:dyDescent="0.3">
      <c r="A30" s="275"/>
      <c r="B30" s="288"/>
      <c r="C30" s="304"/>
      <c r="D30" s="289" t="s">
        <v>24</v>
      </c>
      <c r="E30" s="290">
        <f>SUM(E9:E29)</f>
        <v>9299.8100000000013</v>
      </c>
      <c r="F30" s="290"/>
      <c r="G30" s="290">
        <f>SUM(G9:G29)</f>
        <v>9299.81</v>
      </c>
      <c r="H30" s="290"/>
      <c r="I30" s="290">
        <f>E30-G30</f>
        <v>0</v>
      </c>
      <c r="J30" s="281"/>
    </row>
    <row r="31" spans="1:10" s="282" customFormat="1" ht="12.75" customHeight="1" thickTop="1" x14ac:dyDescent="0.25"/>
  </sheetData>
  <pageMargins left="0.25" right="0.25" top="0.95" bottom="0.75" header="0.09" footer="0.3"/>
  <pageSetup scale="67"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B8A02-36EF-4E3F-A75E-2209B4219AD3}">
  <sheetPr>
    <tabColor rgb="FF0070C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style="274" customWidth="1"/>
    <col min="2" max="2" width="11" style="274" customWidth="1"/>
    <col min="3" max="3" width="8.5703125" style="274" customWidth="1"/>
    <col min="4" max="4" width="11.42578125" style="274" customWidth="1"/>
    <col min="5" max="5" width="19.42578125" style="274" customWidth="1"/>
    <col min="6" max="6" width="28" style="274" bestFit="1" customWidth="1"/>
    <col min="7" max="7" width="12.42578125" style="274" customWidth="1"/>
    <col min="8" max="8" width="15.42578125" style="274" customWidth="1"/>
    <col min="9" max="256" width="11.42578125" style="274"/>
    <col min="257" max="259" width="11.42578125" style="274" customWidth="1"/>
    <col min="260" max="260" width="11.42578125" style="274"/>
    <col min="261" max="264" width="11.42578125" style="274" customWidth="1"/>
    <col min="265" max="512" width="11.42578125" style="274"/>
    <col min="513" max="515" width="11.42578125" style="274" customWidth="1"/>
    <col min="516" max="516" width="11.42578125" style="274"/>
    <col min="517" max="520" width="11.42578125" style="274" customWidth="1"/>
    <col min="521" max="768" width="11.42578125" style="274"/>
    <col min="769" max="771" width="11.42578125" style="274" customWidth="1"/>
    <col min="772" max="772" width="11.42578125" style="274"/>
    <col min="773" max="776" width="11.42578125" style="274" customWidth="1"/>
    <col min="777" max="1024" width="11.42578125" style="274"/>
    <col min="1025" max="1027" width="11.42578125" style="274" customWidth="1"/>
    <col min="1028" max="1028" width="11.42578125" style="274"/>
    <col min="1029" max="1032" width="11.42578125" style="274" customWidth="1"/>
    <col min="1033" max="1280" width="11.42578125" style="274"/>
    <col min="1281" max="1283" width="11.42578125" style="274" customWidth="1"/>
    <col min="1284" max="1284" width="11.42578125" style="274"/>
    <col min="1285" max="1288" width="11.42578125" style="274" customWidth="1"/>
    <col min="1289" max="1536" width="11.42578125" style="274"/>
    <col min="1537" max="1539" width="11.42578125" style="274" customWidth="1"/>
    <col min="1540" max="1540" width="11.42578125" style="274"/>
    <col min="1541" max="1544" width="11.42578125" style="274" customWidth="1"/>
    <col min="1545" max="1792" width="11.42578125" style="274"/>
    <col min="1793" max="1795" width="11.42578125" style="274" customWidth="1"/>
    <col min="1796" max="1796" width="11.42578125" style="274"/>
    <col min="1797" max="1800" width="11.42578125" style="274" customWidth="1"/>
    <col min="1801" max="2048" width="11.42578125" style="274"/>
    <col min="2049" max="2051" width="11.42578125" style="274" customWidth="1"/>
    <col min="2052" max="2052" width="11.42578125" style="274"/>
    <col min="2053" max="2056" width="11.42578125" style="274" customWidth="1"/>
    <col min="2057" max="2304" width="11.42578125" style="274"/>
    <col min="2305" max="2307" width="11.42578125" style="274" customWidth="1"/>
    <col min="2308" max="2308" width="11.42578125" style="274"/>
    <col min="2309" max="2312" width="11.42578125" style="274" customWidth="1"/>
    <col min="2313" max="2560" width="11.42578125" style="274"/>
    <col min="2561" max="2563" width="11.42578125" style="274" customWidth="1"/>
    <col min="2564" max="2564" width="11.42578125" style="274"/>
    <col min="2565" max="2568" width="11.42578125" style="274" customWidth="1"/>
    <col min="2569" max="2816" width="11.42578125" style="274"/>
    <col min="2817" max="2819" width="11.42578125" style="274" customWidth="1"/>
    <col min="2820" max="2820" width="11.42578125" style="274"/>
    <col min="2821" max="2824" width="11.42578125" style="274" customWidth="1"/>
    <col min="2825" max="3072" width="11.42578125" style="274"/>
    <col min="3073" max="3075" width="11.42578125" style="274" customWidth="1"/>
    <col min="3076" max="3076" width="11.42578125" style="274"/>
    <col min="3077" max="3080" width="11.42578125" style="274" customWidth="1"/>
    <col min="3081" max="3328" width="11.42578125" style="274"/>
    <col min="3329" max="3331" width="11.42578125" style="274" customWidth="1"/>
    <col min="3332" max="3332" width="11.42578125" style="274"/>
    <col min="3333" max="3336" width="11.42578125" style="274" customWidth="1"/>
    <col min="3337" max="3584" width="11.42578125" style="274"/>
    <col min="3585" max="3587" width="11.42578125" style="274" customWidth="1"/>
    <col min="3588" max="3588" width="11.42578125" style="274"/>
    <col min="3589" max="3592" width="11.42578125" style="274" customWidth="1"/>
    <col min="3593" max="3840" width="11.42578125" style="274"/>
    <col min="3841" max="3843" width="11.42578125" style="274" customWidth="1"/>
    <col min="3844" max="3844" width="11.42578125" style="274"/>
    <col min="3845" max="3848" width="11.42578125" style="274" customWidth="1"/>
    <col min="3849" max="4096" width="11.42578125" style="274"/>
    <col min="4097" max="4099" width="11.42578125" style="274" customWidth="1"/>
    <col min="4100" max="4100" width="11.42578125" style="274"/>
    <col min="4101" max="4104" width="11.42578125" style="274" customWidth="1"/>
    <col min="4105" max="4352" width="11.42578125" style="274"/>
    <col min="4353" max="4355" width="11.42578125" style="274" customWidth="1"/>
    <col min="4356" max="4356" width="11.42578125" style="274"/>
    <col min="4357" max="4360" width="11.42578125" style="274" customWidth="1"/>
    <col min="4361" max="4608" width="11.42578125" style="274"/>
    <col min="4609" max="4611" width="11.42578125" style="274" customWidth="1"/>
    <col min="4612" max="4612" width="11.42578125" style="274"/>
    <col min="4613" max="4616" width="11.42578125" style="274" customWidth="1"/>
    <col min="4617" max="4864" width="11.42578125" style="274"/>
    <col min="4865" max="4867" width="11.42578125" style="274" customWidth="1"/>
    <col min="4868" max="4868" width="11.42578125" style="274"/>
    <col min="4869" max="4872" width="11.42578125" style="274" customWidth="1"/>
    <col min="4873" max="5120" width="11.42578125" style="274"/>
    <col min="5121" max="5123" width="11.42578125" style="274" customWidth="1"/>
    <col min="5124" max="5124" width="11.42578125" style="274"/>
    <col min="5125" max="5128" width="11.42578125" style="274" customWidth="1"/>
    <col min="5129" max="5376" width="11.42578125" style="274"/>
    <col min="5377" max="5379" width="11.42578125" style="274" customWidth="1"/>
    <col min="5380" max="5380" width="11.42578125" style="274"/>
    <col min="5381" max="5384" width="11.42578125" style="274" customWidth="1"/>
    <col min="5385" max="5632" width="11.42578125" style="274"/>
    <col min="5633" max="5635" width="11.42578125" style="274" customWidth="1"/>
    <col min="5636" max="5636" width="11.42578125" style="274"/>
    <col min="5637" max="5640" width="11.42578125" style="274" customWidth="1"/>
    <col min="5641" max="5888" width="11.42578125" style="274"/>
    <col min="5889" max="5891" width="11.42578125" style="274" customWidth="1"/>
    <col min="5892" max="5892" width="11.42578125" style="274"/>
    <col min="5893" max="5896" width="11.42578125" style="274" customWidth="1"/>
    <col min="5897" max="6144" width="11.42578125" style="274"/>
    <col min="6145" max="6147" width="11.42578125" style="274" customWidth="1"/>
    <col min="6148" max="6148" width="11.42578125" style="274"/>
    <col min="6149" max="6152" width="11.42578125" style="274" customWidth="1"/>
    <col min="6153" max="6400" width="11.42578125" style="274"/>
    <col min="6401" max="6403" width="11.42578125" style="274" customWidth="1"/>
    <col min="6404" max="6404" width="11.42578125" style="274"/>
    <col min="6405" max="6408" width="11.42578125" style="274" customWidth="1"/>
    <col min="6409" max="6656" width="11.42578125" style="274"/>
    <col min="6657" max="6659" width="11.42578125" style="274" customWidth="1"/>
    <col min="6660" max="6660" width="11.42578125" style="274"/>
    <col min="6661" max="6664" width="11.42578125" style="274" customWidth="1"/>
    <col min="6665" max="6912" width="11.42578125" style="274"/>
    <col min="6913" max="6915" width="11.42578125" style="274" customWidth="1"/>
    <col min="6916" max="6916" width="11.42578125" style="274"/>
    <col min="6917" max="6920" width="11.42578125" style="274" customWidth="1"/>
    <col min="6921" max="7168" width="11.42578125" style="274"/>
    <col min="7169" max="7171" width="11.42578125" style="274" customWidth="1"/>
    <col min="7172" max="7172" width="11.42578125" style="274"/>
    <col min="7173" max="7176" width="11.42578125" style="274" customWidth="1"/>
    <col min="7177" max="7424" width="11.42578125" style="274"/>
    <col min="7425" max="7427" width="11.42578125" style="274" customWidth="1"/>
    <col min="7428" max="7428" width="11.42578125" style="274"/>
    <col min="7429" max="7432" width="11.42578125" style="274" customWidth="1"/>
    <col min="7433" max="7680" width="11.42578125" style="274"/>
    <col min="7681" max="7683" width="11.42578125" style="274" customWidth="1"/>
    <col min="7684" max="7684" width="11.42578125" style="274"/>
    <col min="7685" max="7688" width="11.42578125" style="274" customWidth="1"/>
    <col min="7689" max="7936" width="11.42578125" style="274"/>
    <col min="7937" max="7939" width="11.42578125" style="274" customWidth="1"/>
    <col min="7940" max="7940" width="11.42578125" style="274"/>
    <col min="7941" max="7944" width="11.42578125" style="274" customWidth="1"/>
    <col min="7945" max="8192" width="11.42578125" style="274"/>
    <col min="8193" max="8195" width="11.42578125" style="274" customWidth="1"/>
    <col min="8196" max="8196" width="11.42578125" style="274"/>
    <col min="8197" max="8200" width="11.42578125" style="274" customWidth="1"/>
    <col min="8201" max="8448" width="11.42578125" style="274"/>
    <col min="8449" max="8451" width="11.42578125" style="274" customWidth="1"/>
    <col min="8452" max="8452" width="11.42578125" style="274"/>
    <col min="8453" max="8456" width="11.42578125" style="274" customWidth="1"/>
    <col min="8457" max="8704" width="11.42578125" style="274"/>
    <col min="8705" max="8707" width="11.42578125" style="274" customWidth="1"/>
    <col min="8708" max="8708" width="11.42578125" style="274"/>
    <col min="8709" max="8712" width="11.42578125" style="274" customWidth="1"/>
    <col min="8713" max="8960" width="11.42578125" style="274"/>
    <col min="8961" max="8963" width="11.42578125" style="274" customWidth="1"/>
    <col min="8964" max="8964" width="11.42578125" style="274"/>
    <col min="8965" max="8968" width="11.42578125" style="274" customWidth="1"/>
    <col min="8969" max="9216" width="11.42578125" style="274"/>
    <col min="9217" max="9219" width="11.42578125" style="274" customWidth="1"/>
    <col min="9220" max="9220" width="11.42578125" style="274"/>
    <col min="9221" max="9224" width="11.42578125" style="274" customWidth="1"/>
    <col min="9225" max="9472" width="11.42578125" style="274"/>
    <col min="9473" max="9475" width="11.42578125" style="274" customWidth="1"/>
    <col min="9476" max="9476" width="11.42578125" style="274"/>
    <col min="9477" max="9480" width="11.42578125" style="274" customWidth="1"/>
    <col min="9481" max="9728" width="11.42578125" style="274"/>
    <col min="9729" max="9731" width="11.42578125" style="274" customWidth="1"/>
    <col min="9732" max="9732" width="11.42578125" style="274"/>
    <col min="9733" max="9736" width="11.42578125" style="274" customWidth="1"/>
    <col min="9737" max="9984" width="11.42578125" style="274"/>
    <col min="9985" max="9987" width="11.42578125" style="274" customWidth="1"/>
    <col min="9988" max="9988" width="11.42578125" style="274"/>
    <col min="9989" max="9992" width="11.42578125" style="274" customWidth="1"/>
    <col min="9993" max="10240" width="11.42578125" style="274"/>
    <col min="10241" max="10243" width="11.42578125" style="274" customWidth="1"/>
    <col min="10244" max="10244" width="11.42578125" style="274"/>
    <col min="10245" max="10248" width="11.42578125" style="274" customWidth="1"/>
    <col min="10249" max="10496" width="11.42578125" style="274"/>
    <col min="10497" max="10499" width="11.42578125" style="274" customWidth="1"/>
    <col min="10500" max="10500" width="11.42578125" style="274"/>
    <col min="10501" max="10504" width="11.42578125" style="274" customWidth="1"/>
    <col min="10505" max="10752" width="11.42578125" style="274"/>
    <col min="10753" max="10755" width="11.42578125" style="274" customWidth="1"/>
    <col min="10756" max="10756" width="11.42578125" style="274"/>
    <col min="10757" max="10760" width="11.42578125" style="274" customWidth="1"/>
    <col min="10761" max="11008" width="11.42578125" style="274"/>
    <col min="11009" max="11011" width="11.42578125" style="274" customWidth="1"/>
    <col min="11012" max="11012" width="11.42578125" style="274"/>
    <col min="11013" max="11016" width="11.42578125" style="274" customWidth="1"/>
    <col min="11017" max="11264" width="11.42578125" style="274"/>
    <col min="11265" max="11267" width="11.42578125" style="274" customWidth="1"/>
    <col min="11268" max="11268" width="11.42578125" style="274"/>
    <col min="11269" max="11272" width="11.42578125" style="274" customWidth="1"/>
    <col min="11273" max="11520" width="11.42578125" style="274"/>
    <col min="11521" max="11523" width="11.42578125" style="274" customWidth="1"/>
    <col min="11524" max="11524" width="11.42578125" style="274"/>
    <col min="11525" max="11528" width="11.42578125" style="274" customWidth="1"/>
    <col min="11529" max="11776" width="11.42578125" style="274"/>
    <col min="11777" max="11779" width="11.42578125" style="274" customWidth="1"/>
    <col min="11780" max="11780" width="11.42578125" style="274"/>
    <col min="11781" max="11784" width="11.42578125" style="274" customWidth="1"/>
    <col min="11785" max="12032" width="11.42578125" style="274"/>
    <col min="12033" max="12035" width="11.42578125" style="274" customWidth="1"/>
    <col min="12036" max="12036" width="11.42578125" style="274"/>
    <col min="12037" max="12040" width="11.42578125" style="274" customWidth="1"/>
    <col min="12041" max="12288" width="11.42578125" style="274"/>
    <col min="12289" max="12291" width="11.42578125" style="274" customWidth="1"/>
    <col min="12292" max="12292" width="11.42578125" style="274"/>
    <col min="12293" max="12296" width="11.42578125" style="274" customWidth="1"/>
    <col min="12297" max="12544" width="11.42578125" style="274"/>
    <col min="12545" max="12547" width="11.42578125" style="274" customWidth="1"/>
    <col min="12548" max="12548" width="11.42578125" style="274"/>
    <col min="12549" max="12552" width="11.42578125" style="274" customWidth="1"/>
    <col min="12553" max="12800" width="11.42578125" style="274"/>
    <col min="12801" max="12803" width="11.42578125" style="274" customWidth="1"/>
    <col min="12804" max="12804" width="11.42578125" style="274"/>
    <col min="12805" max="12808" width="11.42578125" style="274" customWidth="1"/>
    <col min="12809" max="13056" width="11.42578125" style="274"/>
    <col min="13057" max="13059" width="11.42578125" style="274" customWidth="1"/>
    <col min="13060" max="13060" width="11.42578125" style="274"/>
    <col min="13061" max="13064" width="11.42578125" style="274" customWidth="1"/>
    <col min="13065" max="13312" width="11.42578125" style="274"/>
    <col min="13313" max="13315" width="11.42578125" style="274" customWidth="1"/>
    <col min="13316" max="13316" width="11.42578125" style="274"/>
    <col min="13317" max="13320" width="11.42578125" style="274" customWidth="1"/>
    <col min="13321" max="13568" width="11.42578125" style="274"/>
    <col min="13569" max="13571" width="11.42578125" style="274" customWidth="1"/>
    <col min="13572" max="13572" width="11.42578125" style="274"/>
    <col min="13573" max="13576" width="11.42578125" style="274" customWidth="1"/>
    <col min="13577" max="13824" width="11.42578125" style="274"/>
    <col min="13825" max="13827" width="11.42578125" style="274" customWidth="1"/>
    <col min="13828" max="13828" width="11.42578125" style="274"/>
    <col min="13829" max="13832" width="11.42578125" style="274" customWidth="1"/>
    <col min="13833" max="14080" width="11.42578125" style="274"/>
    <col min="14081" max="14083" width="11.42578125" style="274" customWidth="1"/>
    <col min="14084" max="14084" width="11.42578125" style="274"/>
    <col min="14085" max="14088" width="11.42578125" style="274" customWidth="1"/>
    <col min="14089" max="14336" width="11.42578125" style="274"/>
    <col min="14337" max="14339" width="11.42578125" style="274" customWidth="1"/>
    <col min="14340" max="14340" width="11.42578125" style="274"/>
    <col min="14341" max="14344" width="11.42578125" style="274" customWidth="1"/>
    <col min="14345" max="14592" width="11.42578125" style="274"/>
    <col min="14593" max="14595" width="11.42578125" style="274" customWidth="1"/>
    <col min="14596" max="14596" width="11.42578125" style="274"/>
    <col min="14597" max="14600" width="11.42578125" style="274" customWidth="1"/>
    <col min="14601" max="14848" width="11.42578125" style="274"/>
    <col min="14849" max="14851" width="11.42578125" style="274" customWidth="1"/>
    <col min="14852" max="14852" width="11.42578125" style="274"/>
    <col min="14853" max="14856" width="11.42578125" style="274" customWidth="1"/>
    <col min="14857" max="15104" width="11.42578125" style="274"/>
    <col min="15105" max="15107" width="11.42578125" style="274" customWidth="1"/>
    <col min="15108" max="15108" width="11.42578125" style="274"/>
    <col min="15109" max="15112" width="11.42578125" style="274" customWidth="1"/>
    <col min="15113" max="15360" width="11.42578125" style="274"/>
    <col min="15361" max="15363" width="11.42578125" style="274" customWidth="1"/>
    <col min="15364" max="15364" width="11.42578125" style="274"/>
    <col min="15365" max="15368" width="11.42578125" style="274" customWidth="1"/>
    <col min="15369" max="15616" width="11.42578125" style="274"/>
    <col min="15617" max="15619" width="11.42578125" style="274" customWidth="1"/>
    <col min="15620" max="15620" width="11.42578125" style="274"/>
    <col min="15621" max="15624" width="11.42578125" style="274" customWidth="1"/>
    <col min="15625" max="15872" width="11.42578125" style="274"/>
    <col min="15873" max="15875" width="11.42578125" style="274" customWidth="1"/>
    <col min="15876" max="15876" width="11.42578125" style="274"/>
    <col min="15877" max="15880" width="11.42578125" style="274" customWidth="1"/>
    <col min="15881" max="16128" width="11.42578125" style="274"/>
    <col min="16129" max="16131" width="11.42578125" style="274" customWidth="1"/>
    <col min="16132" max="16132" width="11.42578125" style="274"/>
    <col min="16133" max="16136" width="11.42578125" style="274" customWidth="1"/>
    <col min="16137" max="16384" width="11.42578125" style="274"/>
  </cols>
  <sheetData>
    <row r="1" spans="1:8" ht="24.75" customHeight="1" x14ac:dyDescent="0.25">
      <c r="A1" s="30" t="str">
        <f>'RECAP #9512.00'!B1</f>
        <v>IDOE IPBS 6450 Corporate Drive Repair Auditorium Exterior Fire Exit</v>
      </c>
      <c r="B1" s="30"/>
      <c r="C1" s="30"/>
      <c r="D1" s="30"/>
      <c r="E1" s="153"/>
      <c r="F1" s="153"/>
      <c r="G1" s="153"/>
      <c r="H1" s="156"/>
    </row>
    <row r="2" spans="1:8" ht="15.75" x14ac:dyDescent="0.25">
      <c r="A2" s="31" t="str">
        <f>'RECAP #9512.00'!B2</f>
        <v>Project # 9512.00</v>
      </c>
      <c r="B2" s="150"/>
      <c r="C2" s="150"/>
      <c r="D2" s="150"/>
      <c r="E2" s="153"/>
      <c r="F2" s="153"/>
      <c r="G2" s="153"/>
      <c r="H2" s="156"/>
    </row>
    <row r="3" spans="1:8" ht="15.75" x14ac:dyDescent="0.25">
      <c r="A3" s="154" t="str">
        <f>'RECAP #9512.00'!B3</f>
        <v>Program code 951200</v>
      </c>
      <c r="B3" s="150"/>
      <c r="C3" s="150"/>
      <c r="D3" s="150"/>
      <c r="E3" s="155" t="str">
        <f>'RECAP #9512.00'!E3</f>
        <v>Major Program 4E19</v>
      </c>
      <c r="F3" s="150"/>
      <c r="G3" s="153"/>
      <c r="H3" s="156"/>
    </row>
    <row r="4" spans="1:8" ht="15.75" x14ac:dyDescent="0.25">
      <c r="A4" s="210" t="s">
        <v>30</v>
      </c>
      <c r="B4" s="31"/>
      <c r="C4" s="31"/>
      <c r="D4" s="31"/>
      <c r="E4" s="180"/>
      <c r="F4" s="150"/>
      <c r="G4" s="156"/>
      <c r="H4" s="156"/>
    </row>
    <row r="5" spans="1:8" ht="15.75" x14ac:dyDescent="0.25">
      <c r="A5" s="31"/>
      <c r="B5" s="179"/>
      <c r="C5" s="179"/>
      <c r="D5" s="179"/>
      <c r="E5" s="69" t="s">
        <v>31</v>
      </c>
      <c r="F5" s="150"/>
      <c r="G5" s="42"/>
      <c r="H5" s="156"/>
    </row>
    <row r="6" spans="1:8" ht="15.75" x14ac:dyDescent="0.25">
      <c r="A6" s="181" t="s">
        <v>66</v>
      </c>
      <c r="B6" s="31"/>
      <c r="C6" s="31"/>
      <c r="D6" s="31"/>
      <c r="E6" s="155" t="s">
        <v>458</v>
      </c>
      <c r="F6" s="179"/>
      <c r="G6" s="42"/>
      <c r="H6" s="156"/>
    </row>
    <row r="7" spans="1:8" ht="15.75" x14ac:dyDescent="0.25">
      <c r="A7" s="31" t="str">
        <f>'RECAP #9512.00'!B6</f>
        <v>Project Manager -Brandon A.</v>
      </c>
      <c r="B7" s="185"/>
      <c r="C7" s="185"/>
      <c r="D7" s="185"/>
      <c r="E7" s="185"/>
      <c r="F7" s="150"/>
      <c r="G7" s="156"/>
      <c r="H7" s="156"/>
    </row>
    <row r="8" spans="1:8" ht="32.25" thickBot="1" x14ac:dyDescent="0.3">
      <c r="A8" s="186" t="s">
        <v>32</v>
      </c>
      <c r="B8" s="187" t="s">
        <v>17</v>
      </c>
      <c r="C8" s="207" t="s">
        <v>27</v>
      </c>
      <c r="D8" s="207" t="s">
        <v>28</v>
      </c>
      <c r="E8" s="188" t="s">
        <v>18</v>
      </c>
      <c r="F8" s="189" t="s">
        <v>33</v>
      </c>
      <c r="G8" s="189" t="s">
        <v>21</v>
      </c>
      <c r="H8" s="189" t="s">
        <v>22</v>
      </c>
    </row>
    <row r="9" spans="1:8" s="282" customFormat="1" ht="12.75" customHeight="1" x14ac:dyDescent="0.25">
      <c r="A9" s="286"/>
      <c r="B9" s="276"/>
      <c r="C9" s="275"/>
      <c r="D9" s="275"/>
      <c r="E9" s="305"/>
      <c r="F9" s="319"/>
      <c r="G9" s="320"/>
      <c r="H9" s="320">
        <f>G9</f>
        <v>0</v>
      </c>
    </row>
    <row r="10" spans="1:8" s="282" customFormat="1" ht="12.75" customHeight="1" x14ac:dyDescent="0.25">
      <c r="A10" s="304"/>
      <c r="B10" s="276"/>
      <c r="C10" s="287"/>
      <c r="D10" s="287"/>
      <c r="E10" s="281"/>
      <c r="F10" s="315"/>
      <c r="G10" s="320"/>
      <c r="H10" s="320">
        <f>H9+G10</f>
        <v>0</v>
      </c>
    </row>
    <row r="11" spans="1:8" s="282" customFormat="1" ht="12.75" customHeight="1" x14ac:dyDescent="0.25">
      <c r="A11" s="304"/>
      <c r="B11" s="276"/>
      <c r="C11" s="276"/>
      <c r="D11" s="276"/>
      <c r="E11" s="281"/>
      <c r="F11" s="315"/>
      <c r="G11" s="320"/>
      <c r="H11" s="320">
        <f t="shared" ref="H11:H20" si="0">H10+G11</f>
        <v>0</v>
      </c>
    </row>
    <row r="12" spans="1:8" s="282" customFormat="1" ht="12.75" customHeight="1" x14ac:dyDescent="0.25">
      <c r="A12" s="304" t="s">
        <v>2</v>
      </c>
      <c r="B12" s="276" t="s">
        <v>2</v>
      </c>
      <c r="C12" s="276"/>
      <c r="D12" s="276"/>
      <c r="E12" s="281" t="s">
        <v>2</v>
      </c>
      <c r="F12" s="315"/>
      <c r="G12" s="320"/>
      <c r="H12" s="320">
        <f t="shared" si="0"/>
        <v>0</v>
      </c>
    </row>
    <row r="13" spans="1:8" s="282" customFormat="1" ht="12.75" customHeight="1" x14ac:dyDescent="0.25">
      <c r="A13" s="304" t="s">
        <v>2</v>
      </c>
      <c r="B13" s="276" t="s">
        <v>2</v>
      </c>
      <c r="C13" s="276"/>
      <c r="D13" s="276"/>
      <c r="E13" s="281" t="s">
        <v>2</v>
      </c>
      <c r="F13" s="315"/>
      <c r="G13" s="320"/>
      <c r="H13" s="320">
        <f t="shared" si="0"/>
        <v>0</v>
      </c>
    </row>
    <row r="14" spans="1:8" s="282" customFormat="1" ht="12.75" customHeight="1" x14ac:dyDescent="0.25">
      <c r="A14" s="304"/>
      <c r="B14" s="276"/>
      <c r="C14" s="276"/>
      <c r="D14" s="276"/>
      <c r="E14" s="281"/>
      <c r="F14" s="315"/>
      <c r="G14" s="320"/>
      <c r="H14" s="320">
        <f t="shared" si="0"/>
        <v>0</v>
      </c>
    </row>
    <row r="15" spans="1:8" s="282" customFormat="1" ht="12.75" customHeight="1" x14ac:dyDescent="0.25">
      <c r="A15" s="304"/>
      <c r="B15" s="276"/>
      <c r="C15" s="276"/>
      <c r="D15" s="276"/>
      <c r="E15" s="291"/>
      <c r="F15" s="315"/>
      <c r="G15" s="320"/>
      <c r="H15" s="320">
        <f t="shared" si="0"/>
        <v>0</v>
      </c>
    </row>
    <row r="16" spans="1:8" s="282" customFormat="1" ht="12.75" customHeight="1" x14ac:dyDescent="0.25">
      <c r="A16" s="304"/>
      <c r="B16" s="276"/>
      <c r="C16" s="276"/>
      <c r="D16" s="276"/>
      <c r="E16" s="281"/>
      <c r="F16" s="315"/>
      <c r="G16" s="320"/>
      <c r="H16" s="320">
        <f t="shared" si="0"/>
        <v>0</v>
      </c>
    </row>
    <row r="17" spans="1:8" s="282" customFormat="1" ht="12.75" customHeight="1" x14ac:dyDescent="0.25">
      <c r="A17" s="275"/>
      <c r="B17" s="276"/>
      <c r="C17" s="276"/>
      <c r="D17" s="276"/>
      <c r="E17" s="281"/>
      <c r="F17" s="315"/>
      <c r="G17" s="320"/>
      <c r="H17" s="320">
        <f t="shared" si="0"/>
        <v>0</v>
      </c>
    </row>
    <row r="18" spans="1:8" s="282" customFormat="1" ht="12.75" customHeight="1" x14ac:dyDescent="0.25">
      <c r="A18" s="275"/>
      <c r="B18" s="276"/>
      <c r="C18" s="276"/>
      <c r="D18" s="276"/>
      <c r="E18" s="281"/>
      <c r="F18" s="315"/>
      <c r="G18" s="320"/>
      <c r="H18" s="320">
        <f t="shared" si="0"/>
        <v>0</v>
      </c>
    </row>
    <row r="19" spans="1:8" s="282" customFormat="1" ht="12.75" customHeight="1" x14ac:dyDescent="0.25">
      <c r="A19" s="275"/>
      <c r="B19" s="276"/>
      <c r="C19" s="276"/>
      <c r="D19" s="276"/>
      <c r="E19" s="281"/>
      <c r="F19" s="315"/>
      <c r="G19" s="320"/>
      <c r="H19" s="320">
        <f t="shared" si="0"/>
        <v>0</v>
      </c>
    </row>
    <row r="20" spans="1:8" s="282" customFormat="1" ht="12.75" customHeight="1" x14ac:dyDescent="0.25">
      <c r="A20" s="275"/>
      <c r="B20" s="276"/>
      <c r="C20" s="276"/>
      <c r="D20" s="276"/>
      <c r="E20" s="281"/>
      <c r="F20" s="315"/>
      <c r="G20" s="320"/>
      <c r="H20" s="320">
        <f t="shared" si="0"/>
        <v>0</v>
      </c>
    </row>
    <row r="21" spans="1:8" s="282" customFormat="1" ht="12.75" customHeight="1" x14ac:dyDescent="0.25">
      <c r="A21" s="275"/>
      <c r="B21" s="287"/>
      <c r="C21" s="287"/>
      <c r="D21" s="287"/>
      <c r="E21" s="281"/>
      <c r="F21" s="320"/>
      <c r="G21" s="281"/>
      <c r="H21" s="320"/>
    </row>
    <row r="22" spans="1:8" s="282" customFormat="1" ht="12.75" customHeight="1" thickBot="1" x14ac:dyDescent="0.3">
      <c r="A22" s="321"/>
      <c r="B22" s="293"/>
      <c r="C22" s="293"/>
      <c r="D22" s="293"/>
      <c r="E22" s="322" t="s">
        <v>24</v>
      </c>
      <c r="F22" s="323"/>
      <c r="G22" s="290">
        <f>SUM(G9:G21)</f>
        <v>0</v>
      </c>
      <c r="H22" s="323"/>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6CEB6-6434-4B72-BF69-5D4A07248BD7}">
  <sheetPr>
    <tabColor rgb="FF0070C0"/>
    <pageSetUpPr fitToPage="1"/>
  </sheetPr>
  <dimension ref="A1:I29"/>
  <sheetViews>
    <sheetView zoomScaleNormal="100" workbookViewId="0">
      <selection activeCell="B13" sqref="B13:D13"/>
    </sheetView>
  </sheetViews>
  <sheetFormatPr defaultColWidth="11.42578125" defaultRowHeight="15" customHeight="1" x14ac:dyDescent="0.25"/>
  <cols>
    <col min="1" max="1" width="24.5703125" style="274" customWidth="1"/>
    <col min="2" max="2" width="9.42578125" style="274" customWidth="1"/>
    <col min="3" max="3" width="21.85546875" style="274" bestFit="1" customWidth="1"/>
    <col min="4" max="4" width="14.42578125" style="274" customWidth="1"/>
    <col min="5" max="5" width="13.5703125" style="274" customWidth="1"/>
    <col min="6" max="6" width="12.42578125" style="274" customWidth="1"/>
    <col min="7" max="7" width="10.5703125" style="274" customWidth="1"/>
    <col min="8" max="8" width="10.5703125" style="274" bestFit="1"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#9512.00'!B1</f>
        <v>IDOE IPBS 6450 Corporate Drive Repair Auditorium Exterior Fire Exit</v>
      </c>
      <c r="B1" s="30"/>
      <c r="C1" s="153"/>
      <c r="D1" s="153"/>
      <c r="E1" s="153"/>
      <c r="F1" s="156"/>
      <c r="G1" s="156"/>
      <c r="H1" s="179"/>
      <c r="I1" s="179"/>
    </row>
    <row r="2" spans="1:9" ht="15.75" x14ac:dyDescent="0.25">
      <c r="A2" s="31" t="str">
        <f>'RECAP #9512.00'!B2</f>
        <v>Project # 9512.00</v>
      </c>
      <c r="B2" s="150"/>
      <c r="C2" s="153"/>
      <c r="D2" s="153"/>
      <c r="E2" s="153"/>
      <c r="F2" s="156"/>
      <c r="G2" s="156"/>
      <c r="H2" s="179"/>
      <c r="I2" s="179"/>
    </row>
    <row r="3" spans="1:9" ht="15.75" x14ac:dyDescent="0.25">
      <c r="A3" s="154" t="str">
        <f>'RECAP #9512.00'!B3</f>
        <v>Program code 951200</v>
      </c>
      <c r="B3" s="150"/>
      <c r="C3" s="153"/>
      <c r="D3" s="155" t="str">
        <f>'RECAP #9512.00'!E3</f>
        <v>Major Program 4E19</v>
      </c>
      <c r="E3" s="153"/>
      <c r="F3" s="156"/>
      <c r="G3" s="156"/>
      <c r="H3" s="179"/>
      <c r="I3" s="179"/>
    </row>
    <row r="4" spans="1:9" ht="15.75" x14ac:dyDescent="0.25">
      <c r="A4" s="30" t="s">
        <v>350</v>
      </c>
      <c r="B4" s="31"/>
      <c r="C4" s="179"/>
      <c r="D4" s="180" t="s">
        <v>351</v>
      </c>
      <c r="E4" s="156"/>
      <c r="F4" s="156"/>
      <c r="G4" s="156"/>
      <c r="H4" s="179"/>
      <c r="I4" s="179"/>
    </row>
    <row r="5" spans="1:9" ht="15.75" x14ac:dyDescent="0.25">
      <c r="A5" s="181" t="s">
        <v>104</v>
      </c>
      <c r="B5" s="179"/>
      <c r="C5" s="182"/>
      <c r="D5" s="37" t="s">
        <v>352</v>
      </c>
      <c r="E5" s="42"/>
      <c r="F5" s="156"/>
      <c r="G5" s="156"/>
      <c r="H5" s="179"/>
      <c r="I5" s="179"/>
    </row>
    <row r="6" spans="1:9" ht="15.75" x14ac:dyDescent="0.25">
      <c r="A6" s="31" t="str">
        <f>'RECAP #9512.00'!B6</f>
        <v>Project Manager -Brandon A.</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720</v>
      </c>
      <c r="B9" s="276">
        <v>46112</v>
      </c>
      <c r="C9" s="277" t="s">
        <v>109</v>
      </c>
      <c r="D9" s="278">
        <v>4929.04</v>
      </c>
      <c r="E9" s="279">
        <f>D9</f>
        <v>4929.04</v>
      </c>
      <c r="F9" s="280"/>
      <c r="G9" s="280"/>
      <c r="H9" s="280">
        <f>E9</f>
        <v>4929.04</v>
      </c>
      <c r="I9" s="281"/>
    </row>
    <row r="10" spans="1:9" s="282" customFormat="1" ht="12.75" customHeight="1" x14ac:dyDescent="0.25">
      <c r="A10" s="275" t="s">
        <v>803</v>
      </c>
      <c r="B10" s="283">
        <v>46129</v>
      </c>
      <c r="C10" s="277" t="s">
        <v>722</v>
      </c>
      <c r="D10" s="279"/>
      <c r="E10" s="279">
        <f t="shared" ref="E10:E21" si="0">E9+D10</f>
        <v>4929.04</v>
      </c>
      <c r="F10" s="284">
        <v>4851.13</v>
      </c>
      <c r="G10" s="280">
        <f t="shared" ref="G10:G21" si="1">G9+F10</f>
        <v>4851.13</v>
      </c>
      <c r="H10" s="280">
        <f t="shared" ref="H10:H21" si="2">H9-F10+D10</f>
        <v>77.909999999999854</v>
      </c>
      <c r="I10" s="281"/>
    </row>
    <row r="11" spans="1:9" s="282" customFormat="1" ht="12.75" customHeight="1" x14ac:dyDescent="0.25">
      <c r="A11" s="275" t="s">
        <v>720</v>
      </c>
      <c r="B11" s="276">
        <v>46216</v>
      </c>
      <c r="C11" s="277" t="s">
        <v>1202</v>
      </c>
      <c r="D11" s="285">
        <v>-77.91</v>
      </c>
      <c r="E11" s="279">
        <f t="shared" si="0"/>
        <v>4851.13</v>
      </c>
      <c r="F11" s="284"/>
      <c r="G11" s="280">
        <f t="shared" si="1"/>
        <v>4851.13</v>
      </c>
      <c r="H11" s="280">
        <f t="shared" si="2"/>
        <v>-1.4210854715202004E-13</v>
      </c>
      <c r="I11" s="281"/>
    </row>
    <row r="12" spans="1:9" s="282" customFormat="1" ht="12.75" customHeight="1" x14ac:dyDescent="0.25">
      <c r="A12" s="275"/>
      <c r="B12" s="276"/>
      <c r="C12" s="277"/>
      <c r="D12" s="279"/>
      <c r="E12" s="279">
        <f t="shared" si="0"/>
        <v>4851.13</v>
      </c>
      <c r="F12" s="284"/>
      <c r="G12" s="280">
        <f t="shared" si="1"/>
        <v>4851.13</v>
      </c>
      <c r="H12" s="280">
        <f t="shared" si="2"/>
        <v>-1.4210854715202004E-13</v>
      </c>
      <c r="I12" s="281"/>
    </row>
    <row r="13" spans="1:9" s="282" customFormat="1" ht="12.75" customHeight="1" x14ac:dyDescent="0.25">
      <c r="A13" s="275"/>
      <c r="B13" s="276"/>
      <c r="C13" s="277"/>
      <c r="D13" s="279"/>
      <c r="E13" s="279">
        <f t="shared" si="0"/>
        <v>4851.13</v>
      </c>
      <c r="F13" s="284"/>
      <c r="G13" s="280">
        <f t="shared" si="1"/>
        <v>4851.13</v>
      </c>
      <c r="H13" s="280">
        <f t="shared" si="2"/>
        <v>-1.4210854715202004E-13</v>
      </c>
      <c r="I13" s="281"/>
    </row>
    <row r="14" spans="1:9" s="282" customFormat="1" ht="12.75" customHeight="1" x14ac:dyDescent="0.25">
      <c r="A14" s="275"/>
      <c r="B14" s="276"/>
      <c r="C14" s="277"/>
      <c r="D14" s="279"/>
      <c r="E14" s="279">
        <f t="shared" si="0"/>
        <v>4851.13</v>
      </c>
      <c r="F14" s="280"/>
      <c r="G14" s="280">
        <f t="shared" si="1"/>
        <v>4851.13</v>
      </c>
      <c r="H14" s="280">
        <f t="shared" si="2"/>
        <v>-1.4210854715202004E-13</v>
      </c>
      <c r="I14" s="281"/>
    </row>
    <row r="15" spans="1:9" s="282" customFormat="1" ht="12.75" customHeight="1" x14ac:dyDescent="0.25">
      <c r="A15" s="275"/>
      <c r="B15" s="276"/>
      <c r="C15" s="277"/>
      <c r="D15" s="279"/>
      <c r="E15" s="279">
        <f t="shared" si="0"/>
        <v>4851.13</v>
      </c>
      <c r="F15" s="284"/>
      <c r="G15" s="280">
        <f t="shared" si="1"/>
        <v>4851.13</v>
      </c>
      <c r="H15" s="280">
        <f t="shared" si="2"/>
        <v>-1.4210854715202004E-13</v>
      </c>
      <c r="I15" s="281"/>
    </row>
    <row r="16" spans="1:9" s="282" customFormat="1" ht="12.75" customHeight="1" x14ac:dyDescent="0.25">
      <c r="A16" s="275"/>
      <c r="B16" s="276"/>
      <c r="C16" s="277"/>
      <c r="D16" s="279"/>
      <c r="E16" s="279">
        <f t="shared" si="0"/>
        <v>4851.13</v>
      </c>
      <c r="F16" s="284"/>
      <c r="G16" s="280">
        <f t="shared" si="1"/>
        <v>4851.13</v>
      </c>
      <c r="H16" s="280">
        <f t="shared" si="2"/>
        <v>-1.4210854715202004E-13</v>
      </c>
      <c r="I16" s="281"/>
    </row>
    <row r="17" spans="1:9" s="282" customFormat="1" ht="12.75" customHeight="1" x14ac:dyDescent="0.25">
      <c r="A17" s="275"/>
      <c r="B17" s="276"/>
      <c r="C17" s="277"/>
      <c r="D17" s="279"/>
      <c r="E17" s="279">
        <f t="shared" si="0"/>
        <v>4851.13</v>
      </c>
      <c r="F17" s="284"/>
      <c r="G17" s="280">
        <f t="shared" si="1"/>
        <v>4851.13</v>
      </c>
      <c r="H17" s="280">
        <f t="shared" si="2"/>
        <v>-1.4210854715202004E-13</v>
      </c>
      <c r="I17" s="281"/>
    </row>
    <row r="18" spans="1:9" s="282" customFormat="1" ht="12.75" customHeight="1" x14ac:dyDescent="0.25">
      <c r="A18" s="275"/>
      <c r="B18" s="276"/>
      <c r="C18" s="277"/>
      <c r="D18" s="279"/>
      <c r="E18" s="279">
        <f t="shared" si="0"/>
        <v>4851.13</v>
      </c>
      <c r="F18" s="284"/>
      <c r="G18" s="280">
        <f t="shared" si="1"/>
        <v>4851.13</v>
      </c>
      <c r="H18" s="280">
        <f t="shared" si="2"/>
        <v>-1.4210854715202004E-13</v>
      </c>
      <c r="I18" s="281"/>
    </row>
    <row r="19" spans="1:9" s="282" customFormat="1" ht="12.75" customHeight="1" x14ac:dyDescent="0.25">
      <c r="A19" s="275"/>
      <c r="B19" s="276"/>
      <c r="C19" s="277"/>
      <c r="D19" s="279"/>
      <c r="E19" s="279">
        <f t="shared" si="0"/>
        <v>4851.13</v>
      </c>
      <c r="F19" s="280"/>
      <c r="G19" s="280">
        <f t="shared" si="1"/>
        <v>4851.13</v>
      </c>
      <c r="H19" s="280">
        <f t="shared" si="2"/>
        <v>-1.4210854715202004E-13</v>
      </c>
      <c r="I19" s="281"/>
    </row>
    <row r="20" spans="1:9" s="282" customFormat="1" ht="12.75" customHeight="1" x14ac:dyDescent="0.25">
      <c r="A20" s="275"/>
      <c r="B20" s="276"/>
      <c r="C20" s="277"/>
      <c r="D20" s="279"/>
      <c r="E20" s="279">
        <f t="shared" si="0"/>
        <v>4851.13</v>
      </c>
      <c r="F20" s="280"/>
      <c r="G20" s="280">
        <f t="shared" si="1"/>
        <v>4851.13</v>
      </c>
      <c r="H20" s="280">
        <f t="shared" si="2"/>
        <v>-1.4210854715202004E-13</v>
      </c>
      <c r="I20" s="281"/>
    </row>
    <row r="21" spans="1:9" s="282" customFormat="1" ht="12.75" customHeight="1" x14ac:dyDescent="0.25">
      <c r="A21" s="275"/>
      <c r="B21" s="276"/>
      <c r="C21" s="286"/>
      <c r="D21" s="279"/>
      <c r="E21" s="279">
        <f t="shared" si="0"/>
        <v>4851.13</v>
      </c>
      <c r="F21" s="280"/>
      <c r="G21" s="280">
        <f t="shared" si="1"/>
        <v>4851.13</v>
      </c>
      <c r="H21" s="280">
        <f t="shared" si="2"/>
        <v>-1.4210854715202004E-13</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4851.13</v>
      </c>
      <c r="E23" s="290"/>
      <c r="F23" s="290">
        <f>SUM(F9:F22)</f>
        <v>4851.13</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80">
        <f>4854.04-5.91</f>
        <v>4848.13</v>
      </c>
      <c r="E26" s="280"/>
      <c r="F26" s="280">
        <f>4848.13</f>
        <v>4848.13</v>
      </c>
      <c r="G26" s="280"/>
      <c r="H26" s="280">
        <f>D26-F26</f>
        <v>0</v>
      </c>
      <c r="I26" s="281"/>
    </row>
    <row r="27" spans="1:9" s="282" customFormat="1" ht="12.75" customHeight="1" x14ac:dyDescent="0.25">
      <c r="A27" s="275"/>
      <c r="B27" s="277"/>
      <c r="C27" s="287" t="s">
        <v>834</v>
      </c>
      <c r="D27" s="280">
        <f>75-72</f>
        <v>3</v>
      </c>
      <c r="E27" s="280"/>
      <c r="F27" s="280">
        <f>3</f>
        <v>3</v>
      </c>
      <c r="G27" s="280"/>
      <c r="H27" s="280">
        <f>D27-F27</f>
        <v>0</v>
      </c>
      <c r="I27" s="281"/>
    </row>
    <row r="28" spans="1:9" ht="15" customHeight="1" thickBot="1" x14ac:dyDescent="0.3">
      <c r="C28" s="293" t="s">
        <v>67</v>
      </c>
      <c r="D28" s="290">
        <f>SUM(D25:D27)</f>
        <v>4851.13</v>
      </c>
      <c r="E28" s="294"/>
      <c r="F28" s="290">
        <f>SUM(F26:F27)</f>
        <v>4851.13</v>
      </c>
      <c r="G28" s="294"/>
      <c r="H28" s="290">
        <f>SUM(H25:H27)</f>
        <v>0</v>
      </c>
    </row>
    <row r="29" spans="1:9" ht="15" customHeight="1" thickTop="1" x14ac:dyDescent="0.25">
      <c r="C29" s="282"/>
      <c r="D29" s="282"/>
      <c r="E29" s="282"/>
      <c r="F29" s="282"/>
      <c r="G29" s="282"/>
      <c r="H29" s="282"/>
    </row>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D0B63-4E7E-40CE-BA8C-322BCEB63A9A}">
  <sheetPr>
    <tabColor rgb="FF0070C0"/>
    <pageSetUpPr fitToPage="1"/>
  </sheetPr>
  <dimension ref="A1:I31"/>
  <sheetViews>
    <sheetView zoomScaleNormal="100" workbookViewId="0">
      <selection activeCell="M30" sqref="M30"/>
    </sheetView>
  </sheetViews>
  <sheetFormatPr defaultColWidth="11.42578125" defaultRowHeight="15" customHeight="1" x14ac:dyDescent="0.25"/>
  <cols>
    <col min="1" max="1" width="24.5703125" style="274" customWidth="1"/>
    <col min="2" max="2" width="9.42578125" style="274" customWidth="1"/>
    <col min="3" max="3" width="21.85546875" style="274" bestFit="1" customWidth="1"/>
    <col min="4" max="4" width="14.42578125" style="274" customWidth="1"/>
    <col min="5" max="5" width="13.5703125" style="274" customWidth="1"/>
    <col min="6" max="6" width="12.42578125" style="274" customWidth="1"/>
    <col min="7" max="7" width="10.5703125" style="274" customWidth="1"/>
    <col min="8" max="8" width="14.5703125" style="274" customWidth="1"/>
    <col min="9" max="9" width="6.28515625" style="274"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#9512.00'!B1</f>
        <v>IDOE IPBS 6450 Corporate Drive Repair Auditorium Exterior Fire Exit</v>
      </c>
      <c r="B1" s="30"/>
      <c r="C1" s="153"/>
      <c r="D1" s="153"/>
      <c r="E1" s="153"/>
      <c r="F1" s="156"/>
      <c r="G1" s="156"/>
      <c r="H1" s="179"/>
      <c r="I1" s="179"/>
    </row>
    <row r="2" spans="1:9" ht="15.75" x14ac:dyDescent="0.25">
      <c r="A2" s="31" t="str">
        <f>'RECAP #9512.00'!B2</f>
        <v>Project # 9512.00</v>
      </c>
      <c r="B2" s="150"/>
      <c r="C2" s="153"/>
      <c r="D2" s="153"/>
      <c r="E2" s="153"/>
      <c r="F2" s="156"/>
      <c r="G2" s="156"/>
      <c r="H2" s="179"/>
      <c r="I2" s="179"/>
    </row>
    <row r="3" spans="1:9" ht="15.75" x14ac:dyDescent="0.25">
      <c r="A3" s="154" t="str">
        <f>'RECAP #9512.00'!B3</f>
        <v>Program code 951200</v>
      </c>
      <c r="B3" s="150"/>
      <c r="C3" s="153"/>
      <c r="D3" s="155" t="str">
        <f>'RECAP #9512.00'!E3</f>
        <v>Major Program 4E19</v>
      </c>
      <c r="E3" s="153"/>
      <c r="F3" s="156"/>
      <c r="G3" s="156"/>
      <c r="H3" s="179"/>
      <c r="I3" s="179"/>
    </row>
    <row r="4" spans="1:9" ht="15.75" x14ac:dyDescent="0.25">
      <c r="A4" s="30" t="s">
        <v>849</v>
      </c>
      <c r="B4" s="31"/>
      <c r="C4" s="179"/>
      <c r="D4" s="180" t="s">
        <v>351</v>
      </c>
      <c r="E4" s="156"/>
      <c r="F4" s="156"/>
      <c r="G4" s="156"/>
      <c r="H4" s="179"/>
      <c r="I4" s="179"/>
    </row>
    <row r="5" spans="1:9" ht="15.75" x14ac:dyDescent="0.25">
      <c r="A5" s="181" t="s">
        <v>104</v>
      </c>
      <c r="B5" s="179"/>
      <c r="C5" s="182"/>
      <c r="D5" s="37" t="s">
        <v>352</v>
      </c>
      <c r="E5" s="42"/>
      <c r="F5" s="156"/>
      <c r="G5" s="156"/>
      <c r="H5" s="179"/>
      <c r="I5" s="179"/>
    </row>
    <row r="6" spans="1:9" ht="15.75" x14ac:dyDescent="0.25">
      <c r="A6" s="31" t="str">
        <f>'RECAP #9512.00'!B6</f>
        <v>Project Manager -Brandon A.</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850</v>
      </c>
      <c r="B9" s="276">
        <v>46148</v>
      </c>
      <c r="C9" s="277" t="s">
        <v>109</v>
      </c>
      <c r="D9" s="278">
        <v>12210.48</v>
      </c>
      <c r="E9" s="279">
        <f>D9</f>
        <v>12210.48</v>
      </c>
      <c r="F9" s="280"/>
      <c r="G9" s="280"/>
      <c r="H9" s="280">
        <f>E9</f>
        <v>12210.48</v>
      </c>
      <c r="I9" s="281"/>
    </row>
    <row r="10" spans="1:9" s="282" customFormat="1" ht="12.75" customHeight="1" x14ac:dyDescent="0.25">
      <c r="A10" s="275" t="s">
        <v>858</v>
      </c>
      <c r="B10" s="283">
        <v>46154</v>
      </c>
      <c r="C10" s="277" t="s">
        <v>859</v>
      </c>
      <c r="D10" s="279"/>
      <c r="E10" s="279">
        <f t="shared" ref="E10:E21" si="0">E9+D10</f>
        <v>12210.48</v>
      </c>
      <c r="F10" s="284">
        <v>3712.5</v>
      </c>
      <c r="G10" s="280">
        <f t="shared" ref="G10:G21" si="1">G9+F10</f>
        <v>3712.5</v>
      </c>
      <c r="H10" s="280">
        <f t="shared" ref="H10:H21" si="2">H9-F10+D10</f>
        <v>8497.98</v>
      </c>
      <c r="I10" s="281"/>
    </row>
    <row r="11" spans="1:9" s="282" customFormat="1" ht="12.75" customHeight="1" x14ac:dyDescent="0.25">
      <c r="A11" s="275" t="s">
        <v>1124</v>
      </c>
      <c r="B11" s="276">
        <v>46199</v>
      </c>
      <c r="C11" s="277" t="s">
        <v>1125</v>
      </c>
      <c r="D11" s="279"/>
      <c r="E11" s="279">
        <f t="shared" si="0"/>
        <v>12210.48</v>
      </c>
      <c r="F11" s="284">
        <v>6430.05</v>
      </c>
      <c r="G11" s="280">
        <f t="shared" si="1"/>
        <v>10142.549999999999</v>
      </c>
      <c r="H11" s="280">
        <f t="shared" si="2"/>
        <v>2067.9299999999994</v>
      </c>
      <c r="I11" s="281"/>
    </row>
    <row r="12" spans="1:9" s="282" customFormat="1" ht="12.75" customHeight="1" x14ac:dyDescent="0.25">
      <c r="A12" s="275" t="s">
        <v>1175</v>
      </c>
      <c r="B12" s="276">
        <v>46210</v>
      </c>
      <c r="C12" s="277" t="s">
        <v>1176</v>
      </c>
      <c r="D12" s="285">
        <v>-78</v>
      </c>
      <c r="E12" s="279">
        <f t="shared" si="0"/>
        <v>12132.48</v>
      </c>
      <c r="F12" s="284">
        <v>1989.93</v>
      </c>
      <c r="G12" s="280">
        <f t="shared" si="1"/>
        <v>12132.48</v>
      </c>
      <c r="H12" s="280">
        <f t="shared" si="2"/>
        <v>-6.8212102632969618E-13</v>
      </c>
      <c r="I12" s="281"/>
    </row>
    <row r="13" spans="1:9" s="282" customFormat="1" ht="12.75" customHeight="1" x14ac:dyDescent="0.25">
      <c r="A13" s="275"/>
      <c r="B13" s="276"/>
      <c r="C13" s="277"/>
      <c r="D13" s="279"/>
      <c r="E13" s="279">
        <f t="shared" si="0"/>
        <v>12132.48</v>
      </c>
      <c r="F13" s="284"/>
      <c r="G13" s="280">
        <f t="shared" si="1"/>
        <v>12132.48</v>
      </c>
      <c r="H13" s="280">
        <f t="shared" si="2"/>
        <v>-6.8212102632969618E-13</v>
      </c>
      <c r="I13" s="281"/>
    </row>
    <row r="14" spans="1:9" s="282" customFormat="1" ht="12.75" customHeight="1" x14ac:dyDescent="0.25">
      <c r="A14" s="275"/>
      <c r="B14" s="276"/>
      <c r="C14" s="277"/>
      <c r="D14" s="279"/>
      <c r="E14" s="279">
        <f t="shared" si="0"/>
        <v>12132.48</v>
      </c>
      <c r="F14" s="280"/>
      <c r="G14" s="280">
        <f t="shared" si="1"/>
        <v>12132.48</v>
      </c>
      <c r="H14" s="280">
        <f t="shared" si="2"/>
        <v>-6.8212102632969618E-13</v>
      </c>
      <c r="I14" s="281"/>
    </row>
    <row r="15" spans="1:9" s="282" customFormat="1" ht="12.75" customHeight="1" x14ac:dyDescent="0.25">
      <c r="A15" s="275"/>
      <c r="B15" s="276"/>
      <c r="C15" s="277"/>
      <c r="D15" s="279"/>
      <c r="E15" s="279">
        <f t="shared" si="0"/>
        <v>12132.48</v>
      </c>
      <c r="F15" s="284"/>
      <c r="G15" s="280">
        <f t="shared" si="1"/>
        <v>12132.48</v>
      </c>
      <c r="H15" s="280">
        <f t="shared" si="2"/>
        <v>-6.8212102632969618E-13</v>
      </c>
      <c r="I15" s="281"/>
    </row>
    <row r="16" spans="1:9" s="282" customFormat="1" ht="12.75" customHeight="1" x14ac:dyDescent="0.25">
      <c r="A16" s="275"/>
      <c r="B16" s="276"/>
      <c r="C16" s="277"/>
      <c r="D16" s="279"/>
      <c r="E16" s="279">
        <f t="shared" si="0"/>
        <v>12132.48</v>
      </c>
      <c r="F16" s="284"/>
      <c r="G16" s="280">
        <f t="shared" si="1"/>
        <v>12132.48</v>
      </c>
      <c r="H16" s="280">
        <f t="shared" si="2"/>
        <v>-6.8212102632969618E-13</v>
      </c>
      <c r="I16" s="281"/>
    </row>
    <row r="17" spans="1:9" s="282" customFormat="1" ht="12.75" customHeight="1" x14ac:dyDescent="0.25">
      <c r="A17" s="275"/>
      <c r="B17" s="276"/>
      <c r="C17" s="277"/>
      <c r="D17" s="279"/>
      <c r="E17" s="279">
        <f t="shared" si="0"/>
        <v>12132.48</v>
      </c>
      <c r="F17" s="284"/>
      <c r="G17" s="280">
        <f t="shared" si="1"/>
        <v>12132.48</v>
      </c>
      <c r="H17" s="280">
        <f t="shared" si="2"/>
        <v>-6.8212102632969618E-13</v>
      </c>
      <c r="I17" s="281"/>
    </row>
    <row r="18" spans="1:9" s="282" customFormat="1" ht="12.75" customHeight="1" x14ac:dyDescent="0.25">
      <c r="A18" s="275"/>
      <c r="B18" s="276"/>
      <c r="C18" s="277"/>
      <c r="D18" s="279"/>
      <c r="E18" s="279">
        <f t="shared" si="0"/>
        <v>12132.48</v>
      </c>
      <c r="F18" s="284"/>
      <c r="G18" s="280">
        <f t="shared" si="1"/>
        <v>12132.48</v>
      </c>
      <c r="H18" s="280">
        <f t="shared" si="2"/>
        <v>-6.8212102632969618E-13</v>
      </c>
      <c r="I18" s="281"/>
    </row>
    <row r="19" spans="1:9" s="282" customFormat="1" ht="12.75" customHeight="1" x14ac:dyDescent="0.25">
      <c r="A19" s="275"/>
      <c r="B19" s="276"/>
      <c r="C19" s="277"/>
      <c r="D19" s="279"/>
      <c r="E19" s="279">
        <f t="shared" si="0"/>
        <v>12132.48</v>
      </c>
      <c r="F19" s="280"/>
      <c r="G19" s="280">
        <f t="shared" si="1"/>
        <v>12132.48</v>
      </c>
      <c r="H19" s="280">
        <f t="shared" si="2"/>
        <v>-6.8212102632969618E-13</v>
      </c>
      <c r="I19" s="281"/>
    </row>
    <row r="20" spans="1:9" s="282" customFormat="1" ht="12.75" customHeight="1" x14ac:dyDescent="0.25">
      <c r="A20" s="275"/>
      <c r="B20" s="276"/>
      <c r="C20" s="277"/>
      <c r="D20" s="279"/>
      <c r="E20" s="279">
        <f t="shared" si="0"/>
        <v>12132.48</v>
      </c>
      <c r="F20" s="280"/>
      <c r="G20" s="280">
        <f t="shared" si="1"/>
        <v>12132.48</v>
      </c>
      <c r="H20" s="280">
        <f t="shared" si="2"/>
        <v>-6.8212102632969618E-13</v>
      </c>
      <c r="I20" s="281"/>
    </row>
    <row r="21" spans="1:9" s="282" customFormat="1" ht="12.75" customHeight="1" x14ac:dyDescent="0.25">
      <c r="A21" s="275"/>
      <c r="B21" s="276"/>
      <c r="C21" s="286"/>
      <c r="D21" s="279"/>
      <c r="E21" s="279">
        <f t="shared" si="0"/>
        <v>12132.48</v>
      </c>
      <c r="F21" s="280"/>
      <c r="G21" s="280">
        <f t="shared" si="1"/>
        <v>12132.48</v>
      </c>
      <c r="H21" s="280">
        <f t="shared" si="2"/>
        <v>-6.8212102632969618E-13</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12132.48</v>
      </c>
      <c r="E23" s="290"/>
      <c r="F23" s="290">
        <f>SUM(F9:F22)</f>
        <v>12132.48</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80">
        <v>12129.48</v>
      </c>
      <c r="E26" s="280"/>
      <c r="F26" s="280">
        <f>3712.5+6430.05+1986.93</f>
        <v>12129.48</v>
      </c>
      <c r="G26" s="280"/>
      <c r="H26" s="280">
        <f>D26-F26</f>
        <v>0</v>
      </c>
      <c r="I26" s="281"/>
    </row>
    <row r="27" spans="1:9" s="282" customFormat="1" ht="12.75" customHeight="1" x14ac:dyDescent="0.25">
      <c r="A27" s="275"/>
      <c r="B27" s="277"/>
      <c r="C27" s="287" t="s">
        <v>834</v>
      </c>
      <c r="D27" s="280">
        <f>81-78</f>
        <v>3</v>
      </c>
      <c r="E27" s="280"/>
      <c r="F27" s="280">
        <v>3</v>
      </c>
      <c r="G27" s="280"/>
      <c r="H27" s="280">
        <f>D27-F27</f>
        <v>0</v>
      </c>
      <c r="I27" s="281"/>
    </row>
    <row r="28" spans="1:9" ht="15" customHeight="1" thickBot="1" x14ac:dyDescent="0.3">
      <c r="C28" s="293" t="s">
        <v>67</v>
      </c>
      <c r="D28" s="290">
        <f>SUM(D25:D27)</f>
        <v>12132.48</v>
      </c>
      <c r="E28" s="294"/>
      <c r="F28" s="290">
        <f>SUM(F26:F27)</f>
        <v>12132.48</v>
      </c>
      <c r="G28" s="294"/>
      <c r="H28" s="290">
        <f>SUM(H25:H27)</f>
        <v>0</v>
      </c>
    </row>
    <row r="29" spans="1:9" ht="15" customHeight="1" thickTop="1" x14ac:dyDescent="0.25">
      <c r="C29" s="282"/>
      <c r="D29" s="282"/>
      <c r="E29" s="282"/>
      <c r="F29" s="282"/>
      <c r="G29" s="282"/>
      <c r="H29" s="282"/>
    </row>
    <row r="31" spans="1:9" ht="15" customHeight="1" x14ac:dyDescent="0.25">
      <c r="A31" s="274" t="s">
        <v>860</v>
      </c>
    </row>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A33C2-15B2-429E-BCD4-EB9CC076C8B7}">
  <sheetPr>
    <pageSetUpPr fitToPage="1"/>
  </sheetPr>
  <dimension ref="A1:G18"/>
  <sheetViews>
    <sheetView zoomScaleNormal="100" workbookViewId="0">
      <selection activeCell="G23" sqref="G23"/>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164</v>
      </c>
      <c r="C1" s="3"/>
      <c r="D1" s="4"/>
      <c r="E1" s="4"/>
      <c r="F1" s="4"/>
      <c r="G1" s="4"/>
    </row>
    <row r="2" spans="1:7" ht="15.75" x14ac:dyDescent="0.25">
      <c r="A2" s="1"/>
      <c r="B2" s="6" t="s">
        <v>227</v>
      </c>
      <c r="C2" s="5"/>
      <c r="D2" s="4"/>
      <c r="E2" s="4"/>
      <c r="F2" s="4"/>
      <c r="G2" s="4"/>
    </row>
    <row r="3" spans="1:7" ht="15.75" x14ac:dyDescent="0.25">
      <c r="A3" s="1"/>
      <c r="B3" s="7" t="s">
        <v>228</v>
      </c>
      <c r="C3" s="5"/>
      <c r="D3" s="4"/>
      <c r="E3" s="8" t="s">
        <v>229</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175</v>
      </c>
      <c r="C6" s="12"/>
      <c r="D6" s="13" t="s">
        <v>2</v>
      </c>
      <c r="E6" s="4"/>
      <c r="F6" s="4"/>
      <c r="G6" s="4"/>
    </row>
    <row r="7" spans="1:7" ht="33" customHeight="1" thickBot="1" x14ac:dyDescent="0.3">
      <c r="A7" s="1"/>
      <c r="B7" s="14" t="s">
        <v>2</v>
      </c>
      <c r="C7" s="15" t="s">
        <v>3</v>
      </c>
      <c r="D7" s="16" t="s">
        <v>4</v>
      </c>
      <c r="E7" s="17" t="s">
        <v>5</v>
      </c>
      <c r="F7" s="18" t="s">
        <v>6</v>
      </c>
      <c r="G7" s="18" t="s">
        <v>7</v>
      </c>
    </row>
    <row r="8" spans="1:7" ht="28.35" customHeight="1" x14ac:dyDescent="0.25">
      <c r="A8" s="1"/>
      <c r="B8" s="1" t="s">
        <v>8</v>
      </c>
      <c r="C8" s="19">
        <f>FINANCIAL!G36</f>
        <v>640000</v>
      </c>
      <c r="D8" s="20"/>
      <c r="E8" s="20"/>
      <c r="F8" s="20"/>
      <c r="G8" s="21"/>
    </row>
    <row r="9" spans="1:7" s="223" customFormat="1" ht="12.75" customHeight="1" x14ac:dyDescent="0.25">
      <c r="A9" s="246"/>
      <c r="B9" s="247"/>
      <c r="C9" s="248"/>
      <c r="D9" s="249"/>
      <c r="E9" s="249"/>
      <c r="F9" s="249"/>
      <c r="G9" s="250"/>
    </row>
    <row r="10" spans="1:7" s="223" customFormat="1" ht="12.75" customHeight="1" x14ac:dyDescent="0.25">
      <c r="A10" s="273" t="s">
        <v>250</v>
      </c>
      <c r="B10" s="247" t="s">
        <v>103</v>
      </c>
      <c r="C10" s="248"/>
      <c r="D10" s="251">
        <f>'#9513.00 DCI Group'!D23</f>
        <v>21492.29</v>
      </c>
      <c r="E10" s="251">
        <f>'#9513.00 DCI Group'!F23</f>
        <v>21492.29</v>
      </c>
      <c r="F10" s="251">
        <f>'#9513.00 DCI Group'!H23</f>
        <v>0</v>
      </c>
      <c r="G10" s="250"/>
    </row>
    <row r="11" spans="1:7" s="223" customFormat="1" ht="12.75" customHeight="1" x14ac:dyDescent="0.25">
      <c r="A11" s="246"/>
      <c r="B11" s="247" t="s">
        <v>10</v>
      </c>
      <c r="C11" s="248"/>
      <c r="D11" s="251">
        <f>'#9513.00 PM TIME'!E37</f>
        <v>20000</v>
      </c>
      <c r="E11" s="251">
        <f>'#9513.00 PM TIME'!G37</f>
        <v>10898.11</v>
      </c>
      <c r="F11" s="251">
        <f>'#9513.00 PM TIME'!I37</f>
        <v>9101.89</v>
      </c>
      <c r="G11" s="250"/>
    </row>
    <row r="12" spans="1:7" s="223" customFormat="1" ht="12.75" customHeight="1" x14ac:dyDescent="0.25">
      <c r="A12" s="246"/>
      <c r="B12" s="247" t="s">
        <v>11</v>
      </c>
      <c r="C12" s="249"/>
      <c r="D12" s="252">
        <f>'#9513.00 Misc'!G22</f>
        <v>2157</v>
      </c>
      <c r="E12" s="252">
        <f>'#9513.00 Misc'!G22</f>
        <v>2157</v>
      </c>
      <c r="F12" s="251">
        <v>0</v>
      </c>
      <c r="G12" s="250"/>
    </row>
    <row r="13" spans="1:7" s="223" customFormat="1" ht="12.75" customHeight="1" x14ac:dyDescent="0.25">
      <c r="A13" s="246"/>
      <c r="B13" s="247" t="s">
        <v>401</v>
      </c>
      <c r="C13" s="249"/>
      <c r="D13" s="252">
        <f>'#9513.00 Kezlo Group'!D23</f>
        <v>54900</v>
      </c>
      <c r="E13" s="252">
        <f>'#9513.00 Kezlo Group'!F23</f>
        <v>41900</v>
      </c>
      <c r="F13" s="251">
        <f>'#9513.00 Kezlo Group'!H23</f>
        <v>13000</v>
      </c>
      <c r="G13" s="250"/>
    </row>
    <row r="14" spans="1:7" s="223" customFormat="1" ht="12.75" customHeight="1" x14ac:dyDescent="0.25">
      <c r="A14" s="246"/>
      <c r="B14" s="247" t="s">
        <v>1368</v>
      </c>
      <c r="C14" s="249"/>
      <c r="D14" s="252">
        <f>'#9513.00 Bi-State Masonry'!D23</f>
        <v>314709</v>
      </c>
      <c r="E14" s="252">
        <f>'#9513.00 Bi-State Masonry'!F23</f>
        <v>0</v>
      </c>
      <c r="F14" s="251">
        <f>'#9513.00 Bi-State Masonry'!H23</f>
        <v>314709</v>
      </c>
      <c r="G14" s="250"/>
    </row>
    <row r="15" spans="1:7" s="223" customFormat="1" ht="12.75" customHeight="1" x14ac:dyDescent="0.25">
      <c r="A15" s="246"/>
      <c r="B15" s="247" t="s">
        <v>526</v>
      </c>
      <c r="C15" s="249"/>
      <c r="D15" s="252">
        <f>'#9513.00 DCI Group (2)'!D23</f>
        <v>44054.879999999997</v>
      </c>
      <c r="E15" s="252">
        <f>'#9513.00 DCI Group (2)'!F23</f>
        <v>2798.74</v>
      </c>
      <c r="F15" s="251">
        <f>'#9513.00 DCI Group (2)'!H23</f>
        <v>41256.14</v>
      </c>
      <c r="G15" s="250"/>
    </row>
    <row r="16" spans="1:7" s="223" customFormat="1" ht="12.75" customHeight="1" x14ac:dyDescent="0.25">
      <c r="A16" s="246"/>
      <c r="B16" s="247"/>
      <c r="C16" s="249"/>
      <c r="D16" s="252"/>
      <c r="E16" s="252"/>
      <c r="F16" s="251"/>
      <c r="G16" s="250"/>
    </row>
    <row r="17" spans="1:7" ht="24" customHeight="1" thickBot="1" x14ac:dyDescent="0.3">
      <c r="A17" s="25"/>
      <c r="B17" s="26" t="s">
        <v>12</v>
      </c>
      <c r="C17" s="27">
        <f>SUM(C8:C16)</f>
        <v>640000</v>
      </c>
      <c r="D17" s="27">
        <f>SUM(D8:D16)</f>
        <v>457313.17000000004</v>
      </c>
      <c r="E17" s="27">
        <f>SUM(E8:E16)</f>
        <v>79246.14</v>
      </c>
      <c r="F17" s="27">
        <f>SUM(D17-E17)</f>
        <v>378067.03</v>
      </c>
      <c r="G17" s="27">
        <f>C8-D17</f>
        <v>182686.82999999996</v>
      </c>
    </row>
    <row r="18"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3C802-A54B-4762-BEFD-E4F35B178943}">
  <sheetPr>
    <tabColor rgb="FF0070C0"/>
    <pageSetUpPr fitToPage="1"/>
  </sheetPr>
  <dimension ref="A1:I212"/>
  <sheetViews>
    <sheetView topLeftCell="A6" zoomScaleNormal="100" workbookViewId="0">
      <selection activeCell="D36" sqref="D36"/>
    </sheetView>
  </sheetViews>
  <sheetFormatPr defaultColWidth="11.42578125" defaultRowHeight="15" customHeight="1" x14ac:dyDescent="0.25"/>
  <cols>
    <col min="1" max="1" width="24.5703125" style="274" customWidth="1"/>
    <col min="2" max="2" width="9.42578125" style="274" customWidth="1"/>
    <col min="3" max="3" width="23.42578125" style="274" customWidth="1"/>
    <col min="4" max="4" width="14.42578125" style="274" customWidth="1"/>
    <col min="5" max="5" width="13.5703125" style="274" customWidth="1"/>
    <col min="6" max="6" width="12.42578125" style="274" customWidth="1"/>
    <col min="7" max="7" width="10.5703125" style="274" customWidth="1"/>
    <col min="8" max="8" width="11.85546875" style="274" customWidth="1"/>
    <col min="9" max="9" width="6.42578125" style="274" bestFit="1"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#9513.00'!B1</f>
        <v>HHS CHMHI Tuckpointing Phase 2.2</v>
      </c>
      <c r="B1" s="30"/>
      <c r="C1" s="153"/>
      <c r="D1" s="153"/>
      <c r="E1" s="153"/>
      <c r="F1" s="156"/>
      <c r="G1" s="156"/>
      <c r="H1" s="179"/>
      <c r="I1" s="179"/>
    </row>
    <row r="2" spans="1:9" ht="15.75" x14ac:dyDescent="0.25">
      <c r="A2" s="31" t="str">
        <f>'RECAP #9513.00'!B2</f>
        <v>Project # 9513.00</v>
      </c>
      <c r="B2" s="150"/>
      <c r="C2" s="153"/>
      <c r="D2" s="153"/>
      <c r="E2" s="153"/>
      <c r="F2" s="156"/>
      <c r="G2" s="156"/>
      <c r="H2" s="179"/>
      <c r="I2" s="179"/>
    </row>
    <row r="3" spans="1:9" ht="15.75" x14ac:dyDescent="0.25">
      <c r="A3" s="154" t="str">
        <f>'RECAP #9513.00'!B3</f>
        <v>Program code 951300</v>
      </c>
      <c r="B3" s="150"/>
      <c r="C3" s="153"/>
      <c r="D3" s="155" t="str">
        <f>'RECAP #9513.00'!E3</f>
        <v>Major Program 4E10</v>
      </c>
      <c r="E3" s="153"/>
      <c r="F3" s="156"/>
      <c r="G3" s="156"/>
      <c r="H3" s="179"/>
      <c r="I3" s="179"/>
    </row>
    <row r="4" spans="1:9" ht="15.75" x14ac:dyDescent="0.25">
      <c r="A4" s="30" t="s">
        <v>103</v>
      </c>
      <c r="B4" s="31"/>
      <c r="C4" s="179"/>
      <c r="D4" s="180" t="s">
        <v>105</v>
      </c>
      <c r="E4" s="156"/>
      <c r="F4" s="156"/>
      <c r="G4" s="156"/>
      <c r="H4" s="179"/>
      <c r="I4" s="179"/>
    </row>
    <row r="5" spans="1:9" ht="15.75" x14ac:dyDescent="0.25">
      <c r="A5" s="181" t="s">
        <v>104</v>
      </c>
      <c r="B5" s="179"/>
      <c r="C5" s="182"/>
      <c r="D5" s="37" t="s">
        <v>106</v>
      </c>
      <c r="E5" s="42"/>
      <c r="F5" s="156"/>
      <c r="G5" s="156"/>
      <c r="H5" s="179"/>
      <c r="I5" s="179"/>
    </row>
    <row r="6" spans="1:9" ht="15.75" x14ac:dyDescent="0.25">
      <c r="A6" s="31" t="str">
        <f>'RECAP #9513.00'!B6</f>
        <v>Project Manager - Jennie E.</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357</v>
      </c>
      <c r="B9" s="276">
        <v>46001</v>
      </c>
      <c r="C9" s="277" t="s">
        <v>109</v>
      </c>
      <c r="D9" s="278">
        <v>22074.79</v>
      </c>
      <c r="E9" s="279">
        <f>D9</f>
        <v>22074.79</v>
      </c>
      <c r="F9" s="284"/>
      <c r="G9" s="280"/>
      <c r="H9" s="280">
        <f>E9</f>
        <v>22074.79</v>
      </c>
      <c r="I9" s="281"/>
    </row>
    <row r="10" spans="1:9" s="282" customFormat="1" ht="12.75" customHeight="1" x14ac:dyDescent="0.25">
      <c r="A10" s="275" t="s">
        <v>440</v>
      </c>
      <c r="B10" s="283">
        <v>46043</v>
      </c>
      <c r="C10" s="277" t="s">
        <v>441</v>
      </c>
      <c r="D10" s="279"/>
      <c r="E10" s="279">
        <f t="shared" ref="E10:E21" si="0">E9+D10</f>
        <v>22074.79</v>
      </c>
      <c r="F10" s="284">
        <v>4109.38</v>
      </c>
      <c r="G10" s="280">
        <f t="shared" ref="G10:G21" si="1">G9+F10</f>
        <v>4109.38</v>
      </c>
      <c r="H10" s="280">
        <f t="shared" ref="H10:H21" si="2">H9-F10+D10</f>
        <v>17965.41</v>
      </c>
      <c r="I10" s="281"/>
    </row>
    <row r="11" spans="1:9" s="282" customFormat="1" ht="12.75" customHeight="1" x14ac:dyDescent="0.25">
      <c r="A11" s="275" t="s">
        <v>561</v>
      </c>
      <c r="B11" s="276">
        <v>46069</v>
      </c>
      <c r="C11" s="277" t="s">
        <v>562</v>
      </c>
      <c r="D11" s="279"/>
      <c r="E11" s="279">
        <f t="shared" si="0"/>
        <v>22074.79</v>
      </c>
      <c r="F11" s="284">
        <v>894.15</v>
      </c>
      <c r="G11" s="280">
        <f t="shared" si="1"/>
        <v>5003.53</v>
      </c>
      <c r="H11" s="280">
        <f t="shared" si="2"/>
        <v>17071.259999999998</v>
      </c>
      <c r="I11" s="281"/>
    </row>
    <row r="12" spans="1:9" s="282" customFormat="1" ht="12.75" customHeight="1" x14ac:dyDescent="0.25">
      <c r="A12" s="275" t="s">
        <v>700</v>
      </c>
      <c r="B12" s="276">
        <v>46105</v>
      </c>
      <c r="C12" s="277" t="s">
        <v>701</v>
      </c>
      <c r="D12" s="279"/>
      <c r="E12" s="279">
        <f t="shared" si="0"/>
        <v>22074.79</v>
      </c>
      <c r="F12" s="284">
        <v>2460.08</v>
      </c>
      <c r="G12" s="280">
        <f t="shared" si="1"/>
        <v>7463.61</v>
      </c>
      <c r="H12" s="280">
        <f t="shared" si="2"/>
        <v>14611.179999999998</v>
      </c>
      <c r="I12" s="281"/>
    </row>
    <row r="13" spans="1:9" s="282" customFormat="1" ht="12.75" customHeight="1" x14ac:dyDescent="0.25">
      <c r="A13" s="275" t="s">
        <v>782</v>
      </c>
      <c r="B13" s="276">
        <v>46127</v>
      </c>
      <c r="C13" s="277" t="s">
        <v>783</v>
      </c>
      <c r="D13" s="279"/>
      <c r="E13" s="279">
        <f t="shared" si="0"/>
        <v>22074.79</v>
      </c>
      <c r="F13" s="284">
        <v>3817.41</v>
      </c>
      <c r="G13" s="280">
        <f t="shared" si="1"/>
        <v>11281.02</v>
      </c>
      <c r="H13" s="280">
        <f t="shared" si="2"/>
        <v>10793.769999999999</v>
      </c>
      <c r="I13" s="281"/>
    </row>
    <row r="14" spans="1:9" s="282" customFormat="1" ht="12.75" customHeight="1" x14ac:dyDescent="0.25">
      <c r="A14" s="275" t="s">
        <v>913</v>
      </c>
      <c r="B14" s="276">
        <v>46163</v>
      </c>
      <c r="C14" s="277" t="s">
        <v>914</v>
      </c>
      <c r="D14" s="279"/>
      <c r="E14" s="279">
        <f t="shared" si="0"/>
        <v>22074.79</v>
      </c>
      <c r="F14" s="284">
        <v>6818.4</v>
      </c>
      <c r="G14" s="280">
        <f t="shared" si="1"/>
        <v>18099.419999999998</v>
      </c>
      <c r="H14" s="280">
        <f t="shared" si="2"/>
        <v>3975.369999999999</v>
      </c>
      <c r="I14" s="281"/>
    </row>
    <row r="15" spans="1:9" s="282" customFormat="1" ht="12.75" customHeight="1" x14ac:dyDescent="0.25">
      <c r="A15" s="275" t="s">
        <v>1040</v>
      </c>
      <c r="B15" s="276">
        <v>46189</v>
      </c>
      <c r="C15" s="277" t="s">
        <v>1041</v>
      </c>
      <c r="D15" s="279"/>
      <c r="E15" s="279">
        <f t="shared" si="0"/>
        <v>22074.79</v>
      </c>
      <c r="F15" s="284">
        <v>1808.58</v>
      </c>
      <c r="G15" s="280">
        <f t="shared" si="1"/>
        <v>19908</v>
      </c>
      <c r="H15" s="280">
        <f t="shared" si="2"/>
        <v>2166.7899999999991</v>
      </c>
      <c r="I15" s="281"/>
    </row>
    <row r="16" spans="1:9" s="282" customFormat="1" ht="12.75" customHeight="1" x14ac:dyDescent="0.25">
      <c r="A16" s="275" t="s">
        <v>1203</v>
      </c>
      <c r="B16" s="276">
        <v>46216</v>
      </c>
      <c r="C16" s="277" t="s">
        <v>1204</v>
      </c>
      <c r="D16" s="285">
        <v>-582.5</v>
      </c>
      <c r="E16" s="279">
        <f t="shared" si="0"/>
        <v>21492.29</v>
      </c>
      <c r="F16" s="284">
        <v>1584.29</v>
      </c>
      <c r="G16" s="280">
        <f t="shared" si="1"/>
        <v>21492.29</v>
      </c>
      <c r="H16" s="280">
        <f t="shared" si="2"/>
        <v>-9.0949470177292824E-13</v>
      </c>
      <c r="I16" s="281"/>
    </row>
    <row r="17" spans="1:9" s="282" customFormat="1" ht="12.75" customHeight="1" x14ac:dyDescent="0.25">
      <c r="A17" s="275"/>
      <c r="B17" s="276"/>
      <c r="C17" s="277"/>
      <c r="D17" s="279"/>
      <c r="E17" s="279">
        <f t="shared" si="0"/>
        <v>21492.29</v>
      </c>
      <c r="F17" s="284"/>
      <c r="G17" s="280">
        <f t="shared" si="1"/>
        <v>21492.29</v>
      </c>
      <c r="H17" s="280">
        <f t="shared" si="2"/>
        <v>-9.0949470177292824E-13</v>
      </c>
      <c r="I17" s="281"/>
    </row>
    <row r="18" spans="1:9" s="282" customFormat="1" ht="12.75" customHeight="1" x14ac:dyDescent="0.25">
      <c r="A18" s="275"/>
      <c r="B18" s="276"/>
      <c r="C18" s="277"/>
      <c r="D18" s="279"/>
      <c r="E18" s="279">
        <f t="shared" si="0"/>
        <v>21492.29</v>
      </c>
      <c r="F18" s="284"/>
      <c r="G18" s="280">
        <f t="shared" si="1"/>
        <v>21492.29</v>
      </c>
      <c r="H18" s="280">
        <f t="shared" si="2"/>
        <v>-9.0949470177292824E-13</v>
      </c>
      <c r="I18" s="281"/>
    </row>
    <row r="19" spans="1:9" s="282" customFormat="1" ht="12.75" customHeight="1" x14ac:dyDescent="0.25">
      <c r="A19" s="275"/>
      <c r="B19" s="276"/>
      <c r="C19" s="277"/>
      <c r="D19" s="279"/>
      <c r="E19" s="279">
        <f t="shared" si="0"/>
        <v>21492.29</v>
      </c>
      <c r="F19" s="280"/>
      <c r="G19" s="280">
        <f t="shared" si="1"/>
        <v>21492.29</v>
      </c>
      <c r="H19" s="280">
        <f t="shared" si="2"/>
        <v>-9.0949470177292824E-13</v>
      </c>
      <c r="I19" s="281"/>
    </row>
    <row r="20" spans="1:9" s="282" customFormat="1" ht="12.75" customHeight="1" x14ac:dyDescent="0.25">
      <c r="A20" s="275"/>
      <c r="B20" s="276"/>
      <c r="C20" s="277"/>
      <c r="D20" s="279"/>
      <c r="E20" s="279">
        <f t="shared" si="0"/>
        <v>21492.29</v>
      </c>
      <c r="F20" s="280"/>
      <c r="G20" s="280">
        <f t="shared" si="1"/>
        <v>21492.29</v>
      </c>
      <c r="H20" s="280">
        <f t="shared" si="2"/>
        <v>-9.0949470177292824E-13</v>
      </c>
      <c r="I20" s="281"/>
    </row>
    <row r="21" spans="1:9" s="282" customFormat="1" ht="12.75" customHeight="1" x14ac:dyDescent="0.25">
      <c r="A21" s="275"/>
      <c r="B21" s="276"/>
      <c r="C21" s="286"/>
      <c r="D21" s="279"/>
      <c r="E21" s="279">
        <f t="shared" si="0"/>
        <v>21492.29</v>
      </c>
      <c r="F21" s="280"/>
      <c r="G21" s="280">
        <f t="shared" si="1"/>
        <v>21492.29</v>
      </c>
      <c r="H21" s="280">
        <f t="shared" si="2"/>
        <v>-9.0949470177292824E-13</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21492.29</v>
      </c>
      <c r="E23" s="290"/>
      <c r="F23" s="290">
        <f>SUM(F9:F22)</f>
        <v>21492.29</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v>20574.79</v>
      </c>
      <c r="E26" s="292"/>
      <c r="F26" s="292">
        <f>3925.88+894.15+2460.08+3450.41+6451.4+1808.58+1584.29</f>
        <v>20574.79</v>
      </c>
      <c r="G26" s="292"/>
      <c r="H26" s="292">
        <f>D26-F26</f>
        <v>0</v>
      </c>
      <c r="I26" s="281"/>
    </row>
    <row r="27" spans="1:9" s="282" customFormat="1" ht="12.75" customHeight="1" x14ac:dyDescent="0.25">
      <c r="A27" s="275"/>
      <c r="B27" s="277"/>
      <c r="C27" s="287" t="s">
        <v>111</v>
      </c>
      <c r="D27" s="292">
        <f>1500-582.5</f>
        <v>917.5</v>
      </c>
      <c r="E27" s="292"/>
      <c r="F27" s="292">
        <f>183.5+367+367</f>
        <v>917.5</v>
      </c>
      <c r="G27" s="292"/>
      <c r="H27" s="292">
        <f>D27-F27</f>
        <v>0</v>
      </c>
      <c r="I27" s="281"/>
    </row>
    <row r="28" spans="1:9" s="282" customFormat="1" ht="12.75" customHeight="1" thickBot="1" x14ac:dyDescent="0.3">
      <c r="A28" s="275"/>
      <c r="B28" s="277"/>
      <c r="C28" s="293" t="s">
        <v>67</v>
      </c>
      <c r="D28" s="290">
        <f>SUM(D26:D27)</f>
        <v>21492.29</v>
      </c>
      <c r="E28" s="294"/>
      <c r="F28" s="290">
        <f>SUM(F26:F27)</f>
        <v>21492.29</v>
      </c>
      <c r="G28" s="294"/>
      <c r="H28" s="290">
        <f>SUM(H26:H27)</f>
        <v>0</v>
      </c>
      <c r="I28" s="281"/>
    </row>
    <row r="29" spans="1:9" s="282" customFormat="1" ht="12.75" customHeight="1" thickTop="1" x14ac:dyDescent="0.25"/>
    <row r="30" spans="1:9" s="282" customFormat="1" ht="12.75" customHeight="1" x14ac:dyDescent="0.25"/>
    <row r="31" spans="1:9" s="282" customFormat="1" ht="12.75" customHeight="1" x14ac:dyDescent="0.25"/>
    <row r="32" spans="1:9" s="282" customFormat="1" ht="12.75" customHeight="1" x14ac:dyDescent="0.25"/>
    <row r="33" s="282" customFormat="1" ht="12.75" customHeight="1" x14ac:dyDescent="0.25"/>
    <row r="34" s="282" customFormat="1" ht="12.75" customHeight="1" x14ac:dyDescent="0.25"/>
    <row r="35" s="282" customFormat="1" ht="12.75" customHeight="1" x14ac:dyDescent="0.25"/>
    <row r="36" s="282" customFormat="1" ht="12.75" customHeight="1" x14ac:dyDescent="0.25"/>
    <row r="37" s="282" customFormat="1" ht="12.75" customHeight="1" x14ac:dyDescent="0.25"/>
    <row r="38" s="282" customFormat="1" ht="12.75" customHeight="1" x14ac:dyDescent="0.25"/>
    <row r="39" s="282" customFormat="1" ht="12.75" customHeight="1" x14ac:dyDescent="0.25"/>
    <row r="40" s="282" customFormat="1" ht="12.75" customHeight="1" x14ac:dyDescent="0.25"/>
    <row r="41" s="282" customFormat="1" ht="12.75" customHeight="1" x14ac:dyDescent="0.25"/>
    <row r="42" s="282" customFormat="1" ht="12.75" customHeight="1" x14ac:dyDescent="0.25"/>
    <row r="43" s="282" customFormat="1" ht="12.75" customHeight="1" x14ac:dyDescent="0.25"/>
    <row r="44" s="282" customFormat="1" ht="12.75" customHeight="1" x14ac:dyDescent="0.25"/>
    <row r="45" s="282" customFormat="1" ht="12.75" customHeight="1" x14ac:dyDescent="0.25"/>
    <row r="46" s="282" customFormat="1" ht="12.75" customHeight="1" x14ac:dyDescent="0.25"/>
    <row r="47" s="282" customFormat="1" ht="12.75" customHeight="1" x14ac:dyDescent="0.25"/>
    <row r="48" s="282" customFormat="1" ht="12.75" customHeight="1" x14ac:dyDescent="0.25"/>
    <row r="49" s="282" customFormat="1" ht="12.75" customHeight="1" x14ac:dyDescent="0.25"/>
    <row r="50" s="282" customFormat="1" ht="12.75" customHeight="1" x14ac:dyDescent="0.25"/>
    <row r="51" s="282" customFormat="1" ht="12.75" customHeight="1" x14ac:dyDescent="0.25"/>
    <row r="52" s="282" customFormat="1" ht="12.75" customHeight="1" x14ac:dyDescent="0.25"/>
    <row r="53" s="282" customFormat="1" ht="12.75" customHeight="1" x14ac:dyDescent="0.25"/>
    <row r="54" s="282" customFormat="1" ht="12.75" customHeight="1" x14ac:dyDescent="0.25"/>
    <row r="55" s="282" customFormat="1" ht="12.75" customHeight="1" x14ac:dyDescent="0.25"/>
    <row r="56" s="282" customFormat="1" ht="12.75" customHeight="1" x14ac:dyDescent="0.25"/>
    <row r="57" s="282" customFormat="1" ht="12.75" customHeight="1" x14ac:dyDescent="0.25"/>
    <row r="58" s="282" customFormat="1" ht="12.75" customHeight="1" x14ac:dyDescent="0.25"/>
    <row r="59" s="282" customFormat="1" ht="12.75" customHeight="1" x14ac:dyDescent="0.25"/>
    <row r="60" s="282" customFormat="1" ht="12.75" customHeight="1" x14ac:dyDescent="0.25"/>
    <row r="61" s="282" customFormat="1" ht="12.75" customHeight="1" x14ac:dyDescent="0.25"/>
    <row r="62" s="282" customFormat="1" ht="12.75" customHeight="1" x14ac:dyDescent="0.25"/>
    <row r="63" s="282" customFormat="1" ht="12.75" customHeight="1" x14ac:dyDescent="0.25"/>
    <row r="64" s="282" customFormat="1" ht="12.75" customHeight="1" x14ac:dyDescent="0.25"/>
    <row r="65" s="282" customFormat="1" ht="12.75" customHeight="1" x14ac:dyDescent="0.25"/>
    <row r="66" s="282" customFormat="1" ht="12.75" customHeight="1" x14ac:dyDescent="0.25"/>
    <row r="67" s="282" customFormat="1" ht="12.75" customHeight="1" x14ac:dyDescent="0.25"/>
    <row r="68" s="282" customFormat="1" ht="12.75" customHeight="1" x14ac:dyDescent="0.25"/>
    <row r="69" s="282" customFormat="1" ht="12.75" customHeight="1" x14ac:dyDescent="0.25"/>
    <row r="70" s="282" customFormat="1" ht="12.75" customHeight="1" x14ac:dyDescent="0.25"/>
    <row r="71" s="282" customFormat="1" ht="12.75" customHeight="1" x14ac:dyDescent="0.25"/>
    <row r="72" s="282" customFormat="1" ht="12.75" customHeight="1" x14ac:dyDescent="0.25"/>
    <row r="73" s="282" customFormat="1" ht="12.75" customHeight="1" x14ac:dyDescent="0.25"/>
    <row r="74" s="282" customFormat="1" ht="12.75" customHeight="1" x14ac:dyDescent="0.25"/>
    <row r="75" s="282" customFormat="1" ht="12.75" customHeight="1" x14ac:dyDescent="0.25"/>
    <row r="76" s="282" customFormat="1" ht="12.75" customHeight="1" x14ac:dyDescent="0.25"/>
    <row r="77" s="282" customFormat="1" ht="12.75" customHeight="1" x14ac:dyDescent="0.25"/>
    <row r="78" s="282" customFormat="1" ht="12.75" customHeight="1" x14ac:dyDescent="0.25"/>
    <row r="79" s="282" customFormat="1" ht="12.75" customHeight="1" x14ac:dyDescent="0.25"/>
    <row r="80" s="282" customFormat="1" ht="12.75" customHeight="1" x14ac:dyDescent="0.25"/>
    <row r="81" s="282" customFormat="1" ht="12.75" customHeight="1" x14ac:dyDescent="0.25"/>
    <row r="82" s="282" customFormat="1" ht="12.75" customHeight="1" x14ac:dyDescent="0.25"/>
    <row r="83" s="282" customFormat="1" ht="12.75" customHeight="1" x14ac:dyDescent="0.25"/>
    <row r="84" s="282" customFormat="1" ht="12.75" customHeight="1" x14ac:dyDescent="0.25"/>
    <row r="85" s="282" customFormat="1" ht="12.75" customHeight="1" x14ac:dyDescent="0.25"/>
    <row r="86" s="282" customFormat="1" ht="12.75" customHeight="1" x14ac:dyDescent="0.25"/>
    <row r="87" s="282" customFormat="1" ht="12.75" customHeight="1" x14ac:dyDescent="0.25"/>
    <row r="88" s="282" customFormat="1" ht="12.75" customHeight="1" x14ac:dyDescent="0.25"/>
    <row r="89" s="282" customFormat="1" ht="12.75" customHeight="1" x14ac:dyDescent="0.25"/>
    <row r="90" s="282" customFormat="1" ht="12.75" customHeight="1" x14ac:dyDescent="0.25"/>
    <row r="91" s="282" customFormat="1" ht="12.75" customHeight="1" x14ac:dyDescent="0.25"/>
    <row r="92" s="282" customFormat="1" ht="12.75" customHeight="1" x14ac:dyDescent="0.25"/>
    <row r="93" s="282" customFormat="1" ht="12.75" customHeight="1" x14ac:dyDescent="0.25"/>
    <row r="94" s="282" customFormat="1" ht="12.75" customHeight="1" x14ac:dyDescent="0.25"/>
    <row r="95" s="282" customFormat="1" ht="12.75" customHeight="1" x14ac:dyDescent="0.25"/>
    <row r="96" s="282" customFormat="1" ht="12.75" customHeight="1" x14ac:dyDescent="0.25"/>
    <row r="97" s="282" customFormat="1" ht="12.75" customHeight="1" x14ac:dyDescent="0.25"/>
    <row r="98" s="282" customFormat="1" ht="12.75" customHeight="1" x14ac:dyDescent="0.25"/>
    <row r="99" s="282" customFormat="1" ht="12.75" customHeight="1" x14ac:dyDescent="0.25"/>
    <row r="100" s="282" customFormat="1" ht="12.75" customHeight="1" x14ac:dyDescent="0.25"/>
    <row r="101" s="282" customFormat="1" ht="12.75" customHeight="1" x14ac:dyDescent="0.25"/>
    <row r="102" s="282" customFormat="1" ht="12.75" customHeight="1" x14ac:dyDescent="0.25"/>
    <row r="103" s="282" customFormat="1" ht="12.75" customHeight="1" x14ac:dyDescent="0.25"/>
    <row r="104" s="282" customFormat="1" ht="12.75" customHeight="1" x14ac:dyDescent="0.25"/>
    <row r="105" s="282" customFormat="1" ht="12.75" customHeight="1" x14ac:dyDescent="0.25"/>
    <row r="106" s="282" customFormat="1" ht="12.75" customHeight="1" x14ac:dyDescent="0.25"/>
    <row r="107" s="282" customFormat="1" ht="12.75" customHeight="1" x14ac:dyDescent="0.25"/>
    <row r="108" s="282" customFormat="1" ht="12.75" customHeight="1" x14ac:dyDescent="0.25"/>
    <row r="109" s="282" customFormat="1" ht="12.75" customHeight="1" x14ac:dyDescent="0.25"/>
    <row r="110" s="282" customFormat="1" ht="12.75" customHeight="1" x14ac:dyDescent="0.25"/>
    <row r="111" s="282" customFormat="1" ht="12.75" customHeight="1" x14ac:dyDescent="0.25"/>
    <row r="112" s="282" customFormat="1" ht="12.75" customHeight="1" x14ac:dyDescent="0.25"/>
    <row r="113" s="282" customFormat="1" ht="12.75" customHeight="1" x14ac:dyDescent="0.25"/>
    <row r="114" s="282" customFormat="1" ht="12.75" customHeight="1" x14ac:dyDescent="0.25"/>
    <row r="115" s="282" customFormat="1" ht="12.75" customHeight="1" x14ac:dyDescent="0.25"/>
    <row r="116" s="282" customFormat="1" ht="12.75" customHeight="1" x14ac:dyDescent="0.25"/>
    <row r="117" s="282" customFormat="1" ht="12.75" customHeight="1" x14ac:dyDescent="0.25"/>
    <row r="118" s="282" customFormat="1" ht="12.75" customHeight="1" x14ac:dyDescent="0.25"/>
    <row r="119" s="282" customFormat="1" ht="12.75" customHeight="1" x14ac:dyDescent="0.25"/>
    <row r="120" s="282" customFormat="1" ht="12.75" customHeight="1" x14ac:dyDescent="0.25"/>
    <row r="121" s="282" customFormat="1" ht="12.75" customHeight="1" x14ac:dyDescent="0.25"/>
    <row r="122" s="282" customFormat="1" ht="12.75" customHeight="1" x14ac:dyDescent="0.25"/>
    <row r="123" s="282" customFormat="1" ht="12.75" customHeight="1" x14ac:dyDescent="0.25"/>
    <row r="124" s="282" customFormat="1" ht="12.75" customHeight="1" x14ac:dyDescent="0.25"/>
    <row r="125" s="282" customFormat="1" ht="12.75" customHeight="1" x14ac:dyDescent="0.25"/>
    <row r="126" s="282" customFormat="1" ht="12.75" customHeight="1" x14ac:dyDescent="0.25"/>
    <row r="127" s="282" customFormat="1" ht="12.75" customHeight="1" x14ac:dyDescent="0.25"/>
    <row r="128" s="282" customFormat="1" ht="12.75" customHeight="1" x14ac:dyDescent="0.25"/>
    <row r="129" s="282" customFormat="1" ht="12.75" customHeight="1" x14ac:dyDescent="0.25"/>
    <row r="130" s="282" customFormat="1" ht="12.75" customHeight="1" x14ac:dyDescent="0.25"/>
    <row r="131" s="282" customFormat="1" ht="12.75" customHeight="1" x14ac:dyDescent="0.25"/>
    <row r="132" s="282" customFormat="1" ht="12.75" customHeight="1" x14ac:dyDescent="0.25"/>
    <row r="133" s="282" customFormat="1" ht="12.75" customHeight="1" x14ac:dyDescent="0.25"/>
    <row r="134" s="282" customFormat="1" ht="12.75" customHeight="1" x14ac:dyDescent="0.25"/>
    <row r="135" s="282" customFormat="1" ht="12.75" customHeight="1" x14ac:dyDescent="0.25"/>
    <row r="136" s="282" customFormat="1" ht="12.75" customHeight="1" x14ac:dyDescent="0.25"/>
    <row r="137" s="282" customFormat="1" ht="12.75" customHeight="1" x14ac:dyDescent="0.25"/>
    <row r="138" s="282" customFormat="1" ht="12.75" customHeight="1" x14ac:dyDescent="0.25"/>
    <row r="139" s="282" customFormat="1" ht="12.75" customHeight="1" x14ac:dyDescent="0.25"/>
    <row r="140" s="282" customFormat="1" ht="12.75" customHeight="1" x14ac:dyDescent="0.25"/>
    <row r="141" s="282" customFormat="1" ht="12.75" customHeight="1" x14ac:dyDescent="0.25"/>
    <row r="142" s="282" customFormat="1" ht="12.75" customHeight="1" x14ac:dyDescent="0.25"/>
    <row r="143" s="282" customFormat="1" ht="12.75" customHeight="1" x14ac:dyDescent="0.25"/>
    <row r="144" s="282" customFormat="1" ht="12.75" customHeight="1" x14ac:dyDescent="0.25"/>
    <row r="145" s="282" customFormat="1" ht="12.75" customHeight="1" x14ac:dyDescent="0.25"/>
    <row r="146" s="282" customFormat="1" ht="12.75" customHeight="1" x14ac:dyDescent="0.25"/>
    <row r="147" s="282" customFormat="1" ht="12.75" customHeight="1" x14ac:dyDescent="0.25"/>
    <row r="148" s="282" customFormat="1" ht="12.75" customHeight="1" x14ac:dyDescent="0.25"/>
    <row r="149" s="282" customFormat="1" ht="12.75" customHeight="1" x14ac:dyDescent="0.25"/>
    <row r="150" s="282" customFormat="1" ht="12.75" customHeight="1" x14ac:dyDescent="0.25"/>
    <row r="151" s="282" customFormat="1" ht="12.75" customHeight="1" x14ac:dyDescent="0.25"/>
    <row r="152" s="282" customFormat="1" ht="12.75" customHeight="1" x14ac:dyDescent="0.25"/>
    <row r="153" s="282" customFormat="1" ht="12.75" customHeight="1" x14ac:dyDescent="0.25"/>
    <row r="154" s="282" customFormat="1" ht="12.75" customHeight="1" x14ac:dyDescent="0.25"/>
    <row r="155" s="282" customFormat="1" ht="12.75" customHeight="1" x14ac:dyDescent="0.25"/>
    <row r="156" s="282" customFormat="1" ht="12.75" customHeight="1" x14ac:dyDescent="0.25"/>
    <row r="157" s="282" customFormat="1" ht="12.75" customHeight="1" x14ac:dyDescent="0.25"/>
    <row r="158" s="282" customFormat="1" ht="12.75" customHeight="1" x14ac:dyDescent="0.25"/>
    <row r="159" s="282" customFormat="1" ht="12.75" customHeight="1" x14ac:dyDescent="0.25"/>
    <row r="160" s="282" customFormat="1" ht="12.75" customHeight="1" x14ac:dyDescent="0.25"/>
    <row r="161" s="282" customFormat="1" ht="12.75" customHeight="1" x14ac:dyDescent="0.25"/>
    <row r="162" s="282" customFormat="1" ht="12.75" customHeight="1" x14ac:dyDescent="0.25"/>
    <row r="163" s="282" customFormat="1" ht="12.75" customHeight="1" x14ac:dyDescent="0.25"/>
    <row r="164" s="282" customFormat="1" ht="12.75" customHeight="1" x14ac:dyDescent="0.25"/>
    <row r="165" s="282" customFormat="1" ht="12.75" customHeight="1" x14ac:dyDescent="0.25"/>
    <row r="166" s="282" customFormat="1" ht="12.75" customHeight="1" x14ac:dyDescent="0.25"/>
    <row r="167" s="282" customFormat="1" ht="12.75" customHeight="1" x14ac:dyDescent="0.25"/>
    <row r="168" s="282" customFormat="1" ht="12.75" customHeight="1" x14ac:dyDescent="0.25"/>
    <row r="169" s="282" customFormat="1" ht="12.75" customHeight="1" x14ac:dyDescent="0.25"/>
    <row r="170" s="282" customFormat="1" ht="12.75" customHeight="1" x14ac:dyDescent="0.25"/>
    <row r="171" s="282" customFormat="1" ht="12.75" customHeight="1" x14ac:dyDescent="0.25"/>
    <row r="172" s="282" customFormat="1" ht="12.75" customHeight="1" x14ac:dyDescent="0.25"/>
    <row r="173" s="282" customFormat="1" ht="12.75" customHeight="1" x14ac:dyDescent="0.25"/>
    <row r="174" s="282" customFormat="1" ht="12.75" customHeight="1" x14ac:dyDescent="0.25"/>
    <row r="175" s="282" customFormat="1" ht="12.75" customHeight="1" x14ac:dyDescent="0.25"/>
    <row r="176" s="282" customFormat="1" ht="12.75" customHeight="1" x14ac:dyDescent="0.25"/>
    <row r="177" s="282" customFormat="1" ht="12.75" customHeight="1" x14ac:dyDescent="0.25"/>
    <row r="178" s="282" customFormat="1" ht="12.75" customHeight="1" x14ac:dyDescent="0.25"/>
    <row r="179" s="282" customFormat="1" ht="12.75" customHeight="1" x14ac:dyDescent="0.25"/>
    <row r="180" s="282" customFormat="1" ht="12.75" customHeight="1" x14ac:dyDescent="0.25"/>
    <row r="181" s="282" customFormat="1" ht="12.75" customHeight="1" x14ac:dyDescent="0.25"/>
    <row r="182" s="282" customFormat="1" ht="12.75" customHeight="1" x14ac:dyDescent="0.25"/>
    <row r="183" s="282" customFormat="1" ht="12.75" customHeight="1" x14ac:dyDescent="0.25"/>
    <row r="184" s="282" customFormat="1" ht="12.75" customHeight="1" x14ac:dyDescent="0.25"/>
    <row r="185" s="282" customFormat="1" ht="12.75" customHeight="1" x14ac:dyDescent="0.25"/>
    <row r="186" s="282" customFormat="1" ht="12.75" customHeight="1" x14ac:dyDescent="0.25"/>
    <row r="187" s="282" customFormat="1" ht="12.75" customHeight="1" x14ac:dyDescent="0.25"/>
    <row r="188" s="282" customFormat="1" ht="12.75" customHeight="1" x14ac:dyDescent="0.25"/>
    <row r="189" s="282" customFormat="1" ht="12.75" customHeight="1" x14ac:dyDescent="0.25"/>
    <row r="190" s="282" customFormat="1" ht="12.75" customHeight="1" x14ac:dyDescent="0.25"/>
    <row r="191" s="282" customFormat="1" ht="12.75" customHeight="1" x14ac:dyDescent="0.25"/>
    <row r="192" s="282" customFormat="1" ht="12.75" customHeight="1" x14ac:dyDescent="0.25"/>
    <row r="193" s="282" customFormat="1" ht="12.75" customHeight="1" x14ac:dyDescent="0.25"/>
    <row r="194" s="282" customFormat="1" ht="12.75" customHeight="1" x14ac:dyDescent="0.25"/>
    <row r="195" s="282" customFormat="1" ht="12.75" customHeight="1" x14ac:dyDescent="0.25"/>
    <row r="196" s="282" customFormat="1" ht="12.75" customHeight="1" x14ac:dyDescent="0.25"/>
    <row r="197" s="282" customFormat="1" ht="12.75" customHeight="1" x14ac:dyDescent="0.25"/>
    <row r="198" s="282" customFormat="1" ht="12.75" customHeight="1" x14ac:dyDescent="0.25"/>
    <row r="199" s="282" customFormat="1" ht="12.75" customHeight="1" x14ac:dyDescent="0.25"/>
    <row r="200" s="282" customFormat="1" ht="12.75" customHeight="1" x14ac:dyDescent="0.25"/>
    <row r="201" s="282" customFormat="1" ht="12.75" customHeight="1" x14ac:dyDescent="0.25"/>
    <row r="202" s="282" customFormat="1" ht="12.75" customHeight="1" x14ac:dyDescent="0.25"/>
    <row r="203" s="282" customFormat="1" ht="12.75" customHeight="1" x14ac:dyDescent="0.25"/>
    <row r="204" s="282" customFormat="1" ht="12.75" customHeight="1" x14ac:dyDescent="0.25"/>
    <row r="205" s="282" customFormat="1" ht="12.75" customHeight="1" x14ac:dyDescent="0.25"/>
    <row r="206" s="282" customFormat="1" ht="12.75" customHeight="1" x14ac:dyDescent="0.25"/>
    <row r="207" s="282" customFormat="1" ht="12.75" customHeight="1" x14ac:dyDescent="0.25"/>
    <row r="208" s="282" customFormat="1" ht="12.75" customHeight="1" x14ac:dyDescent="0.25"/>
    <row r="209" s="282" customFormat="1" ht="12.75" customHeight="1" x14ac:dyDescent="0.25"/>
    <row r="210" s="282" customFormat="1" ht="12.75" customHeight="1" x14ac:dyDescent="0.25"/>
    <row r="211" s="282" customFormat="1" ht="12.75" customHeight="1" x14ac:dyDescent="0.25"/>
    <row r="212" s="282" customFormat="1" ht="12.75" customHeight="1" x14ac:dyDescent="0.25"/>
  </sheetData>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E2B9C-F737-4715-A6A7-468560ED0D25}">
  <sheetPr>
    <pageSetUpPr fitToPage="1"/>
  </sheetPr>
  <dimension ref="A1:J38"/>
  <sheetViews>
    <sheetView topLeftCell="A11" zoomScaleNormal="100" workbookViewId="0">
      <selection activeCell="F42" sqref="F42"/>
    </sheetView>
  </sheetViews>
  <sheetFormatPr defaultColWidth="11.42578125" defaultRowHeight="15" customHeight="1" x14ac:dyDescent="0.25"/>
  <cols>
    <col min="1" max="1" width="24.5703125" customWidth="1"/>
    <col min="2" max="3" width="9.42578125" customWidth="1"/>
    <col min="4" max="4" width="41.140625" customWidth="1"/>
    <col min="5" max="5" width="12.5703125" customWidth="1"/>
    <col min="6" max="6" width="13.5703125" customWidth="1"/>
    <col min="7" max="7" width="12.42578125" customWidth="1"/>
    <col min="8" max="8" width="10.5703125" customWidth="1"/>
    <col min="9" max="9" width="11.8554687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#9513.00'!B1</f>
        <v>HHS CHMHI Tuckpointing Phase 2.2</v>
      </c>
      <c r="B1" s="3"/>
      <c r="C1" s="3"/>
      <c r="D1" s="4"/>
      <c r="E1" s="4"/>
      <c r="F1" s="4"/>
      <c r="G1" s="28"/>
      <c r="H1" s="28"/>
      <c r="I1" s="29"/>
      <c r="J1" s="29"/>
    </row>
    <row r="2" spans="1:10" ht="15.75" x14ac:dyDescent="0.25">
      <c r="A2" s="6" t="str">
        <f>'RECAP #9513.00'!B2</f>
        <v>Project # 9513.00</v>
      </c>
      <c r="B2" s="5"/>
      <c r="C2" s="5"/>
      <c r="D2" s="4"/>
      <c r="E2" s="4"/>
      <c r="F2" s="4"/>
      <c r="G2" s="28"/>
      <c r="H2" s="28"/>
      <c r="I2" s="29"/>
      <c r="J2" s="29"/>
    </row>
    <row r="3" spans="1:10" ht="15.75" x14ac:dyDescent="0.25">
      <c r="A3" s="7" t="str">
        <f>'RECAP #9513.00'!B3</f>
        <v>Program code 951300</v>
      </c>
      <c r="B3" s="5"/>
      <c r="C3" s="5"/>
      <c r="D3" s="4"/>
      <c r="E3" s="8" t="str">
        <f>'RECAP #9513.00'!E3</f>
        <v>Major Program 4E10</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249</v>
      </c>
      <c r="F6" s="42"/>
      <c r="G6" s="43"/>
      <c r="H6" s="39"/>
      <c r="I6" s="35"/>
      <c r="J6" s="29"/>
    </row>
    <row r="7" spans="1:10" ht="15.75" x14ac:dyDescent="0.25">
      <c r="A7" s="11" t="str">
        <f>'RECAP #9513.00'!B6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v>20000</v>
      </c>
      <c r="F9" s="233">
        <f>E9</f>
        <v>20000</v>
      </c>
      <c r="G9" s="234"/>
      <c r="H9" s="234"/>
      <c r="I9" s="234">
        <f>F9</f>
        <v>20000</v>
      </c>
      <c r="J9" s="235"/>
    </row>
    <row r="10" spans="1:10" s="223" customFormat="1" ht="12.75" customHeight="1" x14ac:dyDescent="0.25">
      <c r="A10" s="176" t="s">
        <v>314</v>
      </c>
      <c r="B10" s="177">
        <v>45968</v>
      </c>
      <c r="C10" s="241" t="s">
        <v>261</v>
      </c>
      <c r="D10" s="148" t="s">
        <v>315</v>
      </c>
      <c r="E10" s="233"/>
      <c r="F10" s="233">
        <f t="shared" ref="F10:F35" si="0">F9+E10</f>
        <v>20000</v>
      </c>
      <c r="G10" s="237">
        <v>39.99</v>
      </c>
      <c r="H10" s="234">
        <f t="shared" ref="H10:H35" si="1">H9+G10</f>
        <v>39.99</v>
      </c>
      <c r="I10" s="234">
        <f t="shared" ref="I10:I35" si="2">I9-G10+E10</f>
        <v>19960.009999999998</v>
      </c>
      <c r="J10" s="235"/>
    </row>
    <row r="11" spans="1:10" s="223" customFormat="1" ht="12.75" customHeight="1" x14ac:dyDescent="0.25">
      <c r="A11" s="176" t="s">
        <v>314</v>
      </c>
      <c r="B11" s="177">
        <v>45968</v>
      </c>
      <c r="C11" s="241">
        <v>9500</v>
      </c>
      <c r="D11" s="149" t="s">
        <v>316</v>
      </c>
      <c r="E11" s="233"/>
      <c r="F11" s="233">
        <f t="shared" si="0"/>
        <v>20000</v>
      </c>
      <c r="G11" s="237">
        <v>398.7</v>
      </c>
      <c r="H11" s="234">
        <f t="shared" si="1"/>
        <v>438.69</v>
      </c>
      <c r="I11" s="234">
        <f t="shared" si="2"/>
        <v>19561.309999999998</v>
      </c>
      <c r="J11" s="235"/>
    </row>
    <row r="12" spans="1:10" s="223" customFormat="1" ht="12.75" customHeight="1" x14ac:dyDescent="0.2">
      <c r="A12" s="70" t="s">
        <v>364</v>
      </c>
      <c r="B12" s="50">
        <v>45996</v>
      </c>
      <c r="C12" s="53" t="s">
        <v>261</v>
      </c>
      <c r="D12" s="144" t="s">
        <v>365</v>
      </c>
      <c r="E12" s="233"/>
      <c r="F12" s="233">
        <f t="shared" si="0"/>
        <v>20000</v>
      </c>
      <c r="G12" s="237">
        <v>160.16999999999999</v>
      </c>
      <c r="H12" s="234">
        <f t="shared" si="1"/>
        <v>598.86</v>
      </c>
      <c r="I12" s="234">
        <f t="shared" si="2"/>
        <v>19401.14</v>
      </c>
      <c r="J12" s="235"/>
    </row>
    <row r="13" spans="1:10" s="223" customFormat="1" ht="12.75" customHeight="1" x14ac:dyDescent="0.2">
      <c r="A13" s="70" t="s">
        <v>364</v>
      </c>
      <c r="B13" s="50">
        <v>45996</v>
      </c>
      <c r="C13" s="268">
        <v>9500</v>
      </c>
      <c r="D13" s="66" t="s">
        <v>366</v>
      </c>
      <c r="E13" s="233"/>
      <c r="F13" s="233">
        <f t="shared" si="0"/>
        <v>20000</v>
      </c>
      <c r="G13" s="237">
        <v>1019.8</v>
      </c>
      <c r="H13" s="234">
        <f t="shared" si="1"/>
        <v>1618.6599999999999</v>
      </c>
      <c r="I13" s="234">
        <f t="shared" si="2"/>
        <v>18381.34</v>
      </c>
      <c r="J13" s="235"/>
    </row>
    <row r="14" spans="1:10" s="223" customFormat="1" ht="12.75" customHeight="1" x14ac:dyDescent="0.2">
      <c r="A14" s="70" t="s">
        <v>423</v>
      </c>
      <c r="B14" s="50">
        <v>46030</v>
      </c>
      <c r="C14" s="53" t="s">
        <v>261</v>
      </c>
      <c r="D14" s="144" t="s">
        <v>424</v>
      </c>
      <c r="E14" s="233"/>
      <c r="F14" s="233">
        <f t="shared" si="0"/>
        <v>20000</v>
      </c>
      <c r="G14" s="237">
        <v>73.989999999999995</v>
      </c>
      <c r="H14" s="234">
        <f t="shared" si="1"/>
        <v>1692.6499999999999</v>
      </c>
      <c r="I14" s="234">
        <f t="shared" si="2"/>
        <v>18307.349999999999</v>
      </c>
      <c r="J14" s="235"/>
    </row>
    <row r="15" spans="1:10" s="223" customFormat="1" ht="12.75" customHeight="1" x14ac:dyDescent="0.2">
      <c r="A15" s="70" t="s">
        <v>423</v>
      </c>
      <c r="B15" s="50">
        <v>46030</v>
      </c>
      <c r="C15" s="268">
        <v>9500</v>
      </c>
      <c r="D15" s="66" t="s">
        <v>425</v>
      </c>
      <c r="E15" s="233"/>
      <c r="F15" s="233">
        <f t="shared" si="0"/>
        <v>20000</v>
      </c>
      <c r="G15" s="237">
        <v>836.5</v>
      </c>
      <c r="H15" s="234">
        <f t="shared" si="1"/>
        <v>2529.1499999999996</v>
      </c>
      <c r="I15" s="234">
        <f t="shared" si="2"/>
        <v>17470.849999999999</v>
      </c>
      <c r="J15" s="235"/>
    </row>
    <row r="16" spans="1:10" s="223" customFormat="1" ht="12.75" customHeight="1" x14ac:dyDescent="0.2">
      <c r="A16" s="70" t="s">
        <v>548</v>
      </c>
      <c r="B16" s="50">
        <v>46062</v>
      </c>
      <c r="C16" s="53" t="s">
        <v>261</v>
      </c>
      <c r="D16" s="144" t="s">
        <v>549</v>
      </c>
      <c r="E16" s="233"/>
      <c r="F16" s="233">
        <f t="shared" si="0"/>
        <v>20000</v>
      </c>
      <c r="G16" s="237">
        <v>92.08</v>
      </c>
      <c r="H16" s="234">
        <f t="shared" si="1"/>
        <v>2621.2299999999996</v>
      </c>
      <c r="I16" s="234">
        <f t="shared" si="2"/>
        <v>17378.769999999997</v>
      </c>
      <c r="J16" s="235"/>
    </row>
    <row r="17" spans="1:10" s="223" customFormat="1" ht="12.75" customHeight="1" x14ac:dyDescent="0.2">
      <c r="A17" s="70" t="s">
        <v>548</v>
      </c>
      <c r="B17" s="50">
        <v>46062</v>
      </c>
      <c r="C17" s="268">
        <v>9500</v>
      </c>
      <c r="D17" s="66" t="s">
        <v>550</v>
      </c>
      <c r="E17" s="233"/>
      <c r="F17" s="233">
        <f t="shared" si="0"/>
        <v>20000</v>
      </c>
      <c r="G17" s="237">
        <v>1138.9000000000001</v>
      </c>
      <c r="H17" s="234">
        <f t="shared" si="1"/>
        <v>3760.1299999999997</v>
      </c>
      <c r="I17" s="234">
        <f t="shared" si="2"/>
        <v>16239.869999999997</v>
      </c>
      <c r="J17" s="235"/>
    </row>
    <row r="18" spans="1:10" s="223" customFormat="1" ht="12.75" customHeight="1" x14ac:dyDescent="0.2">
      <c r="A18" s="70" t="s">
        <v>644</v>
      </c>
      <c r="B18" s="50">
        <v>46090</v>
      </c>
      <c r="C18" s="53" t="s">
        <v>261</v>
      </c>
      <c r="D18" s="144" t="s">
        <v>645</v>
      </c>
      <c r="E18" s="233"/>
      <c r="F18" s="233">
        <f t="shared" si="0"/>
        <v>20000</v>
      </c>
      <c r="G18" s="237">
        <v>95.57</v>
      </c>
      <c r="H18" s="234">
        <f t="shared" si="1"/>
        <v>3855.7</v>
      </c>
      <c r="I18" s="234">
        <f t="shared" si="2"/>
        <v>16144.299999999997</v>
      </c>
      <c r="J18" s="235"/>
    </row>
    <row r="19" spans="1:10" s="223" customFormat="1" ht="12.75" customHeight="1" x14ac:dyDescent="0.2">
      <c r="A19" s="70" t="s">
        <v>644</v>
      </c>
      <c r="B19" s="50">
        <v>46090</v>
      </c>
      <c r="C19" s="268">
        <v>9500</v>
      </c>
      <c r="D19" s="66" t="s">
        <v>646</v>
      </c>
      <c r="E19" s="233"/>
      <c r="F19" s="233">
        <f t="shared" si="0"/>
        <v>20000</v>
      </c>
      <c r="G19" s="237">
        <v>1102.8</v>
      </c>
      <c r="H19" s="234">
        <f t="shared" si="1"/>
        <v>4958.5</v>
      </c>
      <c r="I19" s="234">
        <f t="shared" si="2"/>
        <v>15041.499999999998</v>
      </c>
      <c r="J19" s="235"/>
    </row>
    <row r="20" spans="1:10" s="223" customFormat="1" ht="12.75" customHeight="1" x14ac:dyDescent="0.2">
      <c r="A20" s="70" t="s">
        <v>744</v>
      </c>
      <c r="B20" s="50">
        <v>46118</v>
      </c>
      <c r="C20" s="53" t="s">
        <v>261</v>
      </c>
      <c r="D20" s="144" t="s">
        <v>745</v>
      </c>
      <c r="E20" s="233"/>
      <c r="F20" s="233">
        <f t="shared" si="0"/>
        <v>20000</v>
      </c>
      <c r="G20" s="237">
        <v>181.78</v>
      </c>
      <c r="H20" s="234">
        <f t="shared" si="1"/>
        <v>5140.28</v>
      </c>
      <c r="I20" s="234">
        <f t="shared" si="2"/>
        <v>14859.719999999998</v>
      </c>
      <c r="J20" s="235"/>
    </row>
    <row r="21" spans="1:10" s="223" customFormat="1" ht="12.75" customHeight="1" x14ac:dyDescent="0.2">
      <c r="A21" s="70" t="s">
        <v>744</v>
      </c>
      <c r="B21" s="50">
        <v>46118</v>
      </c>
      <c r="C21" s="268">
        <v>9500</v>
      </c>
      <c r="D21" s="66" t="s">
        <v>746</v>
      </c>
      <c r="E21" s="233"/>
      <c r="F21" s="233">
        <f t="shared" si="0"/>
        <v>20000</v>
      </c>
      <c r="G21" s="237">
        <v>1474.3</v>
      </c>
      <c r="H21" s="234">
        <f t="shared" si="1"/>
        <v>6614.58</v>
      </c>
      <c r="I21" s="234">
        <f t="shared" si="2"/>
        <v>13385.419999999998</v>
      </c>
      <c r="J21" s="235"/>
    </row>
    <row r="22" spans="1:10" s="223" customFormat="1" ht="12.75" customHeight="1" x14ac:dyDescent="0.2">
      <c r="A22" s="70" t="s">
        <v>869</v>
      </c>
      <c r="B22" s="50">
        <v>46149</v>
      </c>
      <c r="C22" s="53" t="s">
        <v>261</v>
      </c>
      <c r="D22" s="144" t="s">
        <v>870</v>
      </c>
      <c r="E22" s="233"/>
      <c r="F22" s="233">
        <f t="shared" si="0"/>
        <v>20000</v>
      </c>
      <c r="G22" s="237">
        <v>146.77000000000001</v>
      </c>
      <c r="H22" s="234">
        <f t="shared" si="1"/>
        <v>6761.35</v>
      </c>
      <c r="I22" s="234">
        <f t="shared" si="2"/>
        <v>13238.649999999998</v>
      </c>
      <c r="J22" s="235"/>
    </row>
    <row r="23" spans="1:10" s="223" customFormat="1" ht="12.75" customHeight="1" x14ac:dyDescent="0.2">
      <c r="A23" s="70" t="s">
        <v>869</v>
      </c>
      <c r="B23" s="50">
        <v>46149</v>
      </c>
      <c r="C23" s="268">
        <v>9500</v>
      </c>
      <c r="D23" s="66" t="s">
        <v>871</v>
      </c>
      <c r="E23" s="233"/>
      <c r="F23" s="233">
        <f t="shared" si="0"/>
        <v>20000</v>
      </c>
      <c r="G23" s="237">
        <v>1531</v>
      </c>
      <c r="H23" s="234">
        <f t="shared" si="1"/>
        <v>8292.35</v>
      </c>
      <c r="I23" s="234">
        <f t="shared" si="2"/>
        <v>11707.649999999998</v>
      </c>
      <c r="J23" s="235"/>
    </row>
    <row r="24" spans="1:10" s="223" customFormat="1" ht="12.75" customHeight="1" x14ac:dyDescent="0.2">
      <c r="A24" s="70" t="s">
        <v>984</v>
      </c>
      <c r="B24" s="50">
        <v>46181</v>
      </c>
      <c r="C24" s="53" t="s">
        <v>261</v>
      </c>
      <c r="D24" s="144" t="s">
        <v>985</v>
      </c>
      <c r="E24" s="233"/>
      <c r="F24" s="233">
        <f t="shared" si="0"/>
        <v>20000</v>
      </c>
      <c r="G24" s="237">
        <v>43.17</v>
      </c>
      <c r="H24" s="234">
        <f t="shared" si="1"/>
        <v>8335.52</v>
      </c>
      <c r="I24" s="234">
        <f t="shared" si="2"/>
        <v>11664.479999999998</v>
      </c>
      <c r="J24" s="235"/>
    </row>
    <row r="25" spans="1:10" s="223" customFormat="1" ht="12.75" customHeight="1" x14ac:dyDescent="0.2">
      <c r="A25" s="70" t="s">
        <v>984</v>
      </c>
      <c r="B25" s="50">
        <v>46181</v>
      </c>
      <c r="C25" s="268">
        <v>9500</v>
      </c>
      <c r="D25" s="66" t="s">
        <v>986</v>
      </c>
      <c r="E25" s="233"/>
      <c r="F25" s="233">
        <f t="shared" si="0"/>
        <v>20000</v>
      </c>
      <c r="G25" s="237">
        <v>527.5</v>
      </c>
      <c r="H25" s="234">
        <f t="shared" si="1"/>
        <v>8863.02</v>
      </c>
      <c r="I25" s="234">
        <f t="shared" si="2"/>
        <v>11136.979999999998</v>
      </c>
      <c r="J25" s="235"/>
    </row>
    <row r="26" spans="1:10" s="223" customFormat="1" ht="12.75" customHeight="1" x14ac:dyDescent="0.2">
      <c r="A26" s="70" t="s">
        <v>1186</v>
      </c>
      <c r="B26" s="50">
        <v>46211</v>
      </c>
      <c r="C26" s="53" t="s">
        <v>261</v>
      </c>
      <c r="D26" s="144" t="s">
        <v>1187</v>
      </c>
      <c r="E26" s="233"/>
      <c r="F26" s="233">
        <f t="shared" si="0"/>
        <v>20000</v>
      </c>
      <c r="G26" s="237">
        <v>66.16</v>
      </c>
      <c r="H26" s="234">
        <f t="shared" si="1"/>
        <v>8929.18</v>
      </c>
      <c r="I26" s="234">
        <f t="shared" si="2"/>
        <v>11070.819999999998</v>
      </c>
      <c r="J26" s="235"/>
    </row>
    <row r="27" spans="1:10" s="223" customFormat="1" ht="12.75" customHeight="1" x14ac:dyDescent="0.2">
      <c r="A27" s="70" t="s">
        <v>1186</v>
      </c>
      <c r="B27" s="50">
        <v>46211</v>
      </c>
      <c r="C27" s="268">
        <v>9500</v>
      </c>
      <c r="D27" s="66" t="s">
        <v>1188</v>
      </c>
      <c r="E27" s="233"/>
      <c r="F27" s="233">
        <f t="shared" si="0"/>
        <v>20000</v>
      </c>
      <c r="G27" s="237">
        <v>899.5</v>
      </c>
      <c r="H27" s="234">
        <f t="shared" si="1"/>
        <v>9828.68</v>
      </c>
      <c r="I27" s="234">
        <f t="shared" si="2"/>
        <v>10171.319999999998</v>
      </c>
      <c r="J27" s="235"/>
    </row>
    <row r="28" spans="1:10" s="223" customFormat="1" ht="12.75" customHeight="1" x14ac:dyDescent="0.2">
      <c r="A28" s="70" t="s">
        <v>1265</v>
      </c>
      <c r="B28" s="50">
        <v>46218</v>
      </c>
      <c r="C28" s="53" t="s">
        <v>261</v>
      </c>
      <c r="D28" s="144" t="s">
        <v>1266</v>
      </c>
      <c r="E28" s="233"/>
      <c r="F28" s="233">
        <f t="shared" si="0"/>
        <v>20000</v>
      </c>
      <c r="G28" s="237">
        <v>26.73</v>
      </c>
      <c r="H28" s="234">
        <f t="shared" si="1"/>
        <v>9855.41</v>
      </c>
      <c r="I28" s="234">
        <f t="shared" si="2"/>
        <v>10144.589999999998</v>
      </c>
      <c r="J28" s="235"/>
    </row>
    <row r="29" spans="1:10" s="223" customFormat="1" ht="12.75" customHeight="1" x14ac:dyDescent="0.2">
      <c r="A29" s="70" t="s">
        <v>1436</v>
      </c>
      <c r="B29" s="365">
        <v>46241</v>
      </c>
      <c r="C29" s="53" t="s">
        <v>261</v>
      </c>
      <c r="D29" s="144" t="s">
        <v>1437</v>
      </c>
      <c r="E29" s="233"/>
      <c r="F29" s="233">
        <f t="shared" si="0"/>
        <v>20000</v>
      </c>
      <c r="G29" s="237">
        <v>21.26</v>
      </c>
      <c r="H29" s="234">
        <f t="shared" si="1"/>
        <v>9876.67</v>
      </c>
      <c r="I29" s="234">
        <f t="shared" si="2"/>
        <v>10123.329999999998</v>
      </c>
      <c r="J29" s="235"/>
    </row>
    <row r="30" spans="1:10" s="223" customFormat="1" ht="12.75" customHeight="1" x14ac:dyDescent="0.2">
      <c r="A30" s="70" t="s">
        <v>1436</v>
      </c>
      <c r="B30" s="365">
        <v>46241</v>
      </c>
      <c r="C30" s="268">
        <v>9500</v>
      </c>
      <c r="D30" s="66" t="s">
        <v>1438</v>
      </c>
      <c r="E30" s="233"/>
      <c r="F30" s="233">
        <f t="shared" si="0"/>
        <v>20000</v>
      </c>
      <c r="G30" s="237">
        <v>282.5</v>
      </c>
      <c r="H30" s="234">
        <f t="shared" si="1"/>
        <v>10159.17</v>
      </c>
      <c r="I30" s="234">
        <f t="shared" si="2"/>
        <v>9840.8299999999981</v>
      </c>
      <c r="J30" s="235"/>
    </row>
    <row r="31" spans="1:10" s="223" customFormat="1" ht="12.75" customHeight="1" x14ac:dyDescent="0.2">
      <c r="A31" s="70" t="s">
        <v>1531</v>
      </c>
      <c r="B31" s="365">
        <v>46272</v>
      </c>
      <c r="C31" s="53" t="s">
        <v>261</v>
      </c>
      <c r="D31" s="144" t="s">
        <v>1532</v>
      </c>
      <c r="E31" s="233"/>
      <c r="F31" s="233">
        <f t="shared" si="0"/>
        <v>20000</v>
      </c>
      <c r="G31" s="237">
        <v>69.040000000000006</v>
      </c>
      <c r="H31" s="234">
        <f t="shared" si="1"/>
        <v>10228.210000000001</v>
      </c>
      <c r="I31" s="234">
        <f t="shared" si="2"/>
        <v>9771.7899999999972</v>
      </c>
      <c r="J31" s="235"/>
    </row>
    <row r="32" spans="1:10" s="223" customFormat="1" ht="12.75" customHeight="1" x14ac:dyDescent="0.2">
      <c r="A32" s="70" t="s">
        <v>1531</v>
      </c>
      <c r="B32" s="365">
        <v>46272</v>
      </c>
      <c r="C32" s="268">
        <v>9500</v>
      </c>
      <c r="D32" s="66" t="s">
        <v>1533</v>
      </c>
      <c r="E32" s="233"/>
      <c r="F32" s="233">
        <f t="shared" si="0"/>
        <v>20000</v>
      </c>
      <c r="G32" s="237">
        <v>669.9</v>
      </c>
      <c r="H32" s="234">
        <f t="shared" si="1"/>
        <v>10898.11</v>
      </c>
      <c r="I32" s="234">
        <f t="shared" si="2"/>
        <v>9101.8899999999976</v>
      </c>
      <c r="J32" s="235"/>
    </row>
    <row r="33" spans="1:10" s="223" customFormat="1" ht="12.75" customHeight="1" x14ac:dyDescent="0.2">
      <c r="A33" s="70"/>
      <c r="B33" s="365"/>
      <c r="C33" s="268"/>
      <c r="D33" s="66"/>
      <c r="E33" s="233"/>
      <c r="F33" s="233">
        <f t="shared" si="0"/>
        <v>20000</v>
      </c>
      <c r="G33" s="238"/>
      <c r="H33" s="234">
        <f t="shared" si="1"/>
        <v>10898.11</v>
      </c>
      <c r="I33" s="234">
        <f t="shared" si="2"/>
        <v>9101.8899999999976</v>
      </c>
      <c r="J33" s="235"/>
    </row>
    <row r="34" spans="1:10" s="223" customFormat="1" ht="12.75" customHeight="1" x14ac:dyDescent="0.2">
      <c r="A34" s="70"/>
      <c r="B34" s="365"/>
      <c r="C34" s="268"/>
      <c r="D34" s="66"/>
      <c r="E34" s="233"/>
      <c r="F34" s="233">
        <f t="shared" si="0"/>
        <v>20000</v>
      </c>
      <c r="G34" s="238"/>
      <c r="H34" s="234">
        <f t="shared" si="1"/>
        <v>10898.11</v>
      </c>
      <c r="I34" s="234">
        <f t="shared" si="2"/>
        <v>9101.8899999999976</v>
      </c>
      <c r="J34" s="235"/>
    </row>
    <row r="35" spans="1:10" s="223" customFormat="1" ht="12.75" customHeight="1" x14ac:dyDescent="0.2">
      <c r="A35" s="70"/>
      <c r="B35" s="50"/>
      <c r="C35" s="53"/>
      <c r="D35" s="144"/>
      <c r="E35" s="233"/>
      <c r="F35" s="233">
        <f t="shared" si="0"/>
        <v>20000</v>
      </c>
      <c r="G35" s="237"/>
      <c r="H35" s="234">
        <f t="shared" si="1"/>
        <v>10898.11</v>
      </c>
      <c r="I35" s="234">
        <f t="shared" si="2"/>
        <v>9101.8899999999976</v>
      </c>
      <c r="J35" s="235"/>
    </row>
    <row r="36" spans="1:10" s="223" customFormat="1" ht="12.75" customHeight="1" x14ac:dyDescent="0.25">
      <c r="A36" s="230"/>
      <c r="B36" s="231"/>
      <c r="C36" s="241"/>
      <c r="D36" s="240"/>
      <c r="E36" s="234"/>
      <c r="F36" s="234"/>
      <c r="G36" s="234"/>
      <c r="H36" s="234"/>
      <c r="I36" s="234"/>
      <c r="J36" s="235"/>
    </row>
    <row r="37" spans="1:10" s="223" customFormat="1" ht="12.75" customHeight="1" thickBot="1" x14ac:dyDescent="0.3">
      <c r="A37" s="230"/>
      <c r="B37" s="243"/>
      <c r="C37" s="241"/>
      <c r="D37" s="244" t="s">
        <v>24</v>
      </c>
      <c r="E37" s="245">
        <f>SUM(E9:E36)</f>
        <v>20000</v>
      </c>
      <c r="F37" s="245"/>
      <c r="G37" s="245">
        <f>SUM(G9:G36)</f>
        <v>10898.11</v>
      </c>
      <c r="H37" s="245"/>
      <c r="I37" s="245">
        <f>E37-G37</f>
        <v>9101.89</v>
      </c>
      <c r="J37" s="235"/>
    </row>
    <row r="38" spans="1:10" s="223" customFormat="1" ht="12.75" customHeight="1" thickTop="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156F9-A986-4A50-BE34-D38C3D943785}">
  <sheetPr>
    <pageSetUpPr fitToPage="1"/>
  </sheetPr>
  <dimension ref="A1:H23"/>
  <sheetViews>
    <sheetView zoomScaleNormal="100" workbookViewId="0">
      <selection activeCell="A16" sqref="A16"/>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28515625" customWidth="1"/>
    <col min="6" max="6" width="17.14062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#9513.00'!B1</f>
        <v>HHS CHMHI Tuckpointing Phase 2.2</v>
      </c>
      <c r="B1" s="3"/>
      <c r="C1" s="3"/>
      <c r="D1" s="3"/>
      <c r="E1" s="4"/>
      <c r="F1" s="4"/>
      <c r="G1" s="4"/>
      <c r="H1" s="28"/>
    </row>
    <row r="2" spans="1:8" ht="15.75" x14ac:dyDescent="0.25">
      <c r="A2" s="6" t="str">
        <f>'RECAP #9513.00'!B2</f>
        <v>Project # 9513.00</v>
      </c>
      <c r="B2" s="5"/>
      <c r="C2" s="5"/>
      <c r="D2" s="5"/>
      <c r="E2" s="4"/>
      <c r="F2" s="4"/>
      <c r="G2" s="4"/>
      <c r="H2" s="28"/>
    </row>
    <row r="3" spans="1:8" ht="15.75" x14ac:dyDescent="0.25">
      <c r="A3" s="7" t="str">
        <f>'RECAP #9513.00'!B3</f>
        <v>Program code 951300</v>
      </c>
      <c r="B3" s="5"/>
      <c r="C3" s="5"/>
      <c r="D3" s="5"/>
      <c r="E3" s="8" t="str">
        <f>'RECAP #9513.00'!E3</f>
        <v>Major Program 4E10</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358</v>
      </c>
      <c r="F6" s="35"/>
      <c r="G6" s="38"/>
      <c r="H6" s="39"/>
    </row>
    <row r="7" spans="1:8" ht="15.75" x14ac:dyDescent="0.25">
      <c r="A7" s="11" t="str">
        <f>'RECAP #9513.00'!B6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1100</v>
      </c>
      <c r="B9" s="177">
        <v>46188</v>
      </c>
      <c r="C9" s="241" t="s">
        <v>361</v>
      </c>
      <c r="D9" s="241" t="s">
        <v>362</v>
      </c>
      <c r="E9" s="70" t="s">
        <v>652</v>
      </c>
      <c r="F9" s="259" t="s">
        <v>1016</v>
      </c>
      <c r="G9" s="237">
        <v>1757</v>
      </c>
      <c r="H9" s="260">
        <f>G9</f>
        <v>1757</v>
      </c>
    </row>
    <row r="10" spans="1:8" s="223" customFormat="1" ht="12.75" customHeight="1" x14ac:dyDescent="0.2">
      <c r="A10" s="176" t="s">
        <v>1104</v>
      </c>
      <c r="B10" s="241" t="s">
        <v>1103</v>
      </c>
      <c r="C10" s="241" t="s">
        <v>361</v>
      </c>
      <c r="D10" s="241" t="s">
        <v>362</v>
      </c>
      <c r="E10" s="38" t="s">
        <v>368</v>
      </c>
      <c r="F10" s="259" t="s">
        <v>1102</v>
      </c>
      <c r="G10" s="237">
        <v>200</v>
      </c>
      <c r="H10" s="260">
        <f>H9+G10</f>
        <v>1957</v>
      </c>
    </row>
    <row r="11" spans="1:8" s="223" customFormat="1" ht="12.75" customHeight="1" x14ac:dyDescent="0.2">
      <c r="A11" s="176" t="s">
        <v>1277</v>
      </c>
      <c r="B11" s="177">
        <v>46223</v>
      </c>
      <c r="C11" s="241" t="s">
        <v>361</v>
      </c>
      <c r="D11" s="241" t="s">
        <v>362</v>
      </c>
      <c r="E11" s="38" t="s">
        <v>368</v>
      </c>
      <c r="F11" s="259" t="s">
        <v>1276</v>
      </c>
      <c r="G11" s="237">
        <v>200</v>
      </c>
      <c r="H11" s="260">
        <f t="shared" ref="H11:H20" si="0">H10+G11</f>
        <v>2157</v>
      </c>
    </row>
    <row r="12" spans="1:8" s="223" customFormat="1" ht="12.75" customHeight="1" x14ac:dyDescent="0.25">
      <c r="A12" s="241"/>
      <c r="B12" s="177"/>
      <c r="C12" s="177"/>
      <c r="D12" s="177"/>
      <c r="E12" s="258"/>
      <c r="F12" s="252"/>
      <c r="G12" s="260"/>
      <c r="H12" s="260">
        <f t="shared" si="0"/>
        <v>2157</v>
      </c>
    </row>
    <row r="13" spans="1:8" s="223" customFormat="1" ht="12.75" customHeight="1" x14ac:dyDescent="0.25">
      <c r="A13" s="241"/>
      <c r="B13" s="177"/>
      <c r="C13" s="177"/>
      <c r="D13" s="177"/>
      <c r="E13" s="258"/>
      <c r="F13" s="252"/>
      <c r="G13" s="260"/>
      <c r="H13" s="260">
        <f t="shared" si="0"/>
        <v>2157</v>
      </c>
    </row>
    <row r="14" spans="1:8" s="223" customFormat="1" ht="12.75" customHeight="1" x14ac:dyDescent="0.25">
      <c r="A14" s="241"/>
      <c r="B14" s="177"/>
      <c r="C14" s="177"/>
      <c r="D14" s="177"/>
      <c r="E14" s="258"/>
      <c r="F14" s="252"/>
      <c r="G14" s="260"/>
      <c r="H14" s="260">
        <f t="shared" si="0"/>
        <v>2157</v>
      </c>
    </row>
    <row r="15" spans="1:8" s="223" customFormat="1" ht="12.75" customHeight="1" x14ac:dyDescent="0.25">
      <c r="A15" s="241"/>
      <c r="B15" s="177"/>
      <c r="C15" s="177"/>
      <c r="D15" s="177"/>
      <c r="E15" s="261"/>
      <c r="F15" s="252"/>
      <c r="G15" s="260"/>
      <c r="H15" s="260">
        <f t="shared" si="0"/>
        <v>2157</v>
      </c>
    </row>
    <row r="16" spans="1:8" s="223" customFormat="1" ht="12.75" customHeight="1" x14ac:dyDescent="0.25">
      <c r="A16" s="241"/>
      <c r="B16" s="177"/>
      <c r="C16" s="177"/>
      <c r="D16" s="177"/>
      <c r="E16" s="258"/>
      <c r="F16" s="252"/>
      <c r="G16" s="260"/>
      <c r="H16" s="260">
        <f t="shared" si="0"/>
        <v>2157</v>
      </c>
    </row>
    <row r="17" spans="1:8" s="223" customFormat="1" ht="12.75" customHeight="1" x14ac:dyDescent="0.25">
      <c r="A17" s="230"/>
      <c r="B17" s="177"/>
      <c r="C17" s="177"/>
      <c r="D17" s="177"/>
      <c r="E17" s="258"/>
      <c r="F17" s="252"/>
      <c r="G17" s="260"/>
      <c r="H17" s="260">
        <f t="shared" si="0"/>
        <v>2157</v>
      </c>
    </row>
    <row r="18" spans="1:8" s="223" customFormat="1" ht="12.75" customHeight="1" x14ac:dyDescent="0.25">
      <c r="A18" s="230"/>
      <c r="B18" s="177"/>
      <c r="C18" s="177"/>
      <c r="D18" s="177"/>
      <c r="E18" s="258"/>
      <c r="F18" s="252"/>
      <c r="G18" s="260"/>
      <c r="H18" s="260">
        <f t="shared" si="0"/>
        <v>2157</v>
      </c>
    </row>
    <row r="19" spans="1:8" s="223" customFormat="1" ht="12.75" customHeight="1" x14ac:dyDescent="0.25">
      <c r="A19" s="230"/>
      <c r="B19" s="177"/>
      <c r="C19" s="177"/>
      <c r="D19" s="177"/>
      <c r="E19" s="258"/>
      <c r="F19" s="252"/>
      <c r="G19" s="260"/>
      <c r="H19" s="260">
        <f t="shared" si="0"/>
        <v>2157</v>
      </c>
    </row>
    <row r="20" spans="1:8" s="223" customFormat="1" ht="12.75" customHeight="1" x14ac:dyDescent="0.25">
      <c r="A20" s="230"/>
      <c r="B20" s="177"/>
      <c r="C20" s="177"/>
      <c r="D20" s="177"/>
      <c r="E20" s="258"/>
      <c r="F20" s="252"/>
      <c r="G20" s="260"/>
      <c r="H20" s="260">
        <f t="shared" si="0"/>
        <v>2157</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2157</v>
      </c>
      <c r="H22" s="265"/>
    </row>
    <row r="23" spans="1:8" ht="15" customHeight="1" thickTop="1" x14ac:dyDescent="0.25"/>
  </sheetData>
  <pageMargins left="0.25" right="0.25" top="0.95" bottom="0.75" header="0.09" footer="0.3"/>
  <pageSetup scale="76"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0B1EA-BE24-4BD5-ADAF-83955828E434}">
  <sheetPr>
    <pageSetUpPr fitToPage="1"/>
  </sheetPr>
  <dimension ref="A1:I143"/>
  <sheetViews>
    <sheetView topLeftCell="A5" zoomScaleNormal="100" workbookViewId="0">
      <selection activeCell="F11" sqref="F11"/>
    </sheetView>
  </sheetViews>
  <sheetFormatPr defaultColWidth="11.42578125" defaultRowHeight="15" customHeight="1" x14ac:dyDescent="0.25"/>
  <cols>
    <col min="1" max="1" width="24.5703125" customWidth="1"/>
    <col min="2" max="2" width="9.42578125" customWidth="1"/>
    <col min="3" max="3" width="17.5703125" bestFit="1" customWidth="1"/>
    <col min="4" max="4" width="14.42578125" customWidth="1"/>
    <col min="5" max="5" width="13.5703125" customWidth="1"/>
    <col min="6" max="6" width="12.42578125" customWidth="1"/>
    <col min="7" max="7" width="10.5703125" customWidth="1"/>
    <col min="8" max="8" width="11.8554687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#9513.00'!B1</f>
        <v>HHS CHMHI Tuckpointing Phase 2.2</v>
      </c>
      <c r="B1" s="3"/>
      <c r="C1" s="4"/>
      <c r="D1" s="4"/>
      <c r="E1" s="4"/>
      <c r="F1" s="28"/>
      <c r="G1" s="28"/>
      <c r="H1" s="29"/>
      <c r="I1" s="29"/>
    </row>
    <row r="2" spans="1:9" ht="15.75" x14ac:dyDescent="0.25">
      <c r="A2" s="6" t="str">
        <f>'RECAP #9513.00'!B2</f>
        <v>Project # 9513.00</v>
      </c>
      <c r="B2" s="5"/>
      <c r="C2" s="4"/>
      <c r="D2" s="4"/>
      <c r="E2" s="4"/>
      <c r="F2" s="28"/>
      <c r="G2" s="28"/>
      <c r="H2" s="29"/>
      <c r="I2" s="29"/>
    </row>
    <row r="3" spans="1:9" ht="15.75" x14ac:dyDescent="0.25">
      <c r="A3" s="7" t="str">
        <f>'RECAP #9513.00'!B3</f>
        <v>Program code 951300</v>
      </c>
      <c r="B3" s="5"/>
      <c r="C3" s="4"/>
      <c r="D3" s="8" t="str">
        <f>'RECAP #9513.00'!E3</f>
        <v>Major Program 4E10</v>
      </c>
      <c r="E3" s="4"/>
      <c r="F3" s="28"/>
      <c r="G3" s="28"/>
      <c r="H3" s="29"/>
      <c r="I3" s="29"/>
    </row>
    <row r="4" spans="1:9" ht="15.75" x14ac:dyDescent="0.25">
      <c r="A4" s="30" t="s">
        <v>401</v>
      </c>
      <c r="B4" s="31"/>
      <c r="C4" s="32"/>
      <c r="D4" s="33" t="s">
        <v>402</v>
      </c>
      <c r="E4" s="28"/>
      <c r="F4" s="28"/>
      <c r="G4" s="28"/>
      <c r="H4" s="29"/>
      <c r="I4" s="29"/>
    </row>
    <row r="5" spans="1:9" ht="15.75" x14ac:dyDescent="0.25">
      <c r="A5" s="34" t="s">
        <v>115</v>
      </c>
      <c r="B5" s="35"/>
      <c r="C5" s="36"/>
      <c r="D5" s="37" t="s">
        <v>403</v>
      </c>
      <c r="E5" s="38"/>
      <c r="F5" s="39"/>
      <c r="G5" s="39"/>
      <c r="H5" s="35"/>
      <c r="I5" s="29"/>
    </row>
    <row r="6" spans="1:9" ht="15.75" x14ac:dyDescent="0.25">
      <c r="A6" s="11" t="str">
        <f>'RECAP #9513.00'!B6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
      <c r="A9" s="230" t="s">
        <v>404</v>
      </c>
      <c r="B9" s="177">
        <v>46029</v>
      </c>
      <c r="C9" s="231" t="s">
        <v>109</v>
      </c>
      <c r="D9" s="141">
        <v>54900</v>
      </c>
      <c r="E9" s="233">
        <f>D9</f>
        <v>54900</v>
      </c>
      <c r="F9" s="234"/>
      <c r="G9" s="234"/>
      <c r="H9" s="234">
        <f>E9</f>
        <v>54900</v>
      </c>
      <c r="I9" s="235"/>
    </row>
    <row r="10" spans="1:9" s="223" customFormat="1" ht="12.75" customHeight="1" x14ac:dyDescent="0.25">
      <c r="A10" s="230" t="s">
        <v>592</v>
      </c>
      <c r="B10" s="236">
        <v>46077</v>
      </c>
      <c r="C10" s="231" t="s">
        <v>593</v>
      </c>
      <c r="D10" s="233"/>
      <c r="E10" s="233">
        <f t="shared" ref="E10:E21" si="0">E9+D10</f>
        <v>54900</v>
      </c>
      <c r="F10" s="237">
        <v>24800</v>
      </c>
      <c r="G10" s="234">
        <f t="shared" ref="G10:G21" si="1">G9+F10</f>
        <v>24800</v>
      </c>
      <c r="H10" s="234">
        <f t="shared" ref="H10:H21" si="2">H9-F10+D10</f>
        <v>30100</v>
      </c>
      <c r="I10" s="235"/>
    </row>
    <row r="11" spans="1:9" s="223" customFormat="1" ht="12.75" customHeight="1" x14ac:dyDescent="0.25">
      <c r="A11" s="230" t="s">
        <v>759</v>
      </c>
      <c r="B11" s="177">
        <v>46125</v>
      </c>
      <c r="C11" s="231" t="s">
        <v>760</v>
      </c>
      <c r="D11" s="233"/>
      <c r="E11" s="233">
        <f t="shared" si="0"/>
        <v>54900</v>
      </c>
      <c r="F11" s="237">
        <v>15200</v>
      </c>
      <c r="G11" s="234">
        <f t="shared" si="1"/>
        <v>40000</v>
      </c>
      <c r="H11" s="234">
        <f t="shared" si="2"/>
        <v>14900</v>
      </c>
      <c r="I11" s="235"/>
    </row>
    <row r="12" spans="1:9" s="223" customFormat="1" ht="12.75" customHeight="1" x14ac:dyDescent="0.25">
      <c r="A12" s="328" t="s">
        <v>840</v>
      </c>
      <c r="B12" s="329">
        <v>46148</v>
      </c>
      <c r="C12" s="330" t="s">
        <v>841</v>
      </c>
      <c r="D12" s="331"/>
      <c r="E12" s="331">
        <f t="shared" si="0"/>
        <v>54900</v>
      </c>
      <c r="F12" s="338">
        <v>1900</v>
      </c>
      <c r="G12" s="332">
        <f t="shared" si="1"/>
        <v>41900</v>
      </c>
      <c r="H12" s="332">
        <f t="shared" si="2"/>
        <v>13000</v>
      </c>
      <c r="I12" s="333" t="s">
        <v>1285</v>
      </c>
    </row>
    <row r="13" spans="1:9" s="223" customFormat="1" ht="12.75" customHeight="1" x14ac:dyDescent="0.25">
      <c r="A13" s="230" t="s">
        <v>1328</v>
      </c>
      <c r="B13" s="177">
        <v>46225</v>
      </c>
      <c r="C13" s="231" t="s">
        <v>1286</v>
      </c>
      <c r="D13" s="232">
        <v>0</v>
      </c>
      <c r="E13" s="233">
        <f t="shared" si="0"/>
        <v>54900</v>
      </c>
      <c r="F13" s="238"/>
      <c r="G13" s="234">
        <f t="shared" si="1"/>
        <v>41900</v>
      </c>
      <c r="H13" s="234">
        <f t="shared" si="2"/>
        <v>13000</v>
      </c>
      <c r="I13" s="235"/>
    </row>
    <row r="14" spans="1:9" s="223" customFormat="1" ht="12.75" customHeight="1" x14ac:dyDescent="0.25">
      <c r="A14" s="230"/>
      <c r="B14" s="177"/>
      <c r="C14" s="231"/>
      <c r="D14" s="233"/>
      <c r="E14" s="233">
        <f t="shared" si="0"/>
        <v>54900</v>
      </c>
      <c r="F14" s="234"/>
      <c r="G14" s="234">
        <f t="shared" si="1"/>
        <v>41900</v>
      </c>
      <c r="H14" s="234">
        <f t="shared" si="2"/>
        <v>13000</v>
      </c>
      <c r="I14" s="235"/>
    </row>
    <row r="15" spans="1:9" s="223" customFormat="1" ht="12.75" customHeight="1" x14ac:dyDescent="0.25">
      <c r="A15" s="230"/>
      <c r="B15" s="177"/>
      <c r="C15" s="231"/>
      <c r="D15" s="233"/>
      <c r="E15" s="233">
        <f t="shared" si="0"/>
        <v>54900</v>
      </c>
      <c r="F15" s="238"/>
      <c r="G15" s="234">
        <f t="shared" si="1"/>
        <v>41900</v>
      </c>
      <c r="H15" s="234">
        <f t="shared" si="2"/>
        <v>13000</v>
      </c>
      <c r="I15" s="235"/>
    </row>
    <row r="16" spans="1:9" s="223" customFormat="1" ht="12.75" customHeight="1" x14ac:dyDescent="0.25">
      <c r="A16" s="230"/>
      <c r="B16" s="177"/>
      <c r="C16" s="231"/>
      <c r="D16" s="233"/>
      <c r="E16" s="233">
        <f t="shared" si="0"/>
        <v>54900</v>
      </c>
      <c r="F16" s="238"/>
      <c r="G16" s="234">
        <f t="shared" si="1"/>
        <v>41900</v>
      </c>
      <c r="H16" s="234">
        <f t="shared" si="2"/>
        <v>13000</v>
      </c>
      <c r="I16" s="235"/>
    </row>
    <row r="17" spans="1:9" s="223" customFormat="1" ht="12.75" customHeight="1" x14ac:dyDescent="0.25">
      <c r="A17" s="230"/>
      <c r="B17" s="177"/>
      <c r="C17" s="231"/>
      <c r="D17" s="233"/>
      <c r="E17" s="233">
        <f t="shared" si="0"/>
        <v>54900</v>
      </c>
      <c r="F17" s="238"/>
      <c r="G17" s="234">
        <f t="shared" si="1"/>
        <v>41900</v>
      </c>
      <c r="H17" s="234">
        <f t="shared" si="2"/>
        <v>13000</v>
      </c>
      <c r="I17" s="235"/>
    </row>
    <row r="18" spans="1:9" s="223" customFormat="1" ht="12.75" customHeight="1" x14ac:dyDescent="0.25">
      <c r="A18" s="230"/>
      <c r="B18" s="177"/>
      <c r="C18" s="231"/>
      <c r="D18" s="233"/>
      <c r="E18" s="233">
        <f t="shared" si="0"/>
        <v>54900</v>
      </c>
      <c r="F18" s="238"/>
      <c r="G18" s="234">
        <f t="shared" si="1"/>
        <v>41900</v>
      </c>
      <c r="H18" s="234">
        <f t="shared" si="2"/>
        <v>13000</v>
      </c>
      <c r="I18" s="235"/>
    </row>
    <row r="19" spans="1:9" s="223" customFormat="1" ht="12.75" customHeight="1" x14ac:dyDescent="0.25">
      <c r="A19" s="230"/>
      <c r="B19" s="177"/>
      <c r="C19" s="231"/>
      <c r="D19" s="233"/>
      <c r="E19" s="233">
        <f t="shared" si="0"/>
        <v>54900</v>
      </c>
      <c r="F19" s="234"/>
      <c r="G19" s="234">
        <f t="shared" si="1"/>
        <v>41900</v>
      </c>
      <c r="H19" s="234">
        <f t="shared" si="2"/>
        <v>13000</v>
      </c>
      <c r="I19" s="235"/>
    </row>
    <row r="20" spans="1:9" s="223" customFormat="1" ht="12.75" customHeight="1" x14ac:dyDescent="0.25">
      <c r="A20" s="230"/>
      <c r="B20" s="177"/>
      <c r="C20" s="231"/>
      <c r="D20" s="233"/>
      <c r="E20" s="233">
        <f t="shared" si="0"/>
        <v>54900</v>
      </c>
      <c r="F20" s="234"/>
      <c r="G20" s="234">
        <f t="shared" si="1"/>
        <v>41900</v>
      </c>
      <c r="H20" s="234">
        <f t="shared" si="2"/>
        <v>13000</v>
      </c>
      <c r="I20" s="235"/>
    </row>
    <row r="21" spans="1:9" s="223" customFormat="1" ht="12.75" customHeight="1" x14ac:dyDescent="0.25">
      <c r="A21" s="230"/>
      <c r="B21" s="177"/>
      <c r="C21" s="239"/>
      <c r="D21" s="233"/>
      <c r="E21" s="233">
        <f t="shared" si="0"/>
        <v>54900</v>
      </c>
      <c r="F21" s="234"/>
      <c r="G21" s="234">
        <f t="shared" si="1"/>
        <v>41900</v>
      </c>
      <c r="H21" s="234">
        <f t="shared" si="2"/>
        <v>13000</v>
      </c>
      <c r="I21" s="235"/>
    </row>
    <row r="22" spans="1:9" s="223" customFormat="1" ht="12.75" customHeight="1" x14ac:dyDescent="0.25">
      <c r="A22" s="230"/>
      <c r="B22" s="231"/>
      <c r="C22" s="240"/>
      <c r="D22" s="234"/>
      <c r="E22" s="234"/>
      <c r="F22" s="234"/>
      <c r="G22" s="234"/>
      <c r="H22" s="234"/>
      <c r="I22" s="235"/>
    </row>
    <row r="23" spans="1:9" ht="12.75" customHeight="1" thickBot="1" x14ac:dyDescent="0.3">
      <c r="A23" s="49"/>
      <c r="B23" s="60"/>
      <c r="C23" s="244" t="s">
        <v>24</v>
      </c>
      <c r="D23" s="245">
        <f>SUM(D9:D22)</f>
        <v>54900</v>
      </c>
      <c r="E23" s="245"/>
      <c r="F23" s="245">
        <f>SUM(F9:F22)</f>
        <v>41900</v>
      </c>
      <c r="G23" s="245"/>
      <c r="H23" s="245">
        <f>D23-F23</f>
        <v>13000</v>
      </c>
      <c r="I23" s="55"/>
    </row>
    <row r="24" spans="1:9" ht="12.75" customHeight="1" thickTop="1" x14ac:dyDescent="0.25">
      <c r="A24" s="49"/>
      <c r="B24" s="51"/>
      <c r="C24" s="240"/>
      <c r="D24" s="234"/>
      <c r="E24" s="234"/>
      <c r="F24" s="234"/>
      <c r="G24" s="234"/>
      <c r="H24" s="234"/>
      <c r="I24" s="55"/>
    </row>
    <row r="25" spans="1:9" ht="12.75" customHeight="1" x14ac:dyDescent="0.25">
      <c r="A25" s="49"/>
      <c r="B25" s="51"/>
      <c r="C25" s="59"/>
      <c r="D25" s="54"/>
      <c r="E25" s="54"/>
      <c r="F25" s="54"/>
      <c r="G25" s="54"/>
      <c r="H25" s="54"/>
      <c r="I25" s="55"/>
    </row>
    <row r="26" spans="1:9" ht="12.75" customHeight="1" x14ac:dyDescent="0.25">
      <c r="A26" s="49"/>
      <c r="B26" s="51"/>
      <c r="C26" s="253" t="s">
        <v>405</v>
      </c>
      <c r="D26" s="254">
        <v>24800</v>
      </c>
      <c r="E26" s="234"/>
      <c r="F26" s="234">
        <f>24800</f>
        <v>24800</v>
      </c>
      <c r="G26" s="234"/>
      <c r="H26" s="234">
        <f>D26-F26</f>
        <v>0</v>
      </c>
      <c r="I26" s="55"/>
    </row>
    <row r="27" spans="1:9" ht="12.75" customHeight="1" x14ac:dyDescent="0.25">
      <c r="A27" s="49"/>
      <c r="B27" s="51"/>
      <c r="C27" s="240" t="s">
        <v>406</v>
      </c>
      <c r="D27" s="254">
        <v>15200</v>
      </c>
      <c r="E27" s="234"/>
      <c r="F27" s="234">
        <f>15200</f>
        <v>15200</v>
      </c>
      <c r="G27" s="234"/>
      <c r="H27" s="234">
        <f>D27-F27</f>
        <v>0</v>
      </c>
      <c r="I27" s="55"/>
    </row>
    <row r="28" spans="1:9" ht="12.75" customHeight="1" x14ac:dyDescent="0.25">
      <c r="A28" s="49"/>
      <c r="B28" s="51"/>
      <c r="C28" s="253" t="s">
        <v>300</v>
      </c>
      <c r="D28" s="254">
        <v>1900</v>
      </c>
      <c r="E28" s="254"/>
      <c r="F28" s="234">
        <f>1900</f>
        <v>1900</v>
      </c>
      <c r="G28" s="254"/>
      <c r="H28" s="234">
        <f>D28-F28</f>
        <v>0</v>
      </c>
      <c r="I28" s="55"/>
    </row>
    <row r="29" spans="1:9" ht="12.75" customHeight="1" x14ac:dyDescent="0.25">
      <c r="A29" s="49"/>
      <c r="B29" s="51"/>
      <c r="C29" s="253" t="s">
        <v>122</v>
      </c>
      <c r="D29" s="254">
        <v>13000</v>
      </c>
      <c r="E29" s="254"/>
      <c r="F29" s="234"/>
      <c r="G29" s="254"/>
      <c r="H29" s="234">
        <f>D29-F29</f>
        <v>13000</v>
      </c>
      <c r="I29" s="55"/>
    </row>
    <row r="30" spans="1:9" ht="12.75" customHeight="1" thickBot="1" x14ac:dyDescent="0.3">
      <c r="A30" s="49"/>
      <c r="B30" s="51"/>
      <c r="C30" s="255" t="s">
        <v>67</v>
      </c>
      <c r="D30" s="256">
        <f>SUM(D26:D29)</f>
        <v>54900</v>
      </c>
      <c r="E30" s="257"/>
      <c r="F30" s="256">
        <f>SUM(F26:F29)</f>
        <v>41900</v>
      </c>
      <c r="G30" s="257"/>
      <c r="H30" s="256">
        <f>SUM(H26:H29)</f>
        <v>13000</v>
      </c>
      <c r="I30" s="55"/>
    </row>
    <row r="31" spans="1:9" ht="12.75" customHeight="1" thickTop="1" x14ac:dyDescent="0.25">
      <c r="C31" s="223"/>
      <c r="D31" s="223"/>
      <c r="E31" s="223"/>
      <c r="F31" s="223"/>
      <c r="G31" s="223"/>
      <c r="H31" s="223"/>
    </row>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sheetData>
  <pageMargins left="0.25" right="0.25" top="0.95" bottom="0.75" header="0.09" footer="0.3"/>
  <pageSetup scale="8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35C70-03CB-4CC1-B5F3-E3CEA8E66912}">
  <sheetPr>
    <pageSetUpPr fitToPage="1"/>
  </sheetPr>
  <dimension ref="A1:I212"/>
  <sheetViews>
    <sheetView zoomScaleNormal="100" workbookViewId="0">
      <selection activeCell="J29" sqref="J29"/>
    </sheetView>
  </sheetViews>
  <sheetFormatPr defaultColWidth="11.42578125" defaultRowHeight="15" customHeight="1" x14ac:dyDescent="0.25"/>
  <cols>
    <col min="1" max="1" width="24.5703125" customWidth="1"/>
    <col min="2" max="2" width="9.42578125" customWidth="1"/>
    <col min="3" max="3" width="17.5703125" bestFit="1" customWidth="1"/>
    <col min="4" max="4" width="14.42578125" customWidth="1"/>
    <col min="5" max="5" width="13.5703125" customWidth="1"/>
    <col min="6" max="6" width="12.42578125" customWidth="1"/>
    <col min="7" max="7" width="10.5703125" customWidth="1"/>
    <col min="8" max="8" width="14.28515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#9513.00'!B1</f>
        <v>HHS CHMHI Tuckpointing Phase 2.2</v>
      </c>
      <c r="B1" s="3"/>
      <c r="C1" s="4"/>
      <c r="D1" s="4"/>
      <c r="E1" s="4"/>
      <c r="F1" s="28"/>
      <c r="G1" s="28"/>
      <c r="H1" s="29"/>
      <c r="I1" s="29"/>
    </row>
    <row r="2" spans="1:9" ht="15.75" x14ac:dyDescent="0.25">
      <c r="A2" s="6" t="str">
        <f>'RECAP #9513.00'!B2</f>
        <v>Project # 9513.00</v>
      </c>
      <c r="B2" s="5"/>
      <c r="C2" s="4"/>
      <c r="D2" s="4"/>
      <c r="E2" s="4"/>
      <c r="F2" s="28"/>
      <c r="G2" s="28"/>
      <c r="H2" s="29"/>
      <c r="I2" s="29"/>
    </row>
    <row r="3" spans="1:9" ht="15.75" x14ac:dyDescent="0.25">
      <c r="A3" s="7" t="str">
        <f>'RECAP #9513.00'!B3</f>
        <v>Program code 951300</v>
      </c>
      <c r="B3" s="5"/>
      <c r="C3" s="4"/>
      <c r="D3" s="8" t="str">
        <f>'RECAP #9513.00'!E3</f>
        <v>Major Program 4E10</v>
      </c>
      <c r="E3" s="4"/>
      <c r="F3" s="28"/>
      <c r="G3" s="28"/>
      <c r="H3" s="29"/>
      <c r="I3" s="29"/>
    </row>
    <row r="4" spans="1:9" ht="15.75" x14ac:dyDescent="0.25">
      <c r="A4" s="30" t="s">
        <v>1368</v>
      </c>
      <c r="B4" s="31"/>
      <c r="C4" s="32"/>
      <c r="D4" s="33" t="s">
        <v>1372</v>
      </c>
      <c r="E4" s="28"/>
      <c r="F4" s="28"/>
      <c r="G4" s="28"/>
      <c r="H4" s="29"/>
      <c r="I4" s="29"/>
    </row>
    <row r="5" spans="1:9" ht="15.75" x14ac:dyDescent="0.25">
      <c r="A5" s="34" t="s">
        <v>104</v>
      </c>
      <c r="B5" s="35"/>
      <c r="C5" s="36"/>
      <c r="D5" s="37" t="s">
        <v>1369</v>
      </c>
      <c r="E5" s="38"/>
      <c r="F5" s="39"/>
      <c r="G5" s="39"/>
      <c r="H5" s="35"/>
      <c r="I5" s="29"/>
    </row>
    <row r="6" spans="1:9" ht="15.75" x14ac:dyDescent="0.25">
      <c r="A6" s="11" t="str">
        <f>'RECAP #9513.00'!B6</f>
        <v>Project Manager - Jennie E.</v>
      </c>
      <c r="B6" s="11"/>
      <c r="C6" s="40"/>
      <c r="D6" s="41" t="s">
        <v>1370</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
      <c r="A9" s="230" t="s">
        <v>1371</v>
      </c>
      <c r="B9" s="177">
        <v>46230</v>
      </c>
      <c r="C9" s="231" t="s">
        <v>109</v>
      </c>
      <c r="D9" s="141">
        <v>314709</v>
      </c>
      <c r="E9" s="233">
        <f>D9</f>
        <v>314709</v>
      </c>
      <c r="F9" s="234"/>
      <c r="G9" s="234"/>
      <c r="H9" s="234">
        <f>E9</f>
        <v>314709</v>
      </c>
      <c r="I9" s="235"/>
    </row>
    <row r="10" spans="1:9" s="223" customFormat="1" ht="12.75" customHeight="1" x14ac:dyDescent="0.25">
      <c r="A10" s="230"/>
      <c r="B10" s="236"/>
      <c r="C10" s="231"/>
      <c r="D10" s="233"/>
      <c r="E10" s="233">
        <f t="shared" ref="E10:E21" si="0">E9+D10</f>
        <v>314709</v>
      </c>
      <c r="F10" s="237"/>
      <c r="G10" s="234">
        <f t="shared" ref="G10:G21" si="1">G9+F10</f>
        <v>0</v>
      </c>
      <c r="H10" s="234">
        <f t="shared" ref="H10:H21" si="2">H9-F10+D10</f>
        <v>314709</v>
      </c>
      <c r="I10" s="235"/>
    </row>
    <row r="11" spans="1:9" s="223" customFormat="1" ht="12.75" customHeight="1" x14ac:dyDescent="0.25">
      <c r="A11" s="230"/>
      <c r="B11" s="177"/>
      <c r="C11" s="231"/>
      <c r="D11" s="233"/>
      <c r="E11" s="233">
        <f t="shared" si="0"/>
        <v>314709</v>
      </c>
      <c r="F11" s="237"/>
      <c r="G11" s="234">
        <f t="shared" si="1"/>
        <v>0</v>
      </c>
      <c r="H11" s="234">
        <f t="shared" si="2"/>
        <v>314709</v>
      </c>
      <c r="I11" s="235"/>
    </row>
    <row r="12" spans="1:9" s="223" customFormat="1" ht="12.75" customHeight="1" x14ac:dyDescent="0.25">
      <c r="A12" s="230"/>
      <c r="B12" s="177"/>
      <c r="C12" s="231"/>
      <c r="D12" s="233"/>
      <c r="E12" s="233">
        <f t="shared" si="0"/>
        <v>314709</v>
      </c>
      <c r="F12" s="237"/>
      <c r="G12" s="234">
        <f t="shared" si="1"/>
        <v>0</v>
      </c>
      <c r="H12" s="234">
        <f t="shared" si="2"/>
        <v>314709</v>
      </c>
      <c r="I12" s="298"/>
    </row>
    <row r="13" spans="1:9" s="223" customFormat="1" ht="12.75" customHeight="1" x14ac:dyDescent="0.25">
      <c r="A13" s="230"/>
      <c r="B13" s="177"/>
      <c r="C13" s="231"/>
      <c r="D13" s="232"/>
      <c r="E13" s="233">
        <f t="shared" si="0"/>
        <v>314709</v>
      </c>
      <c r="F13" s="238"/>
      <c r="G13" s="234">
        <f t="shared" si="1"/>
        <v>0</v>
      </c>
      <c r="H13" s="234">
        <f t="shared" si="2"/>
        <v>314709</v>
      </c>
      <c r="I13" s="235"/>
    </row>
    <row r="14" spans="1:9" s="223" customFormat="1" ht="12.75" customHeight="1" x14ac:dyDescent="0.25">
      <c r="A14" s="230"/>
      <c r="B14" s="177"/>
      <c r="C14" s="231"/>
      <c r="D14" s="233"/>
      <c r="E14" s="233">
        <f t="shared" si="0"/>
        <v>314709</v>
      </c>
      <c r="F14" s="234"/>
      <c r="G14" s="234">
        <f t="shared" si="1"/>
        <v>0</v>
      </c>
      <c r="H14" s="234">
        <f t="shared" si="2"/>
        <v>314709</v>
      </c>
      <c r="I14" s="235"/>
    </row>
    <row r="15" spans="1:9" s="223" customFormat="1" ht="12.75" customHeight="1" x14ac:dyDescent="0.25">
      <c r="A15" s="230"/>
      <c r="B15" s="177"/>
      <c r="C15" s="231"/>
      <c r="D15" s="233"/>
      <c r="E15" s="233">
        <f t="shared" si="0"/>
        <v>314709</v>
      </c>
      <c r="F15" s="238"/>
      <c r="G15" s="234">
        <f t="shared" si="1"/>
        <v>0</v>
      </c>
      <c r="H15" s="234">
        <f t="shared" si="2"/>
        <v>314709</v>
      </c>
      <c r="I15" s="235"/>
    </row>
    <row r="16" spans="1:9" s="223" customFormat="1" ht="12.75" customHeight="1" x14ac:dyDescent="0.25">
      <c r="A16" s="230"/>
      <c r="B16" s="177"/>
      <c r="C16" s="231"/>
      <c r="D16" s="233"/>
      <c r="E16" s="233">
        <f t="shared" si="0"/>
        <v>314709</v>
      </c>
      <c r="F16" s="238"/>
      <c r="G16" s="234">
        <f t="shared" si="1"/>
        <v>0</v>
      </c>
      <c r="H16" s="234">
        <f t="shared" si="2"/>
        <v>314709</v>
      </c>
      <c r="I16" s="235"/>
    </row>
    <row r="17" spans="1:9" s="223" customFormat="1" ht="12.75" customHeight="1" x14ac:dyDescent="0.25">
      <c r="A17" s="230"/>
      <c r="B17" s="177"/>
      <c r="C17" s="231"/>
      <c r="D17" s="233"/>
      <c r="E17" s="233">
        <f t="shared" si="0"/>
        <v>314709</v>
      </c>
      <c r="F17" s="238"/>
      <c r="G17" s="234">
        <f t="shared" si="1"/>
        <v>0</v>
      </c>
      <c r="H17" s="234">
        <f t="shared" si="2"/>
        <v>314709</v>
      </c>
      <c r="I17" s="235"/>
    </row>
    <row r="18" spans="1:9" s="223" customFormat="1" ht="12.75" customHeight="1" x14ac:dyDescent="0.25">
      <c r="A18" s="230"/>
      <c r="B18" s="177"/>
      <c r="C18" s="231"/>
      <c r="D18" s="233"/>
      <c r="E18" s="233">
        <f t="shared" si="0"/>
        <v>314709</v>
      </c>
      <c r="F18" s="238"/>
      <c r="G18" s="234">
        <f t="shared" si="1"/>
        <v>0</v>
      </c>
      <c r="H18" s="234">
        <f t="shared" si="2"/>
        <v>314709</v>
      </c>
      <c r="I18" s="235"/>
    </row>
    <row r="19" spans="1:9" s="223" customFormat="1" ht="12.75" customHeight="1" x14ac:dyDescent="0.25">
      <c r="A19" s="230"/>
      <c r="B19" s="177"/>
      <c r="C19" s="231"/>
      <c r="D19" s="233"/>
      <c r="E19" s="233">
        <f t="shared" si="0"/>
        <v>314709</v>
      </c>
      <c r="F19" s="234"/>
      <c r="G19" s="234">
        <f t="shared" si="1"/>
        <v>0</v>
      </c>
      <c r="H19" s="234">
        <f t="shared" si="2"/>
        <v>314709</v>
      </c>
      <c r="I19" s="235"/>
    </row>
    <row r="20" spans="1:9" s="223" customFormat="1" ht="12.75" customHeight="1" x14ac:dyDescent="0.25">
      <c r="A20" s="230"/>
      <c r="B20" s="177"/>
      <c r="C20" s="231"/>
      <c r="D20" s="233"/>
      <c r="E20" s="233">
        <f t="shared" si="0"/>
        <v>314709</v>
      </c>
      <c r="F20" s="234"/>
      <c r="G20" s="234">
        <f t="shared" si="1"/>
        <v>0</v>
      </c>
      <c r="H20" s="234">
        <f t="shared" si="2"/>
        <v>314709</v>
      </c>
      <c r="I20" s="235"/>
    </row>
    <row r="21" spans="1:9" s="223" customFormat="1" ht="12.75" customHeight="1" x14ac:dyDescent="0.25">
      <c r="A21" s="230"/>
      <c r="B21" s="177"/>
      <c r="C21" s="239"/>
      <c r="D21" s="233"/>
      <c r="E21" s="233">
        <f t="shared" si="0"/>
        <v>314709</v>
      </c>
      <c r="F21" s="234"/>
      <c r="G21" s="234">
        <f t="shared" si="1"/>
        <v>0</v>
      </c>
      <c r="H21" s="234">
        <f t="shared" si="2"/>
        <v>314709</v>
      </c>
      <c r="I21" s="235"/>
    </row>
    <row r="22" spans="1:9" s="223" customFormat="1" ht="12.75" customHeight="1" x14ac:dyDescent="0.25">
      <c r="A22" s="230"/>
      <c r="B22" s="231"/>
      <c r="C22" s="240"/>
      <c r="D22" s="234"/>
      <c r="E22" s="234"/>
      <c r="F22" s="234"/>
      <c r="G22" s="234"/>
      <c r="H22" s="234"/>
      <c r="I22" s="235"/>
    </row>
    <row r="23" spans="1:9" ht="12.75" customHeight="1" thickBot="1" x14ac:dyDescent="0.3">
      <c r="A23" s="49"/>
      <c r="B23" s="60"/>
      <c r="C23" s="244" t="s">
        <v>24</v>
      </c>
      <c r="D23" s="245">
        <f>SUM(D9:D22)</f>
        <v>314709</v>
      </c>
      <c r="E23" s="245"/>
      <c r="F23" s="245">
        <f>SUM(F9:F22)</f>
        <v>0</v>
      </c>
      <c r="G23" s="245"/>
      <c r="H23" s="245">
        <f>D23-F23</f>
        <v>314709</v>
      </c>
      <c r="I23" s="55"/>
    </row>
    <row r="24" spans="1:9" ht="12.75" customHeight="1" thickTop="1" x14ac:dyDescent="0.25">
      <c r="A24" s="49"/>
      <c r="B24" s="51"/>
      <c r="C24" s="240"/>
      <c r="D24" s="234"/>
      <c r="E24" s="234"/>
      <c r="F24" s="234"/>
      <c r="G24" s="234"/>
      <c r="H24" s="234"/>
      <c r="I24" s="55"/>
    </row>
    <row r="25" spans="1:9" ht="12.75" customHeight="1" x14ac:dyDescent="0.25"/>
    <row r="26" spans="1:9" ht="12.75" customHeight="1" x14ac:dyDescent="0.25"/>
    <row r="27" spans="1:9" ht="12.75" customHeight="1" x14ac:dyDescent="0.25"/>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customFormat="1" ht="12.75" customHeight="1" x14ac:dyDescent="0.25"/>
    <row r="34" customFormat="1" ht="12.75" customHeight="1" x14ac:dyDescent="0.25"/>
    <row r="35" customFormat="1" ht="12.75" customHeight="1" x14ac:dyDescent="0.25"/>
    <row r="36" customFormat="1" ht="12.75" customHeight="1" x14ac:dyDescent="0.25"/>
    <row r="37" customFormat="1" ht="12.75" customHeight="1" x14ac:dyDescent="0.25"/>
    <row r="38" customFormat="1" ht="12.75" customHeight="1" x14ac:dyDescent="0.25"/>
    <row r="39" customFormat="1" ht="12.75" customHeight="1" x14ac:dyDescent="0.25"/>
    <row r="40" customFormat="1" ht="12.75" customHeight="1" x14ac:dyDescent="0.25"/>
    <row r="41" customFormat="1" ht="12.75" customHeight="1" x14ac:dyDescent="0.25"/>
    <row r="42" customFormat="1" ht="12.75" customHeight="1" x14ac:dyDescent="0.25"/>
    <row r="43" customFormat="1" ht="12.75" customHeight="1" x14ac:dyDescent="0.25"/>
    <row r="44" customFormat="1" ht="12.75" customHeight="1" x14ac:dyDescent="0.25"/>
    <row r="45" customFormat="1" ht="12.75" customHeight="1" x14ac:dyDescent="0.25"/>
    <row r="46" customFormat="1" ht="12.75" customHeight="1" x14ac:dyDescent="0.25"/>
    <row r="47" customFormat="1" ht="12.75" customHeight="1" x14ac:dyDescent="0.25"/>
    <row r="48" customFormat="1" ht="12.75" customHeight="1" x14ac:dyDescent="0.25"/>
    <row r="49" customFormat="1" ht="12.75" customHeight="1" x14ac:dyDescent="0.25"/>
    <row r="50" customFormat="1" ht="12.75" customHeight="1" x14ac:dyDescent="0.25"/>
    <row r="51" customFormat="1" ht="12.75" customHeight="1" x14ac:dyDescent="0.25"/>
    <row r="52" customFormat="1" ht="12.75" customHeight="1" x14ac:dyDescent="0.25"/>
    <row r="53" customFormat="1" ht="12.75" customHeight="1" x14ac:dyDescent="0.25"/>
    <row r="54" customFormat="1" ht="12.75" customHeight="1" x14ac:dyDescent="0.25"/>
    <row r="55" customFormat="1" ht="12.75" customHeight="1" x14ac:dyDescent="0.25"/>
    <row r="56" customFormat="1" ht="12.75" customHeight="1" x14ac:dyDescent="0.25"/>
    <row r="57" customFormat="1" ht="12.75" customHeight="1" x14ac:dyDescent="0.25"/>
    <row r="58" customFormat="1" ht="12.75" customHeight="1" x14ac:dyDescent="0.25"/>
    <row r="59" customFormat="1" ht="12.75" customHeight="1" x14ac:dyDescent="0.25"/>
    <row r="60" customFormat="1" ht="12.75" customHeight="1" x14ac:dyDescent="0.25"/>
    <row r="61" customFormat="1" ht="12.75" customHeight="1" x14ac:dyDescent="0.25"/>
    <row r="62" customFormat="1" ht="12.75" customHeight="1" x14ac:dyDescent="0.25"/>
    <row r="63" customFormat="1" ht="12.75" customHeight="1" x14ac:dyDescent="0.25"/>
    <row r="64" customFormat="1" ht="12.75" customHeight="1" x14ac:dyDescent="0.25"/>
    <row r="65" customFormat="1" ht="12.75" customHeight="1" x14ac:dyDescent="0.25"/>
    <row r="66" customFormat="1" ht="12.75" customHeight="1" x14ac:dyDescent="0.25"/>
    <row r="67" customFormat="1" ht="12.75" customHeight="1" x14ac:dyDescent="0.25"/>
    <row r="68" customFormat="1" ht="12.75" customHeight="1" x14ac:dyDescent="0.25"/>
    <row r="69" customFormat="1" ht="12.75" customHeight="1" x14ac:dyDescent="0.25"/>
    <row r="70" customFormat="1" ht="12.75" customHeight="1" x14ac:dyDescent="0.25"/>
    <row r="71" customFormat="1" ht="12.75" customHeight="1" x14ac:dyDescent="0.25"/>
    <row r="72" customFormat="1" ht="12.75" customHeight="1" x14ac:dyDescent="0.25"/>
    <row r="73" customFormat="1" ht="12.75" customHeight="1" x14ac:dyDescent="0.25"/>
    <row r="74" customFormat="1" ht="12.75" customHeight="1" x14ac:dyDescent="0.25"/>
    <row r="75" customFormat="1" ht="12.75" customHeight="1" x14ac:dyDescent="0.25"/>
    <row r="76" customFormat="1" ht="12.75" customHeight="1" x14ac:dyDescent="0.25"/>
    <row r="77" customFormat="1" ht="12.75" customHeight="1" x14ac:dyDescent="0.25"/>
    <row r="78" customFormat="1" ht="12.75" customHeight="1" x14ac:dyDescent="0.25"/>
    <row r="79" customFormat="1" ht="12.75" customHeight="1" x14ac:dyDescent="0.25"/>
    <row r="80" customFormat="1" ht="12.75" customHeight="1" x14ac:dyDescent="0.25"/>
    <row r="81" customFormat="1" ht="12.75" customHeight="1" x14ac:dyDescent="0.25"/>
    <row r="82" customFormat="1" ht="12.75" customHeight="1" x14ac:dyDescent="0.25"/>
    <row r="83" customFormat="1" ht="12.75" customHeight="1" x14ac:dyDescent="0.25"/>
    <row r="84" customFormat="1" ht="12.75" customHeight="1" x14ac:dyDescent="0.25"/>
    <row r="85" customFormat="1" ht="12.75" customHeight="1" x14ac:dyDescent="0.25"/>
    <row r="86" customFormat="1" ht="12.75" customHeight="1" x14ac:dyDescent="0.25"/>
    <row r="87" customFormat="1" ht="12.75" customHeight="1" x14ac:dyDescent="0.25"/>
    <row r="88" customFormat="1" ht="12.75" customHeight="1" x14ac:dyDescent="0.25"/>
    <row r="89" customFormat="1" ht="12.75" customHeight="1" x14ac:dyDescent="0.25"/>
    <row r="90" customFormat="1" ht="12.75" customHeight="1" x14ac:dyDescent="0.25"/>
    <row r="91" customFormat="1" ht="12.75" customHeight="1" x14ac:dyDescent="0.25"/>
    <row r="92" customFormat="1" ht="12.75" customHeight="1" x14ac:dyDescent="0.25"/>
    <row r="93" customFormat="1" ht="12.75" customHeight="1" x14ac:dyDescent="0.25"/>
    <row r="94" customFormat="1" ht="12.75" customHeight="1" x14ac:dyDescent="0.25"/>
    <row r="95" customFormat="1" ht="12.75" customHeight="1" x14ac:dyDescent="0.25"/>
    <row r="96" customFormat="1" ht="12.75" customHeight="1" x14ac:dyDescent="0.25"/>
    <row r="97" customFormat="1" ht="12.75" customHeight="1" x14ac:dyDescent="0.25"/>
    <row r="98" customFormat="1" ht="12.75" customHeight="1" x14ac:dyDescent="0.25"/>
    <row r="99" customFormat="1" ht="12.75" customHeight="1" x14ac:dyDescent="0.25"/>
    <row r="100" customFormat="1" ht="12.75" customHeight="1" x14ac:dyDescent="0.25"/>
    <row r="101" customFormat="1" ht="12.75" customHeight="1" x14ac:dyDescent="0.25"/>
    <row r="102" customFormat="1" ht="12.75" customHeight="1" x14ac:dyDescent="0.25"/>
    <row r="103" customFormat="1" ht="12.75" customHeight="1" x14ac:dyDescent="0.25"/>
    <row r="104" customFormat="1" ht="12.75" customHeight="1" x14ac:dyDescent="0.25"/>
    <row r="105" customFormat="1" ht="12.75" customHeight="1" x14ac:dyDescent="0.25"/>
    <row r="106" customFormat="1" ht="12.75" customHeight="1" x14ac:dyDescent="0.25"/>
    <row r="107" customFormat="1" ht="12.75" customHeight="1" x14ac:dyDescent="0.25"/>
    <row r="108" customFormat="1" ht="12.75" customHeight="1" x14ac:dyDescent="0.25"/>
    <row r="109" customFormat="1" ht="12.75" customHeight="1" x14ac:dyDescent="0.25"/>
    <row r="110" customFormat="1" ht="12.75" customHeight="1" x14ac:dyDescent="0.25"/>
    <row r="111" customFormat="1" ht="12.75" customHeight="1" x14ac:dyDescent="0.25"/>
    <row r="112" customFormat="1" ht="12.75" customHeight="1" x14ac:dyDescent="0.25"/>
    <row r="113" customFormat="1" ht="12.75" customHeight="1" x14ac:dyDescent="0.25"/>
    <row r="114" customFormat="1" ht="12.75" customHeight="1" x14ac:dyDescent="0.25"/>
    <row r="115" customFormat="1" ht="12.75" customHeight="1" x14ac:dyDescent="0.25"/>
    <row r="116" customFormat="1" ht="12.75" customHeight="1" x14ac:dyDescent="0.25"/>
    <row r="117" customFormat="1" ht="12.75" customHeight="1" x14ac:dyDescent="0.25"/>
    <row r="118" customFormat="1" ht="12.75" customHeight="1" x14ac:dyDescent="0.25"/>
    <row r="119" customFormat="1" ht="12.75" customHeight="1" x14ac:dyDescent="0.25"/>
    <row r="120" customFormat="1" ht="12.75" customHeight="1" x14ac:dyDescent="0.25"/>
    <row r="121" customFormat="1" ht="12.75" customHeight="1" x14ac:dyDescent="0.25"/>
    <row r="122" customFormat="1" ht="12.75" customHeight="1" x14ac:dyDescent="0.25"/>
    <row r="123" customFormat="1" ht="12.75" customHeight="1" x14ac:dyDescent="0.25"/>
    <row r="124" customFormat="1" ht="12.75" customHeight="1" x14ac:dyDescent="0.25"/>
    <row r="125" customFormat="1" ht="12.75" customHeight="1" x14ac:dyDescent="0.25"/>
    <row r="126" customFormat="1" ht="12.75" customHeight="1" x14ac:dyDescent="0.25"/>
    <row r="127" customFormat="1" ht="12.75" customHeight="1" x14ac:dyDescent="0.25"/>
    <row r="128" customFormat="1" ht="12.75" customHeight="1" x14ac:dyDescent="0.25"/>
    <row r="129" customFormat="1" ht="12.75" customHeight="1" x14ac:dyDescent="0.25"/>
    <row r="130" customFormat="1" ht="12.75" customHeight="1" x14ac:dyDescent="0.25"/>
    <row r="131" customFormat="1" ht="12.75" customHeight="1" x14ac:dyDescent="0.25"/>
    <row r="132" customFormat="1" ht="12.75" customHeight="1" x14ac:dyDescent="0.25"/>
    <row r="133" customFormat="1" ht="12.75" customHeight="1" x14ac:dyDescent="0.25"/>
    <row r="134" customFormat="1" ht="12.75" customHeight="1" x14ac:dyDescent="0.25"/>
    <row r="135" customFormat="1" ht="12.75" customHeight="1" x14ac:dyDescent="0.25"/>
    <row r="136" customFormat="1" ht="15" customHeight="1" x14ac:dyDescent="0.25"/>
    <row r="137" customFormat="1" ht="15" customHeight="1" x14ac:dyDescent="0.25"/>
    <row r="138" customFormat="1" ht="15" customHeight="1" x14ac:dyDescent="0.25"/>
    <row r="139" customFormat="1" ht="15" customHeight="1" x14ac:dyDescent="0.25"/>
    <row r="140" customFormat="1" ht="15" customHeight="1" x14ac:dyDescent="0.25"/>
    <row r="141" customFormat="1" ht="15" customHeight="1" x14ac:dyDescent="0.25"/>
    <row r="142" customFormat="1" ht="15" customHeight="1" x14ac:dyDescent="0.25"/>
    <row r="143" customFormat="1" ht="15" customHeight="1" x14ac:dyDescent="0.25"/>
    <row r="144" customFormat="1" ht="15" customHeight="1" x14ac:dyDescent="0.25"/>
    <row r="145" customFormat="1" ht="15" customHeight="1" x14ac:dyDescent="0.25"/>
    <row r="146" customFormat="1" ht="15" customHeight="1" x14ac:dyDescent="0.25"/>
    <row r="147" customFormat="1" ht="15" customHeight="1" x14ac:dyDescent="0.25"/>
    <row r="148" customFormat="1" ht="15" customHeight="1" x14ac:dyDescent="0.25"/>
    <row r="149" customFormat="1" ht="15" customHeight="1" x14ac:dyDescent="0.25"/>
    <row r="150" customFormat="1" ht="15" customHeight="1" x14ac:dyDescent="0.25"/>
    <row r="151" customFormat="1" ht="15" customHeight="1" x14ac:dyDescent="0.25"/>
    <row r="152" customFormat="1" ht="15" customHeight="1" x14ac:dyDescent="0.25"/>
    <row r="153" customFormat="1" ht="15" customHeight="1" x14ac:dyDescent="0.25"/>
    <row r="154" customFormat="1" ht="15" customHeight="1" x14ac:dyDescent="0.25"/>
    <row r="155" customFormat="1" ht="15" customHeight="1" x14ac:dyDescent="0.25"/>
    <row r="156" customFormat="1" ht="15" customHeight="1" x14ac:dyDescent="0.25"/>
    <row r="157" customFormat="1" ht="15" customHeight="1" x14ac:dyDescent="0.25"/>
    <row r="158" customFormat="1" ht="15" customHeight="1" x14ac:dyDescent="0.25"/>
    <row r="159" customFormat="1" ht="15" customHeight="1" x14ac:dyDescent="0.25"/>
    <row r="160" customFormat="1" ht="15" customHeight="1" x14ac:dyDescent="0.25"/>
    <row r="161" customFormat="1" ht="15" customHeight="1" x14ac:dyDescent="0.25"/>
    <row r="162" customFormat="1" ht="15" customHeight="1" x14ac:dyDescent="0.25"/>
    <row r="163" customFormat="1" ht="15" customHeight="1" x14ac:dyDescent="0.25"/>
    <row r="164" customFormat="1" ht="15" customHeight="1" x14ac:dyDescent="0.25"/>
    <row r="165" customFormat="1" ht="15" customHeight="1" x14ac:dyDescent="0.25"/>
    <row r="166" customFormat="1" ht="15" customHeight="1" x14ac:dyDescent="0.25"/>
    <row r="167" customFormat="1" ht="15" customHeight="1" x14ac:dyDescent="0.25"/>
    <row r="168" customFormat="1" ht="15" customHeight="1" x14ac:dyDescent="0.25"/>
    <row r="169" customFormat="1" ht="15" customHeight="1" x14ac:dyDescent="0.25"/>
    <row r="170" customFormat="1" ht="15" customHeight="1" x14ac:dyDescent="0.25"/>
    <row r="171" customFormat="1" ht="15" customHeight="1" x14ac:dyDescent="0.25"/>
    <row r="172" customFormat="1" ht="15" customHeight="1" x14ac:dyDescent="0.25"/>
    <row r="173" customFormat="1" ht="15" customHeight="1" x14ac:dyDescent="0.25"/>
    <row r="174" customFormat="1" ht="15" customHeight="1" x14ac:dyDescent="0.25"/>
    <row r="175" customFormat="1" ht="15" customHeight="1" x14ac:dyDescent="0.25"/>
    <row r="176" customFormat="1" ht="15" customHeight="1" x14ac:dyDescent="0.25"/>
    <row r="177" customFormat="1" ht="15" customHeight="1" x14ac:dyDescent="0.25"/>
    <row r="178" customFormat="1" ht="15" customHeight="1" x14ac:dyDescent="0.25"/>
    <row r="179" customFormat="1" ht="15" customHeight="1" x14ac:dyDescent="0.25"/>
    <row r="180" customFormat="1" ht="15" customHeight="1" x14ac:dyDescent="0.25"/>
    <row r="181" customFormat="1" ht="15" customHeight="1" x14ac:dyDescent="0.25"/>
    <row r="182" customFormat="1" ht="15" customHeight="1" x14ac:dyDescent="0.25"/>
    <row r="183" customFormat="1" ht="15" customHeight="1" x14ac:dyDescent="0.25"/>
    <row r="184" customFormat="1" ht="15" customHeight="1" x14ac:dyDescent="0.25"/>
    <row r="185" customFormat="1" ht="15" customHeight="1" x14ac:dyDescent="0.25"/>
    <row r="186" customFormat="1" ht="15" customHeight="1" x14ac:dyDescent="0.25"/>
    <row r="187" customFormat="1" ht="15" customHeight="1" x14ac:dyDescent="0.25"/>
    <row r="188" customFormat="1" ht="15" customHeight="1" x14ac:dyDescent="0.25"/>
    <row r="189" customFormat="1" ht="15" customHeight="1" x14ac:dyDescent="0.25"/>
    <row r="190" customFormat="1" ht="15" customHeight="1" x14ac:dyDescent="0.25"/>
    <row r="191" customFormat="1" ht="15" customHeight="1" x14ac:dyDescent="0.25"/>
    <row r="192" customFormat="1" ht="15" customHeight="1" x14ac:dyDescent="0.25"/>
    <row r="193" customFormat="1" ht="15" customHeight="1" x14ac:dyDescent="0.25"/>
    <row r="194" customFormat="1" ht="15" customHeight="1" x14ac:dyDescent="0.25"/>
    <row r="195" customFormat="1" ht="15" customHeight="1" x14ac:dyDescent="0.25"/>
    <row r="196" customFormat="1" ht="15" customHeight="1" x14ac:dyDescent="0.25"/>
    <row r="197" customFormat="1" ht="15" customHeight="1" x14ac:dyDescent="0.25"/>
    <row r="198" customFormat="1" ht="15" customHeight="1" x14ac:dyDescent="0.25"/>
    <row r="199" customFormat="1" ht="15" customHeight="1" x14ac:dyDescent="0.25"/>
    <row r="200" customFormat="1" ht="15" customHeight="1" x14ac:dyDescent="0.25"/>
    <row r="201" customFormat="1" ht="15" customHeight="1" x14ac:dyDescent="0.25"/>
    <row r="202" customFormat="1" ht="15" customHeight="1" x14ac:dyDescent="0.25"/>
    <row r="203" customFormat="1" ht="15" customHeight="1" x14ac:dyDescent="0.25"/>
    <row r="204" customFormat="1" ht="15" customHeight="1" x14ac:dyDescent="0.25"/>
    <row r="205" customFormat="1" ht="15" customHeight="1" x14ac:dyDescent="0.25"/>
    <row r="206" customFormat="1" ht="15" customHeight="1" x14ac:dyDescent="0.25"/>
    <row r="207" customFormat="1" ht="15" customHeight="1" x14ac:dyDescent="0.25"/>
    <row r="208" customFormat="1" ht="15" customHeight="1" x14ac:dyDescent="0.25"/>
    <row r="209" customFormat="1" ht="15" customHeight="1" x14ac:dyDescent="0.25"/>
    <row r="210" customFormat="1" ht="15" customHeight="1" x14ac:dyDescent="0.25"/>
    <row r="211" customFormat="1" ht="15" customHeight="1" x14ac:dyDescent="0.25"/>
    <row r="212" customFormat="1" ht="15" customHeight="1" x14ac:dyDescent="0.25"/>
  </sheetData>
  <pageMargins left="0.25" right="0.25" top="0.95" bottom="0.75" header="0.09" footer="0.3"/>
  <pageSetup scale="8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E12B8-514A-4291-B078-D044DADCD7F8}">
  <sheetPr>
    <pageSetUpPr fitToPage="1"/>
  </sheetPr>
  <dimension ref="A1:I136"/>
  <sheetViews>
    <sheetView zoomScaleNormal="100" workbookViewId="0">
      <selection activeCell="F10" sqref="F10"/>
    </sheetView>
  </sheetViews>
  <sheetFormatPr defaultColWidth="11.42578125" defaultRowHeight="15" customHeight="1" x14ac:dyDescent="0.25"/>
  <cols>
    <col min="1" max="1" width="24.5703125" customWidth="1"/>
    <col min="2" max="2" width="9.42578125" customWidth="1"/>
    <col min="3" max="3" width="17.5703125" bestFit="1" customWidth="1"/>
    <col min="4" max="4" width="14.42578125" customWidth="1"/>
    <col min="5" max="5" width="13.5703125" customWidth="1"/>
    <col min="6" max="6" width="12.42578125" customWidth="1"/>
    <col min="7" max="7" width="10.5703125" customWidth="1"/>
    <col min="8" max="8" width="14.28515625" customWidth="1"/>
    <col min="9" max="9" width="5.42578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#9513.00'!B1</f>
        <v>HHS CHMHI Tuckpointing Phase 2.2</v>
      </c>
      <c r="B1" s="3"/>
      <c r="C1" s="4"/>
      <c r="D1" s="4"/>
      <c r="E1" s="4"/>
      <c r="F1" s="28"/>
      <c r="G1" s="28"/>
      <c r="H1" s="29"/>
      <c r="I1" s="29"/>
    </row>
    <row r="2" spans="1:9" ht="15.75" x14ac:dyDescent="0.25">
      <c r="A2" s="6" t="str">
        <f>'RECAP #9513.00'!B2</f>
        <v>Project # 9513.00</v>
      </c>
      <c r="B2" s="5"/>
      <c r="C2" s="4"/>
      <c r="D2" s="4"/>
      <c r="E2" s="4"/>
      <c r="F2" s="28"/>
      <c r="G2" s="28"/>
      <c r="H2" s="29"/>
      <c r="I2" s="29"/>
    </row>
    <row r="3" spans="1:9" ht="15.75" x14ac:dyDescent="0.25">
      <c r="A3" s="7" t="str">
        <f>'RECAP #9513.00'!B3</f>
        <v>Program code 951300</v>
      </c>
      <c r="B3" s="5"/>
      <c r="C3" s="4"/>
      <c r="D3" s="8" t="str">
        <f>'RECAP #9513.00'!E3</f>
        <v>Major Program 4E10</v>
      </c>
      <c r="E3" s="4"/>
      <c r="F3" s="28"/>
      <c r="G3" s="28"/>
      <c r="H3" s="29"/>
      <c r="I3" s="29"/>
    </row>
    <row r="4" spans="1:9" ht="15.75" x14ac:dyDescent="0.25">
      <c r="A4" s="30" t="s">
        <v>526</v>
      </c>
      <c r="B4" s="31"/>
      <c r="C4" s="32"/>
      <c r="D4" s="33" t="s">
        <v>105</v>
      </c>
      <c r="E4" s="28"/>
      <c r="F4" s="28"/>
      <c r="G4" s="28"/>
      <c r="H4" s="29"/>
      <c r="I4" s="29"/>
    </row>
    <row r="5" spans="1:9" ht="15.75" x14ac:dyDescent="0.25">
      <c r="A5" s="34" t="s">
        <v>104</v>
      </c>
      <c r="B5" s="35"/>
      <c r="C5" s="36"/>
      <c r="D5" s="37" t="s">
        <v>106</v>
      </c>
      <c r="E5" s="38"/>
      <c r="F5" s="39"/>
      <c r="G5" s="39"/>
      <c r="H5" s="35"/>
      <c r="I5" s="29"/>
    </row>
    <row r="6" spans="1:9" ht="15.75" x14ac:dyDescent="0.25">
      <c r="A6" s="11" t="str">
        <f>'RECAP #9513.00'!B6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
      <c r="A9" s="230" t="s">
        <v>1471</v>
      </c>
      <c r="B9" s="177">
        <v>46254</v>
      </c>
      <c r="C9" s="231" t="s">
        <v>109</v>
      </c>
      <c r="D9" s="141">
        <v>44054.879999999997</v>
      </c>
      <c r="E9" s="233">
        <f>D9</f>
        <v>44054.879999999997</v>
      </c>
      <c r="F9" s="234"/>
      <c r="G9" s="234"/>
      <c r="H9" s="234">
        <f>E9</f>
        <v>44054.879999999997</v>
      </c>
      <c r="I9" s="235"/>
    </row>
    <row r="10" spans="1:9" s="223" customFormat="1" ht="12.75" customHeight="1" x14ac:dyDescent="0.25">
      <c r="A10" s="230" t="s">
        <v>1520</v>
      </c>
      <c r="B10" s="236">
        <v>46273</v>
      </c>
      <c r="C10" s="231" t="s">
        <v>1521</v>
      </c>
      <c r="D10" s="233"/>
      <c r="E10" s="233">
        <f t="shared" ref="E10:E21" si="0">E9+D10</f>
        <v>44054.879999999997</v>
      </c>
      <c r="F10" s="237">
        <v>2798.74</v>
      </c>
      <c r="G10" s="234">
        <f t="shared" ref="G10:G21" si="1">G9+F10</f>
        <v>2798.74</v>
      </c>
      <c r="H10" s="234">
        <f t="shared" ref="H10:H21" si="2">H9-F10+D10</f>
        <v>41256.14</v>
      </c>
      <c r="I10" s="235"/>
    </row>
    <row r="11" spans="1:9" s="223" customFormat="1" ht="12.75" customHeight="1" x14ac:dyDescent="0.25">
      <c r="A11" s="230"/>
      <c r="B11" s="177"/>
      <c r="C11" s="231"/>
      <c r="D11" s="233"/>
      <c r="E11" s="233">
        <f t="shared" si="0"/>
        <v>44054.879999999997</v>
      </c>
      <c r="F11" s="237"/>
      <c r="G11" s="234">
        <f t="shared" si="1"/>
        <v>2798.74</v>
      </c>
      <c r="H11" s="234">
        <f t="shared" si="2"/>
        <v>41256.14</v>
      </c>
      <c r="I11" s="235"/>
    </row>
    <row r="12" spans="1:9" s="223" customFormat="1" ht="12.75" customHeight="1" x14ac:dyDescent="0.25">
      <c r="A12" s="230"/>
      <c r="B12" s="177"/>
      <c r="C12" s="231"/>
      <c r="D12" s="233"/>
      <c r="E12" s="233">
        <f t="shared" si="0"/>
        <v>44054.879999999997</v>
      </c>
      <c r="F12" s="237"/>
      <c r="G12" s="234">
        <f t="shared" si="1"/>
        <v>2798.74</v>
      </c>
      <c r="H12" s="234">
        <f t="shared" si="2"/>
        <v>41256.14</v>
      </c>
      <c r="I12" s="298"/>
    </row>
    <row r="13" spans="1:9" s="223" customFormat="1" ht="12.75" customHeight="1" x14ac:dyDescent="0.25">
      <c r="A13" s="230"/>
      <c r="B13" s="177"/>
      <c r="C13" s="231"/>
      <c r="D13" s="232"/>
      <c r="E13" s="233">
        <f t="shared" si="0"/>
        <v>44054.879999999997</v>
      </c>
      <c r="F13" s="238"/>
      <c r="G13" s="234">
        <f t="shared" si="1"/>
        <v>2798.74</v>
      </c>
      <c r="H13" s="234">
        <f t="shared" si="2"/>
        <v>41256.14</v>
      </c>
      <c r="I13" s="235"/>
    </row>
    <row r="14" spans="1:9" s="223" customFormat="1" ht="12.75" customHeight="1" x14ac:dyDescent="0.25">
      <c r="A14" s="230"/>
      <c r="B14" s="177"/>
      <c r="C14" s="231"/>
      <c r="D14" s="233"/>
      <c r="E14" s="233">
        <f t="shared" si="0"/>
        <v>44054.879999999997</v>
      </c>
      <c r="F14" s="234"/>
      <c r="G14" s="234">
        <f t="shared" si="1"/>
        <v>2798.74</v>
      </c>
      <c r="H14" s="234">
        <f t="shared" si="2"/>
        <v>41256.14</v>
      </c>
      <c r="I14" s="235"/>
    </row>
    <row r="15" spans="1:9" s="223" customFormat="1" ht="12.75" customHeight="1" x14ac:dyDescent="0.25">
      <c r="A15" s="230"/>
      <c r="B15" s="177"/>
      <c r="C15" s="231"/>
      <c r="D15" s="233"/>
      <c r="E15" s="233">
        <f t="shared" si="0"/>
        <v>44054.879999999997</v>
      </c>
      <c r="F15" s="238"/>
      <c r="G15" s="234">
        <f t="shared" si="1"/>
        <v>2798.74</v>
      </c>
      <c r="H15" s="234">
        <f t="shared" si="2"/>
        <v>41256.14</v>
      </c>
      <c r="I15" s="235"/>
    </row>
    <row r="16" spans="1:9" s="223" customFormat="1" ht="12.75" customHeight="1" x14ac:dyDescent="0.25">
      <c r="A16" s="230"/>
      <c r="B16" s="177"/>
      <c r="C16" s="231"/>
      <c r="D16" s="233"/>
      <c r="E16" s="233">
        <f t="shared" si="0"/>
        <v>44054.879999999997</v>
      </c>
      <c r="F16" s="238"/>
      <c r="G16" s="234">
        <f t="shared" si="1"/>
        <v>2798.74</v>
      </c>
      <c r="H16" s="234">
        <f t="shared" si="2"/>
        <v>41256.14</v>
      </c>
      <c r="I16" s="235"/>
    </row>
    <row r="17" spans="1:9" s="223" customFormat="1" ht="12.75" customHeight="1" x14ac:dyDescent="0.25">
      <c r="A17" s="230"/>
      <c r="B17" s="177"/>
      <c r="C17" s="231"/>
      <c r="D17" s="233"/>
      <c r="E17" s="233">
        <f t="shared" si="0"/>
        <v>44054.879999999997</v>
      </c>
      <c r="F17" s="238"/>
      <c r="G17" s="234">
        <f t="shared" si="1"/>
        <v>2798.74</v>
      </c>
      <c r="H17" s="234">
        <f t="shared" si="2"/>
        <v>41256.14</v>
      </c>
      <c r="I17" s="235"/>
    </row>
    <row r="18" spans="1:9" s="223" customFormat="1" ht="12.75" customHeight="1" x14ac:dyDescent="0.25">
      <c r="A18" s="230"/>
      <c r="B18" s="177"/>
      <c r="C18" s="231"/>
      <c r="D18" s="233"/>
      <c r="E18" s="233">
        <f t="shared" si="0"/>
        <v>44054.879999999997</v>
      </c>
      <c r="F18" s="238"/>
      <c r="G18" s="234">
        <f t="shared" si="1"/>
        <v>2798.74</v>
      </c>
      <c r="H18" s="234">
        <f t="shared" si="2"/>
        <v>41256.14</v>
      </c>
      <c r="I18" s="235"/>
    </row>
    <row r="19" spans="1:9" s="223" customFormat="1" ht="12.75" customHeight="1" x14ac:dyDescent="0.25">
      <c r="A19" s="230"/>
      <c r="B19" s="177"/>
      <c r="C19" s="231"/>
      <c r="D19" s="233"/>
      <c r="E19" s="233">
        <f t="shared" si="0"/>
        <v>44054.879999999997</v>
      </c>
      <c r="F19" s="234"/>
      <c r="G19" s="234">
        <f t="shared" si="1"/>
        <v>2798.74</v>
      </c>
      <c r="H19" s="234">
        <f t="shared" si="2"/>
        <v>41256.14</v>
      </c>
      <c r="I19" s="235"/>
    </row>
    <row r="20" spans="1:9" s="223" customFormat="1" ht="12.75" customHeight="1" x14ac:dyDescent="0.25">
      <c r="A20" s="230"/>
      <c r="B20" s="177"/>
      <c r="C20" s="231"/>
      <c r="D20" s="233"/>
      <c r="E20" s="233">
        <f t="shared" si="0"/>
        <v>44054.879999999997</v>
      </c>
      <c r="F20" s="234"/>
      <c r="G20" s="234">
        <f t="shared" si="1"/>
        <v>2798.74</v>
      </c>
      <c r="H20" s="234">
        <f t="shared" si="2"/>
        <v>41256.14</v>
      </c>
      <c r="I20" s="235"/>
    </row>
    <row r="21" spans="1:9" s="223" customFormat="1" ht="12.75" customHeight="1" x14ac:dyDescent="0.25">
      <c r="A21" s="230"/>
      <c r="B21" s="177"/>
      <c r="C21" s="239"/>
      <c r="D21" s="233"/>
      <c r="E21" s="233">
        <f t="shared" si="0"/>
        <v>44054.879999999997</v>
      </c>
      <c r="F21" s="234"/>
      <c r="G21" s="234">
        <f t="shared" si="1"/>
        <v>2798.74</v>
      </c>
      <c r="H21" s="234">
        <f t="shared" si="2"/>
        <v>41256.14</v>
      </c>
      <c r="I21" s="235"/>
    </row>
    <row r="22" spans="1:9" s="223" customFormat="1" ht="12.75" customHeight="1" x14ac:dyDescent="0.25">
      <c r="A22" s="230"/>
      <c r="B22" s="231"/>
      <c r="C22" s="240"/>
      <c r="D22" s="234"/>
      <c r="E22" s="234"/>
      <c r="F22" s="234"/>
      <c r="G22" s="234"/>
      <c r="H22" s="234"/>
      <c r="I22" s="235"/>
    </row>
    <row r="23" spans="1:9" ht="12.75" customHeight="1" thickBot="1" x14ac:dyDescent="0.3">
      <c r="A23" s="49"/>
      <c r="B23" s="60"/>
      <c r="C23" s="244" t="s">
        <v>24</v>
      </c>
      <c r="D23" s="245">
        <f>SUM(D9:D22)</f>
        <v>44054.879999999997</v>
      </c>
      <c r="E23" s="245"/>
      <c r="F23" s="245">
        <f>SUM(F9:F22)</f>
        <v>2798.74</v>
      </c>
      <c r="G23" s="245"/>
      <c r="H23" s="245">
        <f>D23-F23</f>
        <v>41256.14</v>
      </c>
      <c r="I23" s="55"/>
    </row>
    <row r="24" spans="1:9" ht="12.75" customHeight="1" thickTop="1" x14ac:dyDescent="0.25">
      <c r="A24" s="49"/>
      <c r="B24" s="51"/>
      <c r="C24" s="240"/>
      <c r="D24" s="234"/>
      <c r="E24" s="234"/>
      <c r="F24" s="234"/>
      <c r="G24" s="234"/>
      <c r="H24" s="234"/>
      <c r="I24" s="55"/>
    </row>
    <row r="25" spans="1:9" ht="12.75" customHeight="1" x14ac:dyDescent="0.25"/>
    <row r="26" spans="1:9" ht="12.75" customHeight="1" x14ac:dyDescent="0.25">
      <c r="C26" t="s">
        <v>110</v>
      </c>
      <c r="D26" s="254">
        <v>24891.61</v>
      </c>
      <c r="E26" s="254"/>
      <c r="F26" s="254">
        <f>1940.58</f>
        <v>1940.58</v>
      </c>
      <c r="G26" s="254"/>
      <c r="H26" s="254">
        <f>D26-F26</f>
        <v>22951.03</v>
      </c>
    </row>
    <row r="27" spans="1:9" ht="12.75" customHeight="1" x14ac:dyDescent="0.25">
      <c r="C27" t="s">
        <v>111</v>
      </c>
      <c r="D27" s="254">
        <v>2000</v>
      </c>
      <c r="E27" s="254"/>
      <c r="F27" s="254"/>
      <c r="G27" s="254"/>
      <c r="H27" s="254">
        <f>D27-F27</f>
        <v>2000</v>
      </c>
    </row>
    <row r="28" spans="1:9" ht="12.75" customHeight="1" x14ac:dyDescent="0.25">
      <c r="C28" t="s">
        <v>637</v>
      </c>
      <c r="D28" s="254">
        <v>17163.27</v>
      </c>
      <c r="E28" s="254"/>
      <c r="F28" s="254">
        <f>858.16</f>
        <v>858.16</v>
      </c>
      <c r="G28" s="254"/>
      <c r="H28" s="254">
        <f>D28-F28</f>
        <v>16305.11</v>
      </c>
    </row>
    <row r="29" spans="1:9" ht="12.75" customHeight="1" thickBot="1" x14ac:dyDescent="0.3">
      <c r="C29" t="s">
        <v>67</v>
      </c>
      <c r="D29" s="245">
        <f>SUM(D26:D28)</f>
        <v>44054.880000000005</v>
      </c>
      <c r="E29" s="296"/>
      <c r="F29" s="245">
        <f>SUM(F26:F28)</f>
        <v>2798.74</v>
      </c>
      <c r="G29" s="296"/>
      <c r="H29" s="245">
        <f>SUM(H26:H28)</f>
        <v>41256.14</v>
      </c>
    </row>
    <row r="30" spans="1:9" ht="12.75" customHeight="1" thickTop="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sheetData>
  <pageMargins left="0.25" right="0.25" top="0.95" bottom="0.75" header="0.09" footer="0.3"/>
  <pageSetup scale="8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D9DB8-BF3B-4385-A046-ECF07768EFE2}">
  <sheetPr>
    <tabColor rgb="FF0070C0"/>
    <pageSetUpPr fitToPage="1"/>
  </sheetPr>
  <dimension ref="A1:G17"/>
  <sheetViews>
    <sheetView zoomScaleNormal="100" workbookViewId="0">
      <selection activeCell="K17" sqref="K17"/>
    </sheetView>
  </sheetViews>
  <sheetFormatPr defaultColWidth="11.42578125" defaultRowHeight="15" customHeight="1" x14ac:dyDescent="0.25"/>
  <cols>
    <col min="1" max="1" width="3.5703125" style="274" customWidth="1"/>
    <col min="2" max="2" width="25" style="274" customWidth="1"/>
    <col min="3" max="3" width="17.42578125" style="274" customWidth="1"/>
    <col min="4" max="4" width="17" style="274" customWidth="1"/>
    <col min="5" max="5" width="13.42578125" style="274" bestFit="1" customWidth="1"/>
    <col min="6" max="6" width="16.42578125" style="274" customWidth="1"/>
    <col min="7" max="7" width="16.42578125" style="274" bestFit="1" customWidth="1"/>
    <col min="8" max="256" width="11.42578125" style="274"/>
    <col min="257" max="263" width="11.42578125" style="274" customWidth="1"/>
    <col min="264" max="512" width="11.42578125" style="274"/>
    <col min="513" max="519" width="11.42578125" style="274" customWidth="1"/>
    <col min="520" max="768" width="11.42578125" style="274"/>
    <col min="769" max="775" width="11.42578125" style="274" customWidth="1"/>
    <col min="776" max="1024" width="11.42578125" style="274"/>
    <col min="1025" max="1031" width="11.42578125" style="274" customWidth="1"/>
    <col min="1032" max="1280" width="11.42578125" style="274"/>
    <col min="1281" max="1287" width="11.42578125" style="274" customWidth="1"/>
    <col min="1288" max="1536" width="11.42578125" style="274"/>
    <col min="1537" max="1543" width="11.42578125" style="274" customWidth="1"/>
    <col min="1544" max="1792" width="11.42578125" style="274"/>
    <col min="1793" max="1799" width="11.42578125" style="274" customWidth="1"/>
    <col min="1800" max="2048" width="11.42578125" style="274"/>
    <col min="2049" max="2055" width="11.42578125" style="274" customWidth="1"/>
    <col min="2056" max="2304" width="11.42578125" style="274"/>
    <col min="2305" max="2311" width="11.42578125" style="274" customWidth="1"/>
    <col min="2312" max="2560" width="11.42578125" style="274"/>
    <col min="2561" max="2567" width="11.42578125" style="274" customWidth="1"/>
    <col min="2568" max="2816" width="11.42578125" style="274"/>
    <col min="2817" max="2823" width="11.42578125" style="274" customWidth="1"/>
    <col min="2824" max="3072" width="11.42578125" style="274"/>
    <col min="3073" max="3079" width="11.42578125" style="274" customWidth="1"/>
    <col min="3080" max="3328" width="11.42578125" style="274"/>
    <col min="3329" max="3335" width="11.42578125" style="274" customWidth="1"/>
    <col min="3336" max="3584" width="11.42578125" style="274"/>
    <col min="3585" max="3591" width="11.42578125" style="274" customWidth="1"/>
    <col min="3592" max="3840" width="11.42578125" style="274"/>
    <col min="3841" max="3847" width="11.42578125" style="274" customWidth="1"/>
    <col min="3848" max="4096" width="11.42578125" style="274"/>
    <col min="4097" max="4103" width="11.42578125" style="274" customWidth="1"/>
    <col min="4104" max="4352" width="11.42578125" style="274"/>
    <col min="4353" max="4359" width="11.42578125" style="274" customWidth="1"/>
    <col min="4360" max="4608" width="11.42578125" style="274"/>
    <col min="4609" max="4615" width="11.42578125" style="274" customWidth="1"/>
    <col min="4616" max="4864" width="11.42578125" style="274"/>
    <col min="4865" max="4871" width="11.42578125" style="274" customWidth="1"/>
    <col min="4872" max="5120" width="11.42578125" style="274"/>
    <col min="5121" max="5127" width="11.42578125" style="274" customWidth="1"/>
    <col min="5128" max="5376" width="11.42578125" style="274"/>
    <col min="5377" max="5383" width="11.42578125" style="274" customWidth="1"/>
    <col min="5384" max="5632" width="11.42578125" style="274"/>
    <col min="5633" max="5639" width="11.42578125" style="274" customWidth="1"/>
    <col min="5640" max="5888" width="11.42578125" style="274"/>
    <col min="5889" max="5895" width="11.42578125" style="274" customWidth="1"/>
    <col min="5896" max="6144" width="11.42578125" style="274"/>
    <col min="6145" max="6151" width="11.42578125" style="274" customWidth="1"/>
    <col min="6152" max="6400" width="11.42578125" style="274"/>
    <col min="6401" max="6407" width="11.42578125" style="274" customWidth="1"/>
    <col min="6408" max="6656" width="11.42578125" style="274"/>
    <col min="6657" max="6663" width="11.42578125" style="274" customWidth="1"/>
    <col min="6664" max="6912" width="11.42578125" style="274"/>
    <col min="6913" max="6919" width="11.42578125" style="274" customWidth="1"/>
    <col min="6920" max="7168" width="11.42578125" style="274"/>
    <col min="7169" max="7175" width="11.42578125" style="274" customWidth="1"/>
    <col min="7176" max="7424" width="11.42578125" style="274"/>
    <col min="7425" max="7431" width="11.42578125" style="274" customWidth="1"/>
    <col min="7432" max="7680" width="11.42578125" style="274"/>
    <col min="7681" max="7687" width="11.42578125" style="274" customWidth="1"/>
    <col min="7688" max="7936" width="11.42578125" style="274"/>
    <col min="7937" max="7943" width="11.42578125" style="274" customWidth="1"/>
    <col min="7944" max="8192" width="11.42578125" style="274"/>
    <col min="8193" max="8199" width="11.42578125" style="274" customWidth="1"/>
    <col min="8200" max="8448" width="11.42578125" style="274"/>
    <col min="8449" max="8455" width="11.42578125" style="274" customWidth="1"/>
    <col min="8456" max="8704" width="11.42578125" style="274"/>
    <col min="8705" max="8711" width="11.42578125" style="274" customWidth="1"/>
    <col min="8712" max="8960" width="11.42578125" style="274"/>
    <col min="8961" max="8967" width="11.42578125" style="274" customWidth="1"/>
    <col min="8968" max="9216" width="11.42578125" style="274"/>
    <col min="9217" max="9223" width="11.42578125" style="274" customWidth="1"/>
    <col min="9224" max="9472" width="11.42578125" style="274"/>
    <col min="9473" max="9479" width="11.42578125" style="274" customWidth="1"/>
    <col min="9480" max="9728" width="11.42578125" style="274"/>
    <col min="9729" max="9735" width="11.42578125" style="274" customWidth="1"/>
    <col min="9736" max="9984" width="11.42578125" style="274"/>
    <col min="9985" max="9991" width="11.42578125" style="274" customWidth="1"/>
    <col min="9992" max="10240" width="11.42578125" style="274"/>
    <col min="10241" max="10247" width="11.42578125" style="274" customWidth="1"/>
    <col min="10248" max="10496" width="11.42578125" style="274"/>
    <col min="10497" max="10503" width="11.42578125" style="274" customWidth="1"/>
    <col min="10504" max="10752" width="11.42578125" style="274"/>
    <col min="10753" max="10759" width="11.42578125" style="274" customWidth="1"/>
    <col min="10760" max="11008" width="11.42578125" style="274"/>
    <col min="11009" max="11015" width="11.42578125" style="274" customWidth="1"/>
    <col min="11016" max="11264" width="11.42578125" style="274"/>
    <col min="11265" max="11271" width="11.42578125" style="274" customWidth="1"/>
    <col min="11272" max="11520" width="11.42578125" style="274"/>
    <col min="11521" max="11527" width="11.42578125" style="274" customWidth="1"/>
    <col min="11528" max="11776" width="11.42578125" style="274"/>
    <col min="11777" max="11783" width="11.42578125" style="274" customWidth="1"/>
    <col min="11784" max="12032" width="11.42578125" style="274"/>
    <col min="12033" max="12039" width="11.42578125" style="274" customWidth="1"/>
    <col min="12040" max="12288" width="11.42578125" style="274"/>
    <col min="12289" max="12295" width="11.42578125" style="274" customWidth="1"/>
    <col min="12296" max="12544" width="11.42578125" style="274"/>
    <col min="12545" max="12551" width="11.42578125" style="274" customWidth="1"/>
    <col min="12552" max="12800" width="11.42578125" style="274"/>
    <col min="12801" max="12807" width="11.42578125" style="274" customWidth="1"/>
    <col min="12808" max="13056" width="11.42578125" style="274"/>
    <col min="13057" max="13063" width="11.42578125" style="274" customWidth="1"/>
    <col min="13064" max="13312" width="11.42578125" style="274"/>
    <col min="13313" max="13319" width="11.42578125" style="274" customWidth="1"/>
    <col min="13320" max="13568" width="11.42578125" style="274"/>
    <col min="13569" max="13575" width="11.42578125" style="274" customWidth="1"/>
    <col min="13576" max="13824" width="11.42578125" style="274"/>
    <col min="13825" max="13831" width="11.42578125" style="274" customWidth="1"/>
    <col min="13832" max="14080" width="11.42578125" style="274"/>
    <col min="14081" max="14087" width="11.42578125" style="274" customWidth="1"/>
    <col min="14088" max="14336" width="11.42578125" style="274"/>
    <col min="14337" max="14343" width="11.42578125" style="274" customWidth="1"/>
    <col min="14344" max="14592" width="11.42578125" style="274"/>
    <col min="14593" max="14599" width="11.42578125" style="274" customWidth="1"/>
    <col min="14600" max="14848" width="11.42578125" style="274"/>
    <col min="14849" max="14855" width="11.42578125" style="274" customWidth="1"/>
    <col min="14856" max="15104" width="11.42578125" style="274"/>
    <col min="15105" max="15111" width="11.42578125" style="274" customWidth="1"/>
    <col min="15112" max="15360" width="11.42578125" style="274"/>
    <col min="15361" max="15367" width="11.42578125" style="274" customWidth="1"/>
    <col min="15368" max="15616" width="11.42578125" style="274"/>
    <col min="15617" max="15623" width="11.42578125" style="274" customWidth="1"/>
    <col min="15624" max="15872" width="11.42578125" style="274"/>
    <col min="15873" max="15879" width="11.42578125" style="274" customWidth="1"/>
    <col min="15880" max="16128" width="11.42578125" style="274"/>
    <col min="16129" max="16135" width="11.42578125" style="274" customWidth="1"/>
    <col min="16136" max="16384" width="11.42578125" style="274"/>
  </cols>
  <sheetData>
    <row r="1" spans="1:7" ht="24.75" customHeight="1" x14ac:dyDescent="0.25">
      <c r="A1" s="151"/>
      <c r="B1" s="30" t="s">
        <v>257</v>
      </c>
      <c r="C1" s="30"/>
      <c r="D1" s="153"/>
      <c r="E1" s="153"/>
      <c r="F1" s="153"/>
      <c r="G1" s="153"/>
    </row>
    <row r="2" spans="1:7" ht="15.75" x14ac:dyDescent="0.25">
      <c r="A2" s="151"/>
      <c r="B2" s="31" t="s">
        <v>258</v>
      </c>
      <c r="C2" s="150"/>
      <c r="D2" s="153"/>
      <c r="E2" s="153"/>
      <c r="F2" s="153"/>
      <c r="G2" s="153"/>
    </row>
    <row r="3" spans="1:7" ht="15.75" x14ac:dyDescent="0.25">
      <c r="A3" s="151"/>
      <c r="B3" s="154" t="s">
        <v>259</v>
      </c>
      <c r="C3" s="150"/>
      <c r="D3" s="153"/>
      <c r="E3" s="155" t="s">
        <v>181</v>
      </c>
      <c r="F3" s="153"/>
      <c r="G3" s="153"/>
    </row>
    <row r="4" spans="1:7" ht="15.75" x14ac:dyDescent="0.25">
      <c r="A4" s="151"/>
      <c r="B4" s="156" t="s">
        <v>1</v>
      </c>
      <c r="C4" s="157" t="s">
        <v>2</v>
      </c>
      <c r="D4" s="153"/>
      <c r="E4" s="153"/>
      <c r="F4" s="153"/>
      <c r="G4" s="153"/>
    </row>
    <row r="5" spans="1:7" ht="15.75" x14ac:dyDescent="0.25">
      <c r="A5" s="151"/>
      <c r="B5" s="31" t="s">
        <v>64</v>
      </c>
      <c r="C5" s="150"/>
      <c r="D5" s="153"/>
      <c r="E5" s="159" t="s">
        <v>1280</v>
      </c>
      <c r="F5" s="377">
        <v>46191</v>
      </c>
      <c r="G5" s="153"/>
    </row>
    <row r="6" spans="1:7" ht="15.75" x14ac:dyDescent="0.25">
      <c r="A6" s="151"/>
      <c r="B6" s="31" t="s">
        <v>977</v>
      </c>
      <c r="C6" s="158"/>
      <c r="D6" s="159" t="s">
        <v>2</v>
      </c>
      <c r="E6" s="153"/>
      <c r="F6" s="153"/>
      <c r="G6" s="153"/>
    </row>
    <row r="7" spans="1:7" ht="35.25" customHeight="1" thickBot="1" x14ac:dyDescent="0.3">
      <c r="A7" s="151"/>
      <c r="B7" s="160" t="s">
        <v>2</v>
      </c>
      <c r="C7" s="161" t="s">
        <v>3</v>
      </c>
      <c r="D7" s="162" t="s">
        <v>4</v>
      </c>
      <c r="E7" s="163" t="s">
        <v>5</v>
      </c>
      <c r="F7" s="164" t="s">
        <v>6</v>
      </c>
      <c r="G7" s="164" t="s">
        <v>7</v>
      </c>
    </row>
    <row r="8" spans="1:7" ht="28.35" customHeight="1" x14ac:dyDescent="0.25">
      <c r="A8" s="151"/>
      <c r="B8" s="151" t="s">
        <v>8</v>
      </c>
      <c r="C8" s="165">
        <f>FINANCIAL!G37</f>
        <v>8573.08</v>
      </c>
      <c r="D8" s="166"/>
      <c r="E8" s="166"/>
      <c r="F8" s="166"/>
      <c r="G8" s="167"/>
    </row>
    <row r="9" spans="1:7" s="282" customFormat="1" ht="12.75" customHeight="1" x14ac:dyDescent="0.25">
      <c r="A9" s="273"/>
      <c r="B9" s="309"/>
      <c r="C9" s="310"/>
      <c r="D9" s="311"/>
      <c r="E9" s="311"/>
      <c r="F9" s="311"/>
      <c r="G9" s="312"/>
    </row>
    <row r="10" spans="1:7" s="282" customFormat="1" ht="12.75" customHeight="1" x14ac:dyDescent="0.25">
      <c r="A10" s="273" t="s">
        <v>250</v>
      </c>
      <c r="B10" s="309" t="s">
        <v>274</v>
      </c>
      <c r="C10" s="313"/>
      <c r="D10" s="314">
        <f>'#9514.00 Horizon Architecture'!D23</f>
        <v>6765</v>
      </c>
      <c r="E10" s="314">
        <f>'#9514.00 Horizon Architecture'!F23</f>
        <v>6765</v>
      </c>
      <c r="F10" s="314">
        <f>'#9514.00 Horizon Architecture'!H23</f>
        <v>0</v>
      </c>
      <c r="G10" s="312"/>
    </row>
    <row r="11" spans="1:7" s="282" customFormat="1" ht="12.75" customHeight="1" x14ac:dyDescent="0.25">
      <c r="A11" s="273" t="s">
        <v>250</v>
      </c>
      <c r="B11" s="309" t="s">
        <v>10</v>
      </c>
      <c r="C11" s="313"/>
      <c r="D11" s="314">
        <f>'#9514.00 PM TIME '!E26</f>
        <v>1808.08</v>
      </c>
      <c r="E11" s="314">
        <f>'#9514.00 PM TIME '!G26</f>
        <v>1808.0800000000002</v>
      </c>
      <c r="F11" s="314">
        <f>'#9514.00 PM TIME '!I26</f>
        <v>0</v>
      </c>
      <c r="G11" s="312"/>
    </row>
    <row r="12" spans="1:7" s="282" customFormat="1" ht="12.75" customHeight="1" x14ac:dyDescent="0.25">
      <c r="A12" s="273" t="s">
        <v>250</v>
      </c>
      <c r="B12" s="309" t="s">
        <v>11</v>
      </c>
      <c r="C12" s="311"/>
      <c r="D12" s="315">
        <f>'#9514.00 Misc '!G22</f>
        <v>0</v>
      </c>
      <c r="E12" s="315">
        <f>'#9514.00 Misc '!H22</f>
        <v>0</v>
      </c>
      <c r="F12" s="314">
        <f>D12-E12</f>
        <v>0</v>
      </c>
      <c r="G12" s="312"/>
    </row>
    <row r="13" spans="1:7" s="282" customFormat="1" ht="12.75" customHeight="1" x14ac:dyDescent="0.25">
      <c r="A13" s="273"/>
      <c r="B13" s="309"/>
      <c r="C13" s="311"/>
      <c r="D13" s="315"/>
      <c r="E13" s="315"/>
      <c r="F13" s="314"/>
      <c r="G13" s="312"/>
    </row>
    <row r="14" spans="1:7" ht="24" customHeight="1" thickBot="1" x14ac:dyDescent="0.3">
      <c r="A14" s="171"/>
      <c r="B14" s="172" t="s">
        <v>12</v>
      </c>
      <c r="C14" s="173">
        <f>SUM(C8:C13)</f>
        <v>8573.08</v>
      </c>
      <c r="D14" s="173">
        <f>SUM(D8:D13)</f>
        <v>8573.08</v>
      </c>
      <c r="E14" s="173">
        <f>SUM(E8:E13)</f>
        <v>8573.08</v>
      </c>
      <c r="F14" s="173">
        <f>SUM(D14-E14)</f>
        <v>0</v>
      </c>
      <c r="G14" s="173">
        <f>C8-D14</f>
        <v>0</v>
      </c>
    </row>
    <row r="15" spans="1:7" ht="15" customHeight="1" thickTop="1" x14ac:dyDescent="0.25"/>
    <row r="17" spans="2:2" ht="15" customHeight="1" x14ac:dyDescent="0.25">
      <c r="B17" s="316" t="s">
        <v>1063</v>
      </c>
    </row>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C5609-EEA4-486A-A543-E9F602322F7F}">
  <sheetPr>
    <tabColor rgb="FF0070C0"/>
    <pageSetUpPr fitToPage="1"/>
  </sheetPr>
  <dimension ref="A1:I25"/>
  <sheetViews>
    <sheetView zoomScaleNormal="100" workbookViewId="0">
      <selection activeCell="B13" sqref="B13:D13"/>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0.5703125" style="274" bestFit="1" customWidth="1"/>
    <col min="9"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#9514.00'!B1</f>
        <v>DAS Union Sunday School Structural Investigation</v>
      </c>
      <c r="B1" s="30"/>
      <c r="C1" s="153"/>
      <c r="D1" s="153"/>
      <c r="E1" s="153"/>
      <c r="F1" s="156"/>
      <c r="G1" s="156"/>
      <c r="H1" s="179"/>
      <c r="I1" s="179"/>
    </row>
    <row r="2" spans="1:9" ht="15.75" x14ac:dyDescent="0.25">
      <c r="A2" s="31" t="str">
        <f>'RECAP #9514.00'!B2</f>
        <v>Project # 9514.00</v>
      </c>
      <c r="B2" s="150"/>
      <c r="C2" s="153"/>
      <c r="D2" s="153"/>
      <c r="E2" s="153"/>
      <c r="F2" s="156"/>
      <c r="G2" s="156"/>
      <c r="H2" s="179"/>
      <c r="I2" s="179"/>
    </row>
    <row r="3" spans="1:9" ht="15.75" x14ac:dyDescent="0.25">
      <c r="A3" s="154" t="str">
        <f>'RECAP #9514.00'!B3</f>
        <v>Program code 951400</v>
      </c>
      <c r="B3" s="150"/>
      <c r="C3" s="153"/>
      <c r="D3" s="155" t="str">
        <f>'RECAP #9514.00'!E3</f>
        <v>Major Program 4E19</v>
      </c>
      <c r="E3" s="153"/>
      <c r="F3" s="156"/>
      <c r="G3" s="156"/>
      <c r="H3" s="179"/>
      <c r="I3" s="179"/>
    </row>
    <row r="4" spans="1:9" ht="15.75" x14ac:dyDescent="0.25">
      <c r="A4" s="30" t="s">
        <v>274</v>
      </c>
      <c r="B4" s="31"/>
      <c r="C4" s="179"/>
      <c r="D4" s="180" t="s">
        <v>275</v>
      </c>
      <c r="E4" s="156"/>
      <c r="F4" s="156"/>
      <c r="G4" s="156"/>
      <c r="H4" s="179"/>
      <c r="I4" s="179"/>
    </row>
    <row r="5" spans="1:9" ht="15.75" x14ac:dyDescent="0.25">
      <c r="A5" s="181" t="s">
        <v>115</v>
      </c>
      <c r="B5" s="179"/>
      <c r="C5" s="182"/>
      <c r="D5" s="37" t="s">
        <v>276</v>
      </c>
      <c r="E5" s="42"/>
      <c r="F5" s="156"/>
      <c r="G5" s="156"/>
      <c r="H5" s="179"/>
      <c r="I5" s="179"/>
    </row>
    <row r="6" spans="1:9" ht="15.75" x14ac:dyDescent="0.25">
      <c r="A6" s="31" t="str">
        <f>'RECAP #9514.00'!B6</f>
        <v>Project Manager - Geoff W</v>
      </c>
      <c r="B6" s="31"/>
      <c r="C6" s="183"/>
      <c r="D6" s="184" t="s">
        <v>118</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309</v>
      </c>
      <c r="B9" s="276">
        <v>45944</v>
      </c>
      <c r="C9" s="277" t="s">
        <v>109</v>
      </c>
      <c r="D9" s="278">
        <v>6765</v>
      </c>
      <c r="E9" s="279">
        <f>D9</f>
        <v>6765</v>
      </c>
      <c r="F9" s="280"/>
      <c r="G9" s="280"/>
      <c r="H9" s="280">
        <f>E9</f>
        <v>6765</v>
      </c>
      <c r="I9" s="281"/>
    </row>
    <row r="10" spans="1:9" s="282" customFormat="1" ht="12.75" customHeight="1" x14ac:dyDescent="0.25">
      <c r="A10" s="275" t="s">
        <v>563</v>
      </c>
      <c r="B10" s="283">
        <v>46069</v>
      </c>
      <c r="C10" s="277" t="s">
        <v>564</v>
      </c>
      <c r="D10" s="279"/>
      <c r="E10" s="279">
        <f t="shared" ref="E10:E21" si="0">E9+D10</f>
        <v>6765</v>
      </c>
      <c r="F10" s="284">
        <v>6426.75</v>
      </c>
      <c r="G10" s="280">
        <f t="shared" ref="G10:G21" si="1">G9+F10</f>
        <v>6426.75</v>
      </c>
      <c r="H10" s="280">
        <f t="shared" ref="H10:H21" si="2">H9-F10+D10</f>
        <v>338.25</v>
      </c>
      <c r="I10" s="281"/>
    </row>
    <row r="11" spans="1:9" s="282" customFormat="1" ht="12.75" customHeight="1" x14ac:dyDescent="0.25">
      <c r="A11" s="275" t="s">
        <v>1004</v>
      </c>
      <c r="B11" s="276">
        <v>46188</v>
      </c>
      <c r="C11" s="277" t="s">
        <v>1005</v>
      </c>
      <c r="D11" s="279"/>
      <c r="E11" s="279">
        <f t="shared" si="0"/>
        <v>6765</v>
      </c>
      <c r="F11" s="284">
        <v>338.25</v>
      </c>
      <c r="G11" s="280">
        <f t="shared" si="1"/>
        <v>6765</v>
      </c>
      <c r="H11" s="280">
        <f t="shared" si="2"/>
        <v>0</v>
      </c>
      <c r="I11" s="281"/>
    </row>
    <row r="12" spans="1:9" s="282" customFormat="1" ht="12.75" customHeight="1" x14ac:dyDescent="0.25">
      <c r="A12" s="275"/>
      <c r="B12" s="276"/>
      <c r="C12" s="277"/>
      <c r="D12" s="279"/>
      <c r="E12" s="279">
        <f t="shared" si="0"/>
        <v>6765</v>
      </c>
      <c r="F12" s="284"/>
      <c r="G12" s="280">
        <f t="shared" si="1"/>
        <v>6765</v>
      </c>
      <c r="H12" s="280">
        <f t="shared" si="2"/>
        <v>0</v>
      </c>
      <c r="I12" s="281"/>
    </row>
    <row r="13" spans="1:9" s="282" customFormat="1" ht="12.75" customHeight="1" x14ac:dyDescent="0.25">
      <c r="A13" s="275"/>
      <c r="B13" s="276"/>
      <c r="C13" s="277"/>
      <c r="D13" s="279"/>
      <c r="E13" s="279">
        <f t="shared" si="0"/>
        <v>6765</v>
      </c>
      <c r="F13" s="284"/>
      <c r="G13" s="280">
        <f t="shared" si="1"/>
        <v>6765</v>
      </c>
      <c r="H13" s="280">
        <f t="shared" si="2"/>
        <v>0</v>
      </c>
      <c r="I13" s="281"/>
    </row>
    <row r="14" spans="1:9" s="282" customFormat="1" ht="12.75" customHeight="1" x14ac:dyDescent="0.25">
      <c r="A14" s="275"/>
      <c r="B14" s="276"/>
      <c r="C14" s="277"/>
      <c r="D14" s="279"/>
      <c r="E14" s="279">
        <f t="shared" si="0"/>
        <v>6765</v>
      </c>
      <c r="F14" s="280"/>
      <c r="G14" s="280">
        <f t="shared" si="1"/>
        <v>6765</v>
      </c>
      <c r="H14" s="280">
        <f t="shared" si="2"/>
        <v>0</v>
      </c>
      <c r="I14" s="281"/>
    </row>
    <row r="15" spans="1:9" s="282" customFormat="1" ht="12.75" customHeight="1" x14ac:dyDescent="0.25">
      <c r="A15" s="275"/>
      <c r="B15" s="276"/>
      <c r="C15" s="277"/>
      <c r="D15" s="279"/>
      <c r="E15" s="279">
        <f t="shared" si="0"/>
        <v>6765</v>
      </c>
      <c r="F15" s="284"/>
      <c r="G15" s="280">
        <f t="shared" si="1"/>
        <v>6765</v>
      </c>
      <c r="H15" s="280">
        <f t="shared" si="2"/>
        <v>0</v>
      </c>
      <c r="I15" s="281"/>
    </row>
    <row r="16" spans="1:9" s="282" customFormat="1" ht="12.75" customHeight="1" x14ac:dyDescent="0.25">
      <c r="A16" s="275"/>
      <c r="B16" s="276"/>
      <c r="C16" s="277"/>
      <c r="D16" s="279"/>
      <c r="E16" s="279">
        <f t="shared" si="0"/>
        <v>6765</v>
      </c>
      <c r="F16" s="284"/>
      <c r="G16" s="280">
        <f t="shared" si="1"/>
        <v>6765</v>
      </c>
      <c r="H16" s="280">
        <f t="shared" si="2"/>
        <v>0</v>
      </c>
      <c r="I16" s="281"/>
    </row>
    <row r="17" spans="1:9" s="282" customFormat="1" ht="12.75" customHeight="1" x14ac:dyDescent="0.25">
      <c r="A17" s="275"/>
      <c r="B17" s="276"/>
      <c r="C17" s="277"/>
      <c r="D17" s="279"/>
      <c r="E17" s="279">
        <f t="shared" si="0"/>
        <v>6765</v>
      </c>
      <c r="F17" s="284"/>
      <c r="G17" s="280">
        <f t="shared" si="1"/>
        <v>6765</v>
      </c>
      <c r="H17" s="280">
        <f t="shared" si="2"/>
        <v>0</v>
      </c>
      <c r="I17" s="281"/>
    </row>
    <row r="18" spans="1:9" s="282" customFormat="1" ht="12.75" customHeight="1" x14ac:dyDescent="0.25">
      <c r="A18" s="275"/>
      <c r="B18" s="276"/>
      <c r="C18" s="277"/>
      <c r="D18" s="279"/>
      <c r="E18" s="279">
        <f t="shared" si="0"/>
        <v>6765</v>
      </c>
      <c r="F18" s="284"/>
      <c r="G18" s="280">
        <f t="shared" si="1"/>
        <v>6765</v>
      </c>
      <c r="H18" s="280">
        <f t="shared" si="2"/>
        <v>0</v>
      </c>
      <c r="I18" s="281"/>
    </row>
    <row r="19" spans="1:9" s="282" customFormat="1" ht="12.75" customHeight="1" x14ac:dyDescent="0.25">
      <c r="A19" s="275"/>
      <c r="B19" s="276"/>
      <c r="C19" s="277"/>
      <c r="D19" s="279"/>
      <c r="E19" s="279">
        <f t="shared" si="0"/>
        <v>6765</v>
      </c>
      <c r="F19" s="280"/>
      <c r="G19" s="280">
        <f t="shared" si="1"/>
        <v>6765</v>
      </c>
      <c r="H19" s="280">
        <f t="shared" si="2"/>
        <v>0</v>
      </c>
      <c r="I19" s="281"/>
    </row>
    <row r="20" spans="1:9" s="282" customFormat="1" ht="12.75" customHeight="1" x14ac:dyDescent="0.25">
      <c r="A20" s="275"/>
      <c r="B20" s="276"/>
      <c r="C20" s="277"/>
      <c r="D20" s="279"/>
      <c r="E20" s="279">
        <f t="shared" si="0"/>
        <v>6765</v>
      </c>
      <c r="F20" s="280"/>
      <c r="G20" s="280">
        <f t="shared" si="1"/>
        <v>6765</v>
      </c>
      <c r="H20" s="280">
        <f t="shared" si="2"/>
        <v>0</v>
      </c>
      <c r="I20" s="281"/>
    </row>
    <row r="21" spans="1:9" s="282" customFormat="1" ht="12.75" customHeight="1" x14ac:dyDescent="0.25">
      <c r="A21" s="275"/>
      <c r="B21" s="276"/>
      <c r="C21" s="286"/>
      <c r="D21" s="279"/>
      <c r="E21" s="279">
        <f t="shared" si="0"/>
        <v>6765</v>
      </c>
      <c r="F21" s="280"/>
      <c r="G21" s="280">
        <f t="shared" si="1"/>
        <v>6765</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6765</v>
      </c>
      <c r="E23" s="290"/>
      <c r="F23" s="290">
        <f>SUM(F9:F22)</f>
        <v>6765</v>
      </c>
      <c r="G23" s="290"/>
      <c r="H23" s="290">
        <f>D23-F23</f>
        <v>0</v>
      </c>
      <c r="I23" s="291" t="s">
        <v>444</v>
      </c>
    </row>
    <row r="24" spans="1:9" s="282" customFormat="1" ht="12.75" customHeight="1" thickTop="1" x14ac:dyDescent="0.25"/>
    <row r="25" spans="1:9" s="282" customFormat="1" ht="12.75" customHeight="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B00C9-BFEA-4A41-AC5D-4B9EDCBDF791}">
  <sheetPr>
    <tabColor rgb="FF0070C0"/>
    <pageSetUpPr fitToPage="1"/>
  </sheetPr>
  <dimension ref="A1:J27"/>
  <sheetViews>
    <sheetView zoomScaleNormal="100" workbookViewId="0">
      <selection activeCell="B30" sqref="B30"/>
    </sheetView>
  </sheetViews>
  <sheetFormatPr defaultColWidth="11.42578125" defaultRowHeight="15" customHeight="1" x14ac:dyDescent="0.25"/>
  <cols>
    <col min="1" max="1" width="24.5703125" style="274" customWidth="1"/>
    <col min="2" max="3" width="9.42578125" style="274" customWidth="1"/>
    <col min="4" max="4" width="35.7109375" style="274" customWidth="1"/>
    <col min="5" max="5" width="12.5703125" style="274" customWidth="1"/>
    <col min="6" max="6" width="13.5703125" style="274" customWidth="1"/>
    <col min="7" max="7" width="12.42578125" style="274" customWidth="1"/>
    <col min="8" max="8" width="10.5703125" style="274" customWidth="1"/>
    <col min="9" max="9" width="10.5703125" style="274" bestFit="1" customWidth="1"/>
    <col min="10" max="256" width="11.42578125" style="274"/>
    <col min="257" max="265" width="11.42578125" style="274" customWidth="1"/>
    <col min="266" max="512" width="11.42578125" style="274"/>
    <col min="513" max="521" width="11.42578125" style="274" customWidth="1"/>
    <col min="522" max="768" width="11.42578125" style="274"/>
    <col min="769" max="777" width="11.42578125" style="274" customWidth="1"/>
    <col min="778" max="1024" width="11.42578125" style="274"/>
    <col min="1025" max="1033" width="11.42578125" style="274" customWidth="1"/>
    <col min="1034" max="1280" width="11.42578125" style="274"/>
    <col min="1281" max="1289" width="11.42578125" style="274" customWidth="1"/>
    <col min="1290" max="1536" width="11.42578125" style="274"/>
    <col min="1537" max="1545" width="11.42578125" style="274" customWidth="1"/>
    <col min="1546" max="1792" width="11.42578125" style="274"/>
    <col min="1793" max="1801" width="11.42578125" style="274" customWidth="1"/>
    <col min="1802" max="2048" width="11.42578125" style="274"/>
    <col min="2049" max="2057" width="11.42578125" style="274" customWidth="1"/>
    <col min="2058" max="2304" width="11.42578125" style="274"/>
    <col min="2305" max="2313" width="11.42578125" style="274" customWidth="1"/>
    <col min="2314" max="2560" width="11.42578125" style="274"/>
    <col min="2561" max="2569" width="11.42578125" style="274" customWidth="1"/>
    <col min="2570" max="2816" width="11.42578125" style="274"/>
    <col min="2817" max="2825" width="11.42578125" style="274" customWidth="1"/>
    <col min="2826" max="3072" width="11.42578125" style="274"/>
    <col min="3073" max="3081" width="11.42578125" style="274" customWidth="1"/>
    <col min="3082" max="3328" width="11.42578125" style="274"/>
    <col min="3329" max="3337" width="11.42578125" style="274" customWidth="1"/>
    <col min="3338" max="3584" width="11.42578125" style="274"/>
    <col min="3585" max="3593" width="11.42578125" style="274" customWidth="1"/>
    <col min="3594" max="3840" width="11.42578125" style="274"/>
    <col min="3841" max="3849" width="11.42578125" style="274" customWidth="1"/>
    <col min="3850" max="4096" width="11.42578125" style="274"/>
    <col min="4097" max="4105" width="11.42578125" style="274" customWidth="1"/>
    <col min="4106" max="4352" width="11.42578125" style="274"/>
    <col min="4353" max="4361" width="11.42578125" style="274" customWidth="1"/>
    <col min="4362" max="4608" width="11.42578125" style="274"/>
    <col min="4609" max="4617" width="11.42578125" style="274" customWidth="1"/>
    <col min="4618" max="4864" width="11.42578125" style="274"/>
    <col min="4865" max="4873" width="11.42578125" style="274" customWidth="1"/>
    <col min="4874" max="5120" width="11.42578125" style="274"/>
    <col min="5121" max="5129" width="11.42578125" style="274" customWidth="1"/>
    <col min="5130" max="5376" width="11.42578125" style="274"/>
    <col min="5377" max="5385" width="11.42578125" style="274" customWidth="1"/>
    <col min="5386" max="5632" width="11.42578125" style="274"/>
    <col min="5633" max="5641" width="11.42578125" style="274" customWidth="1"/>
    <col min="5642" max="5888" width="11.42578125" style="274"/>
    <col min="5889" max="5897" width="11.42578125" style="274" customWidth="1"/>
    <col min="5898" max="6144" width="11.42578125" style="274"/>
    <col min="6145" max="6153" width="11.42578125" style="274" customWidth="1"/>
    <col min="6154" max="6400" width="11.42578125" style="274"/>
    <col min="6401" max="6409" width="11.42578125" style="274" customWidth="1"/>
    <col min="6410" max="6656" width="11.42578125" style="274"/>
    <col min="6657" max="6665" width="11.42578125" style="274" customWidth="1"/>
    <col min="6666" max="6912" width="11.42578125" style="274"/>
    <col min="6913" max="6921" width="11.42578125" style="274" customWidth="1"/>
    <col min="6922" max="7168" width="11.42578125" style="274"/>
    <col min="7169" max="7177" width="11.42578125" style="274" customWidth="1"/>
    <col min="7178" max="7424" width="11.42578125" style="274"/>
    <col min="7425" max="7433" width="11.42578125" style="274" customWidth="1"/>
    <col min="7434" max="7680" width="11.42578125" style="274"/>
    <col min="7681" max="7689" width="11.42578125" style="274" customWidth="1"/>
    <col min="7690" max="7936" width="11.42578125" style="274"/>
    <col min="7937" max="7945" width="11.42578125" style="274" customWidth="1"/>
    <col min="7946" max="8192" width="11.42578125" style="274"/>
    <col min="8193" max="8201" width="11.42578125" style="274" customWidth="1"/>
    <col min="8202" max="8448" width="11.42578125" style="274"/>
    <col min="8449" max="8457" width="11.42578125" style="274" customWidth="1"/>
    <col min="8458" max="8704" width="11.42578125" style="274"/>
    <col min="8705" max="8713" width="11.42578125" style="274" customWidth="1"/>
    <col min="8714" max="8960" width="11.42578125" style="274"/>
    <col min="8961" max="8969" width="11.42578125" style="274" customWidth="1"/>
    <col min="8970" max="9216" width="11.42578125" style="274"/>
    <col min="9217" max="9225" width="11.42578125" style="274" customWidth="1"/>
    <col min="9226" max="9472" width="11.42578125" style="274"/>
    <col min="9473" max="9481" width="11.42578125" style="274" customWidth="1"/>
    <col min="9482" max="9728" width="11.42578125" style="274"/>
    <col min="9729" max="9737" width="11.42578125" style="274" customWidth="1"/>
    <col min="9738" max="9984" width="11.42578125" style="274"/>
    <col min="9985" max="9993" width="11.42578125" style="274" customWidth="1"/>
    <col min="9994" max="10240" width="11.42578125" style="274"/>
    <col min="10241" max="10249" width="11.42578125" style="274" customWidth="1"/>
    <col min="10250" max="10496" width="11.42578125" style="274"/>
    <col min="10497" max="10505" width="11.42578125" style="274" customWidth="1"/>
    <col min="10506" max="10752" width="11.42578125" style="274"/>
    <col min="10753" max="10761" width="11.42578125" style="274" customWidth="1"/>
    <col min="10762" max="11008" width="11.42578125" style="274"/>
    <col min="11009" max="11017" width="11.42578125" style="274" customWidth="1"/>
    <col min="11018" max="11264" width="11.42578125" style="274"/>
    <col min="11265" max="11273" width="11.42578125" style="274" customWidth="1"/>
    <col min="11274" max="11520" width="11.42578125" style="274"/>
    <col min="11521" max="11529" width="11.42578125" style="274" customWidth="1"/>
    <col min="11530" max="11776" width="11.42578125" style="274"/>
    <col min="11777" max="11785" width="11.42578125" style="274" customWidth="1"/>
    <col min="11786" max="12032" width="11.42578125" style="274"/>
    <col min="12033" max="12041" width="11.42578125" style="274" customWidth="1"/>
    <col min="12042" max="12288" width="11.42578125" style="274"/>
    <col min="12289" max="12297" width="11.42578125" style="274" customWidth="1"/>
    <col min="12298" max="12544" width="11.42578125" style="274"/>
    <col min="12545" max="12553" width="11.42578125" style="274" customWidth="1"/>
    <col min="12554" max="12800" width="11.42578125" style="274"/>
    <col min="12801" max="12809" width="11.42578125" style="274" customWidth="1"/>
    <col min="12810" max="13056" width="11.42578125" style="274"/>
    <col min="13057" max="13065" width="11.42578125" style="274" customWidth="1"/>
    <col min="13066" max="13312" width="11.42578125" style="274"/>
    <col min="13313" max="13321" width="11.42578125" style="274" customWidth="1"/>
    <col min="13322" max="13568" width="11.42578125" style="274"/>
    <col min="13569" max="13577" width="11.42578125" style="274" customWidth="1"/>
    <col min="13578" max="13824" width="11.42578125" style="274"/>
    <col min="13825" max="13833" width="11.42578125" style="274" customWidth="1"/>
    <col min="13834" max="14080" width="11.42578125" style="274"/>
    <col min="14081" max="14089" width="11.42578125" style="274" customWidth="1"/>
    <col min="14090" max="14336" width="11.42578125" style="274"/>
    <col min="14337" max="14345" width="11.42578125" style="274" customWidth="1"/>
    <col min="14346" max="14592" width="11.42578125" style="274"/>
    <col min="14593" max="14601" width="11.42578125" style="274" customWidth="1"/>
    <col min="14602" max="14848" width="11.42578125" style="274"/>
    <col min="14849" max="14857" width="11.42578125" style="274" customWidth="1"/>
    <col min="14858" max="15104" width="11.42578125" style="274"/>
    <col min="15105" max="15113" width="11.42578125" style="274" customWidth="1"/>
    <col min="15114" max="15360" width="11.42578125" style="274"/>
    <col min="15361" max="15369" width="11.42578125" style="274" customWidth="1"/>
    <col min="15370" max="15616" width="11.42578125" style="274"/>
    <col min="15617" max="15625" width="11.42578125" style="274" customWidth="1"/>
    <col min="15626" max="15872" width="11.42578125" style="274"/>
    <col min="15873" max="15881" width="11.42578125" style="274" customWidth="1"/>
    <col min="15882" max="16128" width="11.42578125" style="274"/>
    <col min="16129" max="16137" width="11.42578125" style="274" customWidth="1"/>
    <col min="16138" max="16384" width="11.42578125" style="274"/>
  </cols>
  <sheetData>
    <row r="1" spans="1:10" ht="24.75" customHeight="1" x14ac:dyDescent="0.25">
      <c r="A1" s="30" t="str">
        <f>'RECAP #9514.00'!B1</f>
        <v>DAS Union Sunday School Structural Investigation</v>
      </c>
      <c r="B1" s="30"/>
      <c r="C1" s="30"/>
      <c r="D1" s="153"/>
      <c r="E1" s="153"/>
      <c r="F1" s="153"/>
      <c r="G1" s="156"/>
      <c r="H1" s="156"/>
      <c r="I1" s="179"/>
      <c r="J1" s="179"/>
    </row>
    <row r="2" spans="1:10" ht="15.75" x14ac:dyDescent="0.25">
      <c r="A2" s="31" t="str">
        <f>'RECAP #9514.00'!B2</f>
        <v>Project # 9514.00</v>
      </c>
      <c r="B2" s="150"/>
      <c r="C2" s="150"/>
      <c r="D2" s="153"/>
      <c r="E2" s="153"/>
      <c r="F2" s="153"/>
      <c r="G2" s="156"/>
      <c r="H2" s="156"/>
      <c r="I2" s="179"/>
      <c r="J2" s="179"/>
    </row>
    <row r="3" spans="1:10" ht="15.75" x14ac:dyDescent="0.25">
      <c r="A3" s="154" t="str">
        <f>'RECAP #9514.00'!B3</f>
        <v>Program code 951400</v>
      </c>
      <c r="B3" s="150"/>
      <c r="C3" s="150"/>
      <c r="D3" s="153"/>
      <c r="E3" s="155" t="str">
        <f>'RECAP #9514.00'!E3</f>
        <v>Major Program 4E19</v>
      </c>
      <c r="F3" s="153"/>
      <c r="G3" s="156"/>
      <c r="H3" s="156"/>
      <c r="I3" s="179"/>
      <c r="J3" s="179"/>
    </row>
    <row r="4" spans="1:10" ht="15.75" x14ac:dyDescent="0.25">
      <c r="A4" s="30" t="s">
        <v>10</v>
      </c>
      <c r="B4" s="31"/>
      <c r="C4" s="31"/>
      <c r="D4" s="179"/>
      <c r="E4" s="180" t="s">
        <v>25</v>
      </c>
      <c r="F4" s="156"/>
      <c r="G4" s="156"/>
      <c r="H4" s="156"/>
      <c r="I4" s="179"/>
      <c r="J4" s="179"/>
    </row>
    <row r="5" spans="1:10" ht="15.75" x14ac:dyDescent="0.25">
      <c r="A5" s="31"/>
      <c r="B5" s="179"/>
      <c r="C5" s="179"/>
      <c r="D5" s="182"/>
      <c r="E5" s="37"/>
      <c r="F5" s="42"/>
      <c r="G5" s="156"/>
      <c r="H5" s="156"/>
      <c r="I5" s="179"/>
      <c r="J5" s="179"/>
    </row>
    <row r="6" spans="1:10" ht="15.75" x14ac:dyDescent="0.25">
      <c r="A6" s="181" t="s">
        <v>66</v>
      </c>
      <c r="B6" s="31"/>
      <c r="C6" s="31"/>
      <c r="D6" s="183"/>
      <c r="E6" s="37" t="s">
        <v>272</v>
      </c>
      <c r="F6" s="42"/>
      <c r="G6" s="43"/>
      <c r="H6" s="156"/>
      <c r="I6" s="179"/>
      <c r="J6" s="179"/>
    </row>
    <row r="7" spans="1:10" ht="15.75" x14ac:dyDescent="0.25">
      <c r="A7" s="31" t="str">
        <f>'RECAP #9514.00'!B6</f>
        <v>Project Manager - Geoff W</v>
      </c>
      <c r="B7" s="185"/>
      <c r="C7" s="185"/>
      <c r="D7" s="185"/>
      <c r="E7" s="43" t="s">
        <v>2</v>
      </c>
      <c r="F7" s="43"/>
      <c r="G7" s="43"/>
      <c r="H7" s="156"/>
      <c r="I7" s="179"/>
      <c r="J7" s="179" t="s">
        <v>2</v>
      </c>
    </row>
    <row r="8" spans="1:10" ht="32.25" thickBot="1" x14ac:dyDescent="0.3">
      <c r="A8" s="186" t="s">
        <v>16</v>
      </c>
      <c r="B8" s="187" t="s">
        <v>17</v>
      </c>
      <c r="C8" s="207" t="s">
        <v>27</v>
      </c>
      <c r="D8" s="188" t="s">
        <v>28</v>
      </c>
      <c r="E8" s="189" t="s">
        <v>19</v>
      </c>
      <c r="F8" s="189" t="s">
        <v>20</v>
      </c>
      <c r="G8" s="189" t="s">
        <v>21</v>
      </c>
      <c r="H8" s="189" t="s">
        <v>22</v>
      </c>
      <c r="I8" s="189" t="s">
        <v>23</v>
      </c>
      <c r="J8" s="179" t="s">
        <v>2</v>
      </c>
    </row>
    <row r="9" spans="1:10" s="282" customFormat="1" ht="12.75" customHeight="1" x14ac:dyDescent="0.25">
      <c r="A9" s="304"/>
      <c r="B9" s="276"/>
      <c r="C9" s="276"/>
      <c r="D9" s="287" t="s">
        <v>29</v>
      </c>
      <c r="E9" s="278">
        <f>2000-191.92</f>
        <v>1808.08</v>
      </c>
      <c r="F9" s="279">
        <f>E9</f>
        <v>1808.08</v>
      </c>
      <c r="G9" s="280"/>
      <c r="H9" s="280"/>
      <c r="I9" s="280">
        <f>F9</f>
        <v>1808.08</v>
      </c>
      <c r="J9" s="281"/>
    </row>
    <row r="10" spans="1:10" s="282" customFormat="1" ht="12.75" customHeight="1" x14ac:dyDescent="0.25">
      <c r="A10" s="305" t="s">
        <v>314</v>
      </c>
      <c r="B10" s="276">
        <v>45968</v>
      </c>
      <c r="C10" s="304" t="s">
        <v>261</v>
      </c>
      <c r="D10" s="306" t="s">
        <v>315</v>
      </c>
      <c r="E10" s="279"/>
      <c r="F10" s="279">
        <f t="shared" ref="F10:F24" si="0">F9+E10</f>
        <v>1808.08</v>
      </c>
      <c r="G10" s="284">
        <v>128.13</v>
      </c>
      <c r="H10" s="280">
        <f t="shared" ref="H10:H24" si="1">H9+G10</f>
        <v>128.13</v>
      </c>
      <c r="I10" s="280">
        <f t="shared" ref="I10:I24" si="2">I9-G10+E10</f>
        <v>1679.9499999999998</v>
      </c>
      <c r="J10" s="281"/>
    </row>
    <row r="11" spans="1:10" s="282" customFormat="1" ht="12.75" customHeight="1" x14ac:dyDescent="0.25">
      <c r="A11" s="305" t="s">
        <v>314</v>
      </c>
      <c r="B11" s="276">
        <v>45968</v>
      </c>
      <c r="C11" s="304">
        <v>9500</v>
      </c>
      <c r="D11" s="306" t="s">
        <v>316</v>
      </c>
      <c r="E11" s="279"/>
      <c r="F11" s="279">
        <f t="shared" si="0"/>
        <v>1808.08</v>
      </c>
      <c r="G11" s="284">
        <v>1272.7</v>
      </c>
      <c r="H11" s="280">
        <f t="shared" si="1"/>
        <v>1400.83</v>
      </c>
      <c r="I11" s="280">
        <f t="shared" si="2"/>
        <v>407.24999999999977</v>
      </c>
      <c r="J11" s="281"/>
    </row>
    <row r="12" spans="1:10" s="282" customFormat="1" ht="12.75" customHeight="1" x14ac:dyDescent="0.2">
      <c r="A12" s="211" t="s">
        <v>364</v>
      </c>
      <c r="B12" s="191">
        <v>45996</v>
      </c>
      <c r="C12" s="194" t="s">
        <v>261</v>
      </c>
      <c r="D12" s="209" t="s">
        <v>365</v>
      </c>
      <c r="E12" s="279"/>
      <c r="F12" s="279">
        <f t="shared" si="0"/>
        <v>1808.08</v>
      </c>
      <c r="G12" s="284">
        <f>56.97+71.16</f>
        <v>128.13</v>
      </c>
      <c r="H12" s="280">
        <f t="shared" si="1"/>
        <v>1528.96</v>
      </c>
      <c r="I12" s="280">
        <f t="shared" si="2"/>
        <v>279.11999999999978</v>
      </c>
      <c r="J12" s="281"/>
    </row>
    <row r="13" spans="1:10" s="282" customFormat="1" ht="12.75" customHeight="1" x14ac:dyDescent="0.2">
      <c r="A13" s="211" t="s">
        <v>364</v>
      </c>
      <c r="B13" s="191">
        <v>45996</v>
      </c>
      <c r="C13" s="194" t="s">
        <v>261</v>
      </c>
      <c r="D13" s="209" t="s">
        <v>365</v>
      </c>
      <c r="E13" s="279"/>
      <c r="F13" s="279">
        <f t="shared" si="0"/>
        <v>1808.08</v>
      </c>
      <c r="G13" s="307">
        <f>-56.97+-71.16</f>
        <v>-128.13</v>
      </c>
      <c r="H13" s="280">
        <f t="shared" si="1"/>
        <v>1400.83</v>
      </c>
      <c r="I13" s="280">
        <f t="shared" si="2"/>
        <v>407.24999999999977</v>
      </c>
      <c r="J13" s="281"/>
    </row>
    <row r="14" spans="1:10" s="282" customFormat="1" ht="12.75" customHeight="1" x14ac:dyDescent="0.2">
      <c r="A14" s="211" t="s">
        <v>364</v>
      </c>
      <c r="B14" s="191">
        <v>45996</v>
      </c>
      <c r="C14" s="308">
        <v>9500</v>
      </c>
      <c r="D14" s="209" t="s">
        <v>366</v>
      </c>
      <c r="E14" s="279"/>
      <c r="F14" s="279">
        <f t="shared" si="0"/>
        <v>1808.08</v>
      </c>
      <c r="G14" s="284">
        <f>71.5</f>
        <v>71.5</v>
      </c>
      <c r="H14" s="280">
        <f t="shared" si="1"/>
        <v>1472.33</v>
      </c>
      <c r="I14" s="280">
        <f t="shared" si="2"/>
        <v>335.74999999999977</v>
      </c>
      <c r="J14" s="281"/>
    </row>
    <row r="15" spans="1:10" s="282" customFormat="1" ht="12.75" customHeight="1" x14ac:dyDescent="0.2">
      <c r="A15" s="211" t="s">
        <v>364</v>
      </c>
      <c r="B15" s="191">
        <v>45996</v>
      </c>
      <c r="C15" s="308">
        <v>9500</v>
      </c>
      <c r="D15" s="209" t="s">
        <v>366</v>
      </c>
      <c r="E15" s="279"/>
      <c r="F15" s="279">
        <f t="shared" si="0"/>
        <v>1808.08</v>
      </c>
      <c r="G15" s="307">
        <f>-71.5</f>
        <v>-71.5</v>
      </c>
      <c r="H15" s="280">
        <f t="shared" si="1"/>
        <v>1400.83</v>
      </c>
      <c r="I15" s="280">
        <f t="shared" si="2"/>
        <v>407.24999999999977</v>
      </c>
      <c r="J15" s="281"/>
    </row>
    <row r="16" spans="1:10" s="282" customFormat="1" ht="12.75" customHeight="1" x14ac:dyDescent="0.2">
      <c r="A16" s="211" t="s">
        <v>423</v>
      </c>
      <c r="B16" s="191">
        <v>46030</v>
      </c>
      <c r="C16" s="194" t="s">
        <v>261</v>
      </c>
      <c r="D16" s="209" t="s">
        <v>424</v>
      </c>
      <c r="E16" s="279"/>
      <c r="F16" s="279">
        <f t="shared" si="0"/>
        <v>1808.08</v>
      </c>
      <c r="G16" s="284">
        <v>15.22</v>
      </c>
      <c r="H16" s="280">
        <f t="shared" si="1"/>
        <v>1416.05</v>
      </c>
      <c r="I16" s="280">
        <f t="shared" si="2"/>
        <v>392.02999999999975</v>
      </c>
      <c r="J16" s="281"/>
    </row>
    <row r="17" spans="1:10" s="282" customFormat="1" ht="12.75" customHeight="1" x14ac:dyDescent="0.2">
      <c r="A17" s="211" t="s">
        <v>423</v>
      </c>
      <c r="B17" s="191">
        <v>46030</v>
      </c>
      <c r="C17" s="308">
        <v>9500</v>
      </c>
      <c r="D17" s="209" t="s">
        <v>425</v>
      </c>
      <c r="E17" s="279"/>
      <c r="F17" s="279">
        <f t="shared" si="0"/>
        <v>1808.08</v>
      </c>
      <c r="G17" s="284">
        <v>174.4</v>
      </c>
      <c r="H17" s="280">
        <f t="shared" si="1"/>
        <v>1590.45</v>
      </c>
      <c r="I17" s="280">
        <f t="shared" si="2"/>
        <v>217.62999999999974</v>
      </c>
      <c r="J17" s="281"/>
    </row>
    <row r="18" spans="1:10" s="282" customFormat="1" ht="12.75" customHeight="1" x14ac:dyDescent="0.2">
      <c r="A18" s="211" t="s">
        <v>548</v>
      </c>
      <c r="B18" s="191">
        <v>46062</v>
      </c>
      <c r="C18" s="194" t="s">
        <v>261</v>
      </c>
      <c r="D18" s="209" t="s">
        <v>549</v>
      </c>
      <c r="E18" s="279"/>
      <c r="F18" s="279">
        <f t="shared" si="0"/>
        <v>1808.08</v>
      </c>
      <c r="G18" s="284">
        <v>16.43</v>
      </c>
      <c r="H18" s="280">
        <f t="shared" si="1"/>
        <v>1606.88</v>
      </c>
      <c r="I18" s="280">
        <f t="shared" si="2"/>
        <v>201.19999999999973</v>
      </c>
      <c r="J18" s="281"/>
    </row>
    <row r="19" spans="1:10" s="282" customFormat="1" ht="12.75" customHeight="1" x14ac:dyDescent="0.2">
      <c r="A19" s="211" t="s">
        <v>548</v>
      </c>
      <c r="B19" s="191">
        <v>46062</v>
      </c>
      <c r="C19" s="308">
        <v>9500</v>
      </c>
      <c r="D19" s="209" t="s">
        <v>550</v>
      </c>
      <c r="E19" s="279"/>
      <c r="F19" s="279">
        <f t="shared" si="0"/>
        <v>1808.08</v>
      </c>
      <c r="G19" s="284">
        <v>201.2</v>
      </c>
      <c r="H19" s="280">
        <f t="shared" si="1"/>
        <v>1808.0800000000002</v>
      </c>
      <c r="I19" s="280">
        <f t="shared" si="2"/>
        <v>-2.5579538487363607E-13</v>
      </c>
      <c r="J19" s="281"/>
    </row>
    <row r="20" spans="1:10" s="282" customFormat="1" ht="12.75" customHeight="1" x14ac:dyDescent="0.2">
      <c r="A20" s="211"/>
      <c r="B20" s="191"/>
      <c r="C20" s="308"/>
      <c r="D20" s="209"/>
      <c r="E20" s="279"/>
      <c r="F20" s="279">
        <f t="shared" si="0"/>
        <v>1808.08</v>
      </c>
      <c r="G20" s="284"/>
      <c r="H20" s="280">
        <f t="shared" si="1"/>
        <v>1808.0800000000002</v>
      </c>
      <c r="I20" s="280">
        <f t="shared" si="2"/>
        <v>-2.5579538487363607E-13</v>
      </c>
      <c r="J20" s="281"/>
    </row>
    <row r="21" spans="1:10" s="282" customFormat="1" ht="12.75" customHeight="1" x14ac:dyDescent="0.2">
      <c r="A21" s="211"/>
      <c r="B21" s="191"/>
      <c r="C21" s="308"/>
      <c r="D21" s="209"/>
      <c r="E21" s="279"/>
      <c r="F21" s="279">
        <f t="shared" si="0"/>
        <v>1808.08</v>
      </c>
      <c r="G21" s="284"/>
      <c r="H21" s="280">
        <f t="shared" si="1"/>
        <v>1808.0800000000002</v>
      </c>
      <c r="I21" s="280">
        <f t="shared" si="2"/>
        <v>-2.5579538487363607E-13</v>
      </c>
      <c r="J21" s="281"/>
    </row>
    <row r="22" spans="1:10" s="282" customFormat="1" ht="12.75" customHeight="1" x14ac:dyDescent="0.2">
      <c r="A22" s="211"/>
      <c r="B22" s="191"/>
      <c r="C22" s="308"/>
      <c r="D22" s="209"/>
      <c r="E22" s="279"/>
      <c r="F22" s="279">
        <f t="shared" si="0"/>
        <v>1808.08</v>
      </c>
      <c r="G22" s="284"/>
      <c r="H22" s="280">
        <f t="shared" si="1"/>
        <v>1808.0800000000002</v>
      </c>
      <c r="I22" s="280">
        <f t="shared" si="2"/>
        <v>-2.5579538487363607E-13</v>
      </c>
      <c r="J22" s="281"/>
    </row>
    <row r="23" spans="1:10" s="282" customFormat="1" ht="12.75" customHeight="1" x14ac:dyDescent="0.25">
      <c r="A23" s="304"/>
      <c r="B23" s="276"/>
      <c r="C23" s="304"/>
      <c r="D23" s="287"/>
      <c r="E23" s="279"/>
      <c r="F23" s="279">
        <f t="shared" si="0"/>
        <v>1808.08</v>
      </c>
      <c r="G23" s="280"/>
      <c r="H23" s="280">
        <f t="shared" si="1"/>
        <v>1808.0800000000002</v>
      </c>
      <c r="I23" s="280">
        <f t="shared" si="2"/>
        <v>-2.5579538487363607E-13</v>
      </c>
      <c r="J23" s="281"/>
    </row>
    <row r="24" spans="1:10" s="282" customFormat="1" ht="12.75" customHeight="1" x14ac:dyDescent="0.25">
      <c r="A24" s="304"/>
      <c r="B24" s="276"/>
      <c r="C24" s="304"/>
      <c r="D24" s="281"/>
      <c r="E24" s="279"/>
      <c r="F24" s="279">
        <f t="shared" si="0"/>
        <v>1808.08</v>
      </c>
      <c r="G24" s="280"/>
      <c r="H24" s="280">
        <f t="shared" si="1"/>
        <v>1808.0800000000002</v>
      </c>
      <c r="I24" s="280">
        <f t="shared" si="2"/>
        <v>-2.5579538487363607E-13</v>
      </c>
      <c r="J24" s="281"/>
    </row>
    <row r="25" spans="1:10" s="282" customFormat="1" ht="12.75" customHeight="1" x14ac:dyDescent="0.25">
      <c r="A25" s="275"/>
      <c r="B25" s="277"/>
      <c r="C25" s="304"/>
      <c r="D25" s="287"/>
      <c r="E25" s="280"/>
      <c r="F25" s="279"/>
      <c r="G25" s="280"/>
      <c r="H25" s="280"/>
      <c r="I25" s="280"/>
      <c r="J25" s="281"/>
    </row>
    <row r="26" spans="1:10" s="282" customFormat="1" ht="12.75" customHeight="1" thickBot="1" x14ac:dyDescent="0.3">
      <c r="A26" s="275"/>
      <c r="B26" s="288"/>
      <c r="C26" s="304"/>
      <c r="D26" s="289" t="s">
        <v>24</v>
      </c>
      <c r="E26" s="290">
        <f>SUM(E9:E25)</f>
        <v>1808.08</v>
      </c>
      <c r="F26" s="290"/>
      <c r="G26" s="290">
        <f>SUM(G9:G25)</f>
        <v>1808.0800000000002</v>
      </c>
      <c r="H26" s="290"/>
      <c r="I26" s="290">
        <f>E26-G26</f>
        <v>0</v>
      </c>
      <c r="J26" s="281"/>
    </row>
    <row r="27" spans="1:10" s="282" customFormat="1" ht="12.75" customHeight="1" thickTop="1" x14ac:dyDescent="0.25"/>
  </sheetData>
  <pageMargins left="0.25" right="0.25" top="0.95" bottom="0.75" header="0.09" footer="0.3"/>
  <pageSetup scale="67"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51FC0-A123-4892-9F40-642117699BE9}">
  <sheetPr>
    <tabColor indexed="30"/>
    <pageSetUpPr fitToPage="1"/>
  </sheetPr>
  <dimension ref="A1:H23"/>
  <sheetViews>
    <sheetView topLeftCell="A4"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#9514.00'!B1</f>
        <v>DAS Union Sunday School Structural Investigation</v>
      </c>
      <c r="B1" s="3"/>
      <c r="C1" s="3"/>
      <c r="D1" s="3"/>
      <c r="E1" s="4"/>
      <c r="F1" s="4"/>
      <c r="G1" s="4"/>
      <c r="H1" s="28"/>
    </row>
    <row r="2" spans="1:8" ht="15.75" x14ac:dyDescent="0.25">
      <c r="A2" s="6" t="str">
        <f>'RECAP #9514.00'!B2</f>
        <v>Project # 9514.00</v>
      </c>
      <c r="B2" s="5"/>
      <c r="C2" s="5"/>
      <c r="D2" s="5"/>
      <c r="E2" s="4"/>
      <c r="F2" s="4"/>
      <c r="G2" s="4"/>
      <c r="H2" s="28"/>
    </row>
    <row r="3" spans="1:8" ht="15.75" x14ac:dyDescent="0.25">
      <c r="A3" s="7" t="str">
        <f>'RECAP #9514.00'!B3</f>
        <v>Program code 951400</v>
      </c>
      <c r="B3" s="5"/>
      <c r="C3" s="5"/>
      <c r="D3" s="5"/>
      <c r="E3" s="8" t="str">
        <f>'RECAP #9514.00'!E3</f>
        <v>Major Program 4E19</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277</v>
      </c>
      <c r="F6" s="35"/>
      <c r="G6" s="38"/>
      <c r="H6" s="39"/>
    </row>
    <row r="7" spans="1:8" ht="15.75" x14ac:dyDescent="0.25">
      <c r="A7" s="11" t="str">
        <f>'RECAP #9514.00'!B6</f>
        <v>Project Manager - Geoff W</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5">
      <c r="A9" s="239"/>
      <c r="B9" s="177"/>
      <c r="C9" s="230"/>
      <c r="D9" s="230"/>
      <c r="E9" s="176"/>
      <c r="F9" s="259"/>
      <c r="G9" s="260"/>
      <c r="H9" s="260">
        <f>G9</f>
        <v>0</v>
      </c>
    </row>
    <row r="10" spans="1:8" s="223" customFormat="1" ht="12.75" customHeight="1" x14ac:dyDescent="0.25">
      <c r="A10" s="241"/>
      <c r="B10" s="177"/>
      <c r="C10" s="240"/>
      <c r="D10" s="240"/>
      <c r="E10" s="258"/>
      <c r="F10" s="252"/>
      <c r="G10" s="260"/>
      <c r="H10" s="260">
        <f>H9+G10</f>
        <v>0</v>
      </c>
    </row>
    <row r="11" spans="1:8" s="223" customFormat="1" ht="12.75" customHeight="1" x14ac:dyDescent="0.25">
      <c r="A11" s="241"/>
      <c r="B11" s="177"/>
      <c r="C11" s="177"/>
      <c r="D11" s="177"/>
      <c r="E11" s="258"/>
      <c r="F11" s="252"/>
      <c r="G11" s="260"/>
      <c r="H11" s="260">
        <f t="shared" ref="H11:H20" si="0">H10+G11</f>
        <v>0</v>
      </c>
    </row>
    <row r="12" spans="1:8" s="223" customFormat="1" ht="12.75" customHeight="1" x14ac:dyDescent="0.25">
      <c r="A12" s="241" t="s">
        <v>2</v>
      </c>
      <c r="B12" s="177" t="s">
        <v>2</v>
      </c>
      <c r="C12" s="177"/>
      <c r="D12" s="177"/>
      <c r="E12" s="258" t="s">
        <v>2</v>
      </c>
      <c r="F12" s="252"/>
      <c r="G12" s="260"/>
      <c r="H12" s="260">
        <f t="shared" si="0"/>
        <v>0</v>
      </c>
    </row>
    <row r="13" spans="1:8" s="223" customFormat="1" ht="12.75" customHeight="1" x14ac:dyDescent="0.25">
      <c r="A13" s="241" t="s">
        <v>2</v>
      </c>
      <c r="B13" s="177" t="s">
        <v>2</v>
      </c>
      <c r="C13" s="177"/>
      <c r="D13" s="177"/>
      <c r="E13" s="258" t="s">
        <v>2</v>
      </c>
      <c r="F13" s="252"/>
      <c r="G13" s="260"/>
      <c r="H13" s="260">
        <f t="shared" si="0"/>
        <v>0</v>
      </c>
    </row>
    <row r="14" spans="1:8" s="223" customFormat="1" ht="12.75" customHeight="1" x14ac:dyDescent="0.25">
      <c r="A14" s="241"/>
      <c r="B14" s="177"/>
      <c r="C14" s="177"/>
      <c r="D14" s="177"/>
      <c r="E14" s="258"/>
      <c r="F14" s="252"/>
      <c r="G14" s="260"/>
      <c r="H14" s="260">
        <f t="shared" si="0"/>
        <v>0</v>
      </c>
    </row>
    <row r="15" spans="1:8" s="223" customFormat="1" ht="12.75" customHeight="1" x14ac:dyDescent="0.25">
      <c r="A15" s="241"/>
      <c r="B15" s="177"/>
      <c r="C15" s="177"/>
      <c r="D15" s="177"/>
      <c r="E15" s="261"/>
      <c r="F15" s="252"/>
      <c r="G15" s="260"/>
      <c r="H15" s="260">
        <f t="shared" si="0"/>
        <v>0</v>
      </c>
    </row>
    <row r="16" spans="1:8" s="223" customFormat="1" ht="12.75" customHeight="1" x14ac:dyDescent="0.25">
      <c r="A16" s="241"/>
      <c r="B16" s="177"/>
      <c r="C16" s="177"/>
      <c r="D16" s="177"/>
      <c r="E16" s="258"/>
      <c r="F16" s="252"/>
      <c r="G16" s="260"/>
      <c r="H16" s="260">
        <f t="shared" si="0"/>
        <v>0</v>
      </c>
    </row>
    <row r="17" spans="1:8" s="223" customFormat="1" ht="12.75" customHeight="1" x14ac:dyDescent="0.25">
      <c r="A17" s="230"/>
      <c r="B17" s="177"/>
      <c r="C17" s="177"/>
      <c r="D17" s="177"/>
      <c r="E17" s="258"/>
      <c r="F17" s="252"/>
      <c r="G17" s="260"/>
      <c r="H17" s="260">
        <f t="shared" si="0"/>
        <v>0</v>
      </c>
    </row>
    <row r="18" spans="1:8" s="223" customFormat="1" ht="12.75" customHeight="1" x14ac:dyDescent="0.25">
      <c r="A18" s="230"/>
      <c r="B18" s="177"/>
      <c r="C18" s="177"/>
      <c r="D18" s="177"/>
      <c r="E18" s="258"/>
      <c r="F18" s="252"/>
      <c r="G18" s="260"/>
      <c r="H18" s="260">
        <f t="shared" si="0"/>
        <v>0</v>
      </c>
    </row>
    <row r="19" spans="1:8" s="223" customFormat="1" ht="12.75" customHeight="1" x14ac:dyDescent="0.25">
      <c r="A19" s="230"/>
      <c r="B19" s="177"/>
      <c r="C19" s="177"/>
      <c r="D19" s="177"/>
      <c r="E19" s="258"/>
      <c r="F19" s="252"/>
      <c r="G19" s="260"/>
      <c r="H19" s="260">
        <f t="shared" si="0"/>
        <v>0</v>
      </c>
    </row>
    <row r="20" spans="1:8" s="223" customFormat="1" ht="12.75" customHeight="1" x14ac:dyDescent="0.25">
      <c r="A20" s="230"/>
      <c r="B20" s="177"/>
      <c r="C20" s="177"/>
      <c r="D20" s="177"/>
      <c r="E20" s="258"/>
      <c r="F20" s="252"/>
      <c r="G20" s="260"/>
      <c r="H20" s="260">
        <f t="shared" si="0"/>
        <v>0</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0</v>
      </c>
      <c r="H22" s="265"/>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078C1-E852-492A-AAAB-72B6263CC11F}">
  <sheetPr>
    <pageSetUpPr fitToPage="1"/>
  </sheetPr>
  <dimension ref="A1:G18"/>
  <sheetViews>
    <sheetView zoomScaleNormal="100" workbookViewId="0">
      <selection activeCell="B23" sqref="B23"/>
    </sheetView>
  </sheetViews>
  <sheetFormatPr defaultColWidth="11.42578125" defaultRowHeight="15" customHeight="1" x14ac:dyDescent="0.25"/>
  <cols>
    <col min="1" max="1" width="3.5703125" customWidth="1"/>
    <col min="2" max="2" width="29.8554687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493</v>
      </c>
      <c r="C1" s="3"/>
      <c r="D1" s="4"/>
      <c r="E1" s="4"/>
      <c r="F1" s="4"/>
      <c r="G1" s="4"/>
    </row>
    <row r="2" spans="1:7" ht="15.75" x14ac:dyDescent="0.25">
      <c r="A2" s="1"/>
      <c r="B2" s="6" t="s">
        <v>504</v>
      </c>
      <c r="C2" s="5"/>
      <c r="D2" s="4"/>
      <c r="E2" s="4"/>
      <c r="F2" s="4"/>
      <c r="G2" s="4"/>
    </row>
    <row r="3" spans="1:7" ht="15.75" x14ac:dyDescent="0.25">
      <c r="A3" s="1"/>
      <c r="B3" s="7" t="s">
        <v>505</v>
      </c>
      <c r="C3" s="5"/>
      <c r="D3" s="4"/>
      <c r="E3" s="8" t="s">
        <v>180</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190</v>
      </c>
      <c r="C6" s="12"/>
      <c r="D6" s="13" t="s">
        <v>2</v>
      </c>
      <c r="E6" s="4"/>
      <c r="F6" s="4"/>
      <c r="G6" s="4"/>
    </row>
    <row r="7" spans="1:7" ht="31.5" customHeight="1" thickBot="1" x14ac:dyDescent="0.3">
      <c r="A7" s="1"/>
      <c r="B7" s="14" t="s">
        <v>2</v>
      </c>
      <c r="C7" s="15" t="s">
        <v>3</v>
      </c>
      <c r="D7" s="16" t="s">
        <v>4</v>
      </c>
      <c r="E7" s="17" t="s">
        <v>5</v>
      </c>
      <c r="F7" s="18" t="s">
        <v>6</v>
      </c>
      <c r="G7" s="18" t="s">
        <v>7</v>
      </c>
    </row>
    <row r="8" spans="1:7" ht="28.35" customHeight="1" x14ac:dyDescent="0.25">
      <c r="A8" s="1"/>
      <c r="B8" s="1" t="s">
        <v>8</v>
      </c>
      <c r="C8" s="19">
        <f>FINANCIAL!G38</f>
        <v>250000</v>
      </c>
      <c r="D8" s="20"/>
      <c r="E8" s="20"/>
      <c r="F8" s="20"/>
      <c r="G8" s="21"/>
    </row>
    <row r="9" spans="1:7" s="223" customFormat="1" ht="12.75" customHeight="1" x14ac:dyDescent="0.25">
      <c r="A9" s="246"/>
      <c r="B9" s="247"/>
      <c r="C9" s="267"/>
      <c r="D9" s="249"/>
      <c r="E9" s="249"/>
      <c r="F9" s="249"/>
      <c r="G9" s="250"/>
    </row>
    <row r="10" spans="1:7" s="223" customFormat="1" ht="12.75" customHeight="1" x14ac:dyDescent="0.25">
      <c r="A10" s="273" t="s">
        <v>250</v>
      </c>
      <c r="B10" s="247" t="s">
        <v>278</v>
      </c>
      <c r="C10" s="248"/>
      <c r="D10" s="251">
        <f>'#9519.00 Story Construction'!D23</f>
        <v>20708.990000000002</v>
      </c>
      <c r="E10" s="251">
        <f>'#9519.00 Story Construction'!F23</f>
        <v>20708.989999999998</v>
      </c>
      <c r="F10" s="251">
        <f>'#9519.00 Story Construction'!H23</f>
        <v>0</v>
      </c>
      <c r="G10" s="250"/>
    </row>
    <row r="11" spans="1:7" s="223" customFormat="1" ht="12.75" customHeight="1" x14ac:dyDescent="0.25">
      <c r="A11" s="246"/>
      <c r="B11" s="247" t="s">
        <v>10</v>
      </c>
      <c r="C11" s="248"/>
      <c r="D11" s="251">
        <f>'#9519.00 PM TIME'!E29</f>
        <v>20000</v>
      </c>
      <c r="E11" s="251">
        <f>'#9519.00 PM TIME'!G29</f>
        <v>11028.839999999998</v>
      </c>
      <c r="F11" s="251">
        <f>'#9519.00 PM TIME'!I29</f>
        <v>8971.1600000000017</v>
      </c>
      <c r="G11" s="250"/>
    </row>
    <row r="12" spans="1:7" s="223" customFormat="1" ht="12.75" customHeight="1" x14ac:dyDescent="0.25">
      <c r="A12" s="246"/>
      <c r="B12" s="247" t="s">
        <v>11</v>
      </c>
      <c r="C12" s="249"/>
      <c r="D12" s="252">
        <f>'#9519.00 Misc'!G22</f>
        <v>3185.76</v>
      </c>
      <c r="E12" s="252">
        <f>'#9519.00 Misc'!G22</f>
        <v>3185.76</v>
      </c>
      <c r="F12" s="251">
        <f>D12-E12</f>
        <v>0</v>
      </c>
      <c r="G12" s="250"/>
    </row>
    <row r="13" spans="1:7" s="223" customFormat="1" ht="12.75" customHeight="1" x14ac:dyDescent="0.25">
      <c r="A13" s="246"/>
      <c r="B13" s="247" t="s">
        <v>736</v>
      </c>
      <c r="C13" s="249"/>
      <c r="D13" s="252">
        <f>'#9519.00 10Fold Architecture'!D23</f>
        <v>27592</v>
      </c>
      <c r="E13" s="252">
        <f>'#9519.00 10Fold Architecture'!F23</f>
        <v>20142</v>
      </c>
      <c r="F13" s="251">
        <f>'#9519.00 10Fold Architecture'!H23</f>
        <v>7450</v>
      </c>
      <c r="G13" s="250"/>
    </row>
    <row r="14" spans="1:7" s="223" customFormat="1" ht="12.75" customHeight="1" x14ac:dyDescent="0.25">
      <c r="A14" s="246"/>
      <c r="B14" s="247" t="s">
        <v>826</v>
      </c>
      <c r="C14" s="249"/>
      <c r="D14" s="252">
        <f>'#9519.00 Story Construction (2)'!D23</f>
        <v>28441.040000000001</v>
      </c>
      <c r="E14" s="252">
        <f>'#9519.00 Story Construction (2)'!F23</f>
        <v>0</v>
      </c>
      <c r="F14" s="251">
        <f>'#9519.00 Story Construction (2)'!H23</f>
        <v>28441.040000000001</v>
      </c>
      <c r="G14" s="250"/>
    </row>
    <row r="15" spans="1:7" s="223" customFormat="1" ht="12.75" customHeight="1" x14ac:dyDescent="0.25">
      <c r="A15" s="246"/>
      <c r="B15" s="247" t="s">
        <v>1107</v>
      </c>
      <c r="C15" s="249"/>
      <c r="D15" s="252">
        <f>'#9519.00 Advanced Environmental'!D23</f>
        <v>3248.19</v>
      </c>
      <c r="E15" s="252">
        <f>'#9519.00 Advanced Environmental'!F23</f>
        <v>0</v>
      </c>
      <c r="F15" s="251">
        <f>'#9519.00 Advanced Environmental'!H23</f>
        <v>3248.19</v>
      </c>
      <c r="G15" s="250"/>
    </row>
    <row r="16" spans="1:7" s="223" customFormat="1" ht="12.75" customHeight="1" x14ac:dyDescent="0.25">
      <c r="A16" s="246"/>
      <c r="B16" s="247"/>
      <c r="C16" s="249"/>
      <c r="D16" s="252"/>
      <c r="E16" s="252"/>
      <c r="F16" s="251"/>
      <c r="G16" s="250"/>
    </row>
    <row r="17" spans="1:7" ht="24" customHeight="1" thickBot="1" x14ac:dyDescent="0.3">
      <c r="A17" s="25"/>
      <c r="B17" s="26" t="s">
        <v>12</v>
      </c>
      <c r="C17" s="27">
        <f>SUM(C8:C16)</f>
        <v>250000</v>
      </c>
      <c r="D17" s="27">
        <f>SUM(D8:D16)</f>
        <v>103175.98000000001</v>
      </c>
      <c r="E17" s="27">
        <f>SUM(E8:E16)</f>
        <v>55065.59</v>
      </c>
      <c r="F17" s="27">
        <f>SUM(D17-E17)</f>
        <v>48110.390000000014</v>
      </c>
      <c r="G17" s="27">
        <f>C8-D17</f>
        <v>146824.01999999999</v>
      </c>
    </row>
    <row r="18" spans="1:7" ht="15" customHeight="1" thickTop="1" x14ac:dyDescent="0.25"/>
  </sheetData>
  <pageMargins left="0.25" right="0.25" top="1.2496875000000001" bottom="0.75" header="0.09" footer="0.3"/>
  <pageSetup scale="8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72179-EB8E-4D11-8317-558FFC699881}">
  <sheetPr>
    <tabColor rgb="FF0070C0"/>
    <pageSetUpPr fitToPage="1"/>
  </sheetPr>
  <dimension ref="A1:I29"/>
  <sheetViews>
    <sheetView zoomScaleNormal="100" workbookViewId="0">
      <selection activeCell="M8" sqref="M8"/>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1.28515625" style="274" bestFit="1" customWidth="1"/>
    <col min="9" max="9" width="5.28515625" style="274" bestFit="1"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#9519.00'!B1</f>
        <v>HHS IMHI Infirmary Building Roof Repair</v>
      </c>
      <c r="B1" s="30"/>
      <c r="C1" s="153"/>
      <c r="D1" s="153"/>
      <c r="E1" s="153"/>
      <c r="F1" s="156"/>
      <c r="G1" s="156"/>
      <c r="H1" s="179"/>
      <c r="I1" s="179"/>
    </row>
    <row r="2" spans="1:9" ht="15.75" x14ac:dyDescent="0.25">
      <c r="A2" s="31" t="str">
        <f>'RECAP #9519.00'!B2</f>
        <v>Project # 9519.00</v>
      </c>
      <c r="B2" s="150"/>
      <c r="C2" s="153"/>
      <c r="D2" s="153"/>
      <c r="E2" s="153"/>
      <c r="F2" s="156"/>
      <c r="G2" s="156"/>
      <c r="H2" s="179"/>
      <c r="I2" s="179"/>
    </row>
    <row r="3" spans="1:9" ht="15.75" x14ac:dyDescent="0.25">
      <c r="A3" s="154" t="str">
        <f>'RECAP #9519.00'!B3</f>
        <v>Program code 951900</v>
      </c>
      <c r="B3" s="150"/>
      <c r="C3" s="153"/>
      <c r="D3" s="155" t="str">
        <f>'RECAP #9519.00'!E3</f>
        <v>Major Program 4E02</v>
      </c>
      <c r="E3" s="153"/>
      <c r="F3" s="156"/>
      <c r="G3" s="156"/>
      <c r="H3" s="179"/>
      <c r="I3" s="179"/>
    </row>
    <row r="4" spans="1:9" ht="15.75" x14ac:dyDescent="0.25">
      <c r="A4" s="30" t="s">
        <v>278</v>
      </c>
      <c r="B4" s="31"/>
      <c r="C4" s="179"/>
      <c r="D4" s="180" t="s">
        <v>279</v>
      </c>
      <c r="E4" s="156"/>
      <c r="F4" s="156"/>
      <c r="G4" s="156"/>
      <c r="H4" s="179"/>
      <c r="I4" s="179"/>
    </row>
    <row r="5" spans="1:9" ht="15.75" x14ac:dyDescent="0.25">
      <c r="A5" s="181" t="s">
        <v>104</v>
      </c>
      <c r="B5" s="179"/>
      <c r="C5" s="182"/>
      <c r="D5" s="37" t="s">
        <v>280</v>
      </c>
      <c r="E5" s="42"/>
      <c r="F5" s="156"/>
      <c r="G5" s="156"/>
      <c r="H5" s="179"/>
      <c r="I5" s="179"/>
    </row>
    <row r="6" spans="1:9" ht="15.75" x14ac:dyDescent="0.25">
      <c r="A6" s="31" t="str">
        <f>'RECAP #9519.00'!B6</f>
        <v>Project Manager - James T.</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728</v>
      </c>
      <c r="B9" s="276">
        <v>46114</v>
      </c>
      <c r="C9" s="277" t="s">
        <v>109</v>
      </c>
      <c r="D9" s="278">
        <v>26248.22</v>
      </c>
      <c r="E9" s="279">
        <f>D9</f>
        <v>26248.22</v>
      </c>
      <c r="F9" s="280"/>
      <c r="G9" s="280"/>
      <c r="H9" s="280">
        <f>E9</f>
        <v>26248.22</v>
      </c>
      <c r="I9" s="281"/>
    </row>
    <row r="10" spans="1:9" s="282" customFormat="1" ht="12.75" customHeight="1" x14ac:dyDescent="0.25">
      <c r="A10" s="275" t="s">
        <v>953</v>
      </c>
      <c r="B10" s="283">
        <v>46170</v>
      </c>
      <c r="C10" s="277" t="s">
        <v>954</v>
      </c>
      <c r="D10" s="279"/>
      <c r="E10" s="279">
        <f t="shared" ref="E10:E21" si="0">E9+D10</f>
        <v>26248.22</v>
      </c>
      <c r="F10" s="284">
        <v>1046.24</v>
      </c>
      <c r="G10" s="280">
        <f t="shared" ref="G10:G21" si="1">G9+F10</f>
        <v>1046.24</v>
      </c>
      <c r="H10" s="280">
        <f t="shared" ref="H10:H21" si="2">H9-F10+D10</f>
        <v>25201.98</v>
      </c>
      <c r="I10" s="281"/>
    </row>
    <row r="11" spans="1:9" s="282" customFormat="1" ht="12.75" customHeight="1" x14ac:dyDescent="0.25">
      <c r="A11" s="275" t="s">
        <v>1051</v>
      </c>
      <c r="B11" s="276">
        <v>46190</v>
      </c>
      <c r="C11" s="277" t="s">
        <v>1052</v>
      </c>
      <c r="D11" s="279"/>
      <c r="E11" s="279">
        <f t="shared" si="0"/>
        <v>26248.22</v>
      </c>
      <c r="F11" s="284">
        <v>3808.01</v>
      </c>
      <c r="G11" s="280">
        <f t="shared" si="1"/>
        <v>4854.25</v>
      </c>
      <c r="H11" s="280">
        <f t="shared" si="2"/>
        <v>21393.97</v>
      </c>
      <c r="I11" s="281"/>
    </row>
    <row r="12" spans="1:9" s="282" customFormat="1" ht="12.75" customHeight="1" x14ac:dyDescent="0.25">
      <c r="A12" s="358" t="s">
        <v>1256</v>
      </c>
      <c r="B12" s="359">
        <v>46218</v>
      </c>
      <c r="C12" s="360" t="s">
        <v>1257</v>
      </c>
      <c r="D12" s="361"/>
      <c r="E12" s="361">
        <f t="shared" si="0"/>
        <v>26248.22</v>
      </c>
      <c r="F12" s="362">
        <v>3321.38</v>
      </c>
      <c r="G12" s="363">
        <f t="shared" si="1"/>
        <v>8175.63</v>
      </c>
      <c r="H12" s="363">
        <f t="shared" si="2"/>
        <v>18072.59</v>
      </c>
      <c r="I12" s="364" t="s">
        <v>1285</v>
      </c>
    </row>
    <row r="13" spans="1:9" s="282" customFormat="1" ht="12.75" customHeight="1" x14ac:dyDescent="0.25">
      <c r="A13" s="275" t="s">
        <v>1329</v>
      </c>
      <c r="B13" s="276">
        <v>46225</v>
      </c>
      <c r="C13" s="277" t="s">
        <v>1286</v>
      </c>
      <c r="D13" s="278">
        <v>0</v>
      </c>
      <c r="E13" s="279">
        <f t="shared" si="0"/>
        <v>26248.22</v>
      </c>
      <c r="F13" s="284"/>
      <c r="G13" s="280">
        <f t="shared" si="1"/>
        <v>8175.63</v>
      </c>
      <c r="H13" s="280">
        <f t="shared" si="2"/>
        <v>18072.59</v>
      </c>
      <c r="I13" s="281"/>
    </row>
    <row r="14" spans="1:9" s="282" customFormat="1" ht="12.75" customHeight="1" x14ac:dyDescent="0.25">
      <c r="A14" s="275" t="s">
        <v>1449</v>
      </c>
      <c r="B14" s="276">
        <v>46251</v>
      </c>
      <c r="C14" s="277" t="s">
        <v>1450</v>
      </c>
      <c r="D14" s="279"/>
      <c r="E14" s="279">
        <f t="shared" si="0"/>
        <v>26248.22</v>
      </c>
      <c r="F14" s="284">
        <v>2334.8000000000002</v>
      </c>
      <c r="G14" s="280">
        <f t="shared" si="1"/>
        <v>10510.43</v>
      </c>
      <c r="H14" s="280">
        <f t="shared" si="2"/>
        <v>15737.79</v>
      </c>
      <c r="I14" s="281"/>
    </row>
    <row r="15" spans="1:9" s="282" customFormat="1" ht="12.75" customHeight="1" x14ac:dyDescent="0.25">
      <c r="A15" s="275" t="s">
        <v>1582</v>
      </c>
      <c r="B15" s="276">
        <v>46286</v>
      </c>
      <c r="C15" s="277" t="s">
        <v>1583</v>
      </c>
      <c r="D15" s="285">
        <v>-5539.23</v>
      </c>
      <c r="E15" s="279">
        <f t="shared" si="0"/>
        <v>20708.990000000002</v>
      </c>
      <c r="F15" s="284">
        <v>10198.56</v>
      </c>
      <c r="G15" s="280">
        <f t="shared" si="1"/>
        <v>20708.989999999998</v>
      </c>
      <c r="H15" s="280">
        <f t="shared" si="2"/>
        <v>0</v>
      </c>
      <c r="I15" s="281"/>
    </row>
    <row r="16" spans="1:9" s="282" customFormat="1" ht="12.75" customHeight="1" x14ac:dyDescent="0.25">
      <c r="A16" s="275"/>
      <c r="B16" s="276"/>
      <c r="C16" s="277"/>
      <c r="D16" s="279"/>
      <c r="E16" s="279">
        <f t="shared" si="0"/>
        <v>20708.990000000002</v>
      </c>
      <c r="F16" s="284"/>
      <c r="G16" s="280">
        <f t="shared" si="1"/>
        <v>20708.989999999998</v>
      </c>
      <c r="H16" s="280">
        <f t="shared" si="2"/>
        <v>0</v>
      </c>
      <c r="I16" s="281"/>
    </row>
    <row r="17" spans="1:9" s="282" customFormat="1" ht="12.75" customHeight="1" x14ac:dyDescent="0.25">
      <c r="A17" s="275"/>
      <c r="B17" s="276"/>
      <c r="C17" s="277"/>
      <c r="D17" s="279"/>
      <c r="E17" s="279">
        <f t="shared" si="0"/>
        <v>20708.990000000002</v>
      </c>
      <c r="F17" s="284"/>
      <c r="G17" s="280">
        <f t="shared" si="1"/>
        <v>20708.989999999998</v>
      </c>
      <c r="H17" s="280">
        <f t="shared" si="2"/>
        <v>0</v>
      </c>
      <c r="I17" s="281"/>
    </row>
    <row r="18" spans="1:9" s="282" customFormat="1" ht="12.75" customHeight="1" x14ac:dyDescent="0.25">
      <c r="A18" s="275"/>
      <c r="B18" s="276"/>
      <c r="C18" s="277"/>
      <c r="D18" s="279"/>
      <c r="E18" s="279">
        <f t="shared" si="0"/>
        <v>20708.990000000002</v>
      </c>
      <c r="F18" s="284"/>
      <c r="G18" s="280">
        <f t="shared" si="1"/>
        <v>20708.989999999998</v>
      </c>
      <c r="H18" s="280">
        <f t="shared" si="2"/>
        <v>0</v>
      </c>
      <c r="I18" s="281"/>
    </row>
    <row r="19" spans="1:9" s="282" customFormat="1" ht="12.75" customHeight="1" x14ac:dyDescent="0.25">
      <c r="A19" s="275"/>
      <c r="B19" s="276"/>
      <c r="C19" s="277"/>
      <c r="D19" s="279"/>
      <c r="E19" s="279">
        <f t="shared" si="0"/>
        <v>20708.990000000002</v>
      </c>
      <c r="F19" s="280"/>
      <c r="G19" s="280">
        <f t="shared" si="1"/>
        <v>20708.989999999998</v>
      </c>
      <c r="H19" s="280">
        <f t="shared" si="2"/>
        <v>0</v>
      </c>
      <c r="I19" s="281"/>
    </row>
    <row r="20" spans="1:9" s="282" customFormat="1" ht="12.75" customHeight="1" x14ac:dyDescent="0.25">
      <c r="A20" s="275"/>
      <c r="B20" s="276"/>
      <c r="C20" s="277"/>
      <c r="D20" s="279"/>
      <c r="E20" s="279">
        <f t="shared" si="0"/>
        <v>20708.990000000002</v>
      </c>
      <c r="F20" s="280"/>
      <c r="G20" s="280">
        <f t="shared" si="1"/>
        <v>20708.989999999998</v>
      </c>
      <c r="H20" s="280">
        <f t="shared" si="2"/>
        <v>0</v>
      </c>
      <c r="I20" s="281"/>
    </row>
    <row r="21" spans="1:9" s="282" customFormat="1" ht="12.75" customHeight="1" x14ac:dyDescent="0.25">
      <c r="A21" s="275"/>
      <c r="B21" s="276"/>
      <c r="C21" s="286"/>
      <c r="D21" s="279"/>
      <c r="E21" s="279">
        <f t="shared" si="0"/>
        <v>20708.990000000002</v>
      </c>
      <c r="F21" s="280"/>
      <c r="G21" s="280">
        <f t="shared" si="1"/>
        <v>20708.989999999998</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20708.990000000002</v>
      </c>
      <c r="E23" s="290"/>
      <c r="F23" s="290">
        <f>SUM(F9:F22)</f>
        <v>20708.989999999998</v>
      </c>
      <c r="G23" s="290"/>
      <c r="H23" s="290">
        <f>D23-F23</f>
        <v>0</v>
      </c>
      <c r="I23" s="281"/>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f>25891.22-5539.23</f>
        <v>20351.990000000002</v>
      </c>
      <c r="E26" s="292"/>
      <c r="F26" s="292">
        <f>1046.24+3689.01+3202.38+2334.8+10079.56</f>
        <v>20351.989999999998</v>
      </c>
      <c r="G26" s="292"/>
      <c r="H26" s="292">
        <f>D26-F26</f>
        <v>0</v>
      </c>
      <c r="I26" s="281"/>
    </row>
    <row r="27" spans="1:9" s="282" customFormat="1" ht="12.75" customHeight="1" x14ac:dyDescent="0.25">
      <c r="A27" s="275"/>
      <c r="B27" s="277"/>
      <c r="C27" s="287" t="s">
        <v>111</v>
      </c>
      <c r="D27" s="292">
        <v>357</v>
      </c>
      <c r="E27" s="292"/>
      <c r="F27" s="292">
        <f>119+119+119</f>
        <v>357</v>
      </c>
      <c r="G27" s="292"/>
      <c r="H27" s="292">
        <f>D27-F27</f>
        <v>0</v>
      </c>
      <c r="I27" s="281"/>
    </row>
    <row r="28" spans="1:9" s="282" customFormat="1" ht="12.75" customHeight="1" thickBot="1" x14ac:dyDescent="0.3">
      <c r="A28" s="275"/>
      <c r="B28" s="277"/>
      <c r="C28" s="293" t="s">
        <v>67</v>
      </c>
      <c r="D28" s="290">
        <f>SUM(D26:D27)</f>
        <v>20708.990000000002</v>
      </c>
      <c r="E28" s="294"/>
      <c r="F28" s="290">
        <f>SUM(F26:F27)</f>
        <v>20708.989999999998</v>
      </c>
      <c r="G28" s="294"/>
      <c r="H28" s="290">
        <f>SUM(H26:H27)</f>
        <v>0</v>
      </c>
      <c r="I28" s="281"/>
    </row>
    <row r="29" spans="1:9" s="282" customFormat="1" ht="12.75" customHeight="1" thickTop="1" x14ac:dyDescent="0.25"/>
  </sheetData>
  <conditionalFormatting sqref="I8:I11 I13:I23">
    <cfRule type="cellIs" dxfId="15"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2EDAD-F5EB-4157-8394-035975D7F2EA}">
  <sheetPr>
    <pageSetUpPr fitToPage="1"/>
  </sheetPr>
  <dimension ref="A1:J31"/>
  <sheetViews>
    <sheetView zoomScaleNormal="100" workbookViewId="0">
      <selection activeCell="G24" sqref="G24"/>
    </sheetView>
  </sheetViews>
  <sheetFormatPr defaultColWidth="11.42578125" defaultRowHeight="15" customHeight="1" x14ac:dyDescent="0.25"/>
  <cols>
    <col min="1" max="1" width="24.5703125" customWidth="1"/>
    <col min="2" max="3" width="9.42578125" customWidth="1"/>
    <col min="4" max="4" width="42.28515625" customWidth="1"/>
    <col min="5" max="5" width="12.5703125" customWidth="1"/>
    <col min="6" max="6" width="13.5703125" customWidth="1"/>
    <col min="7" max="7" width="12.42578125" customWidth="1"/>
    <col min="8" max="8" width="10.5703125" customWidth="1"/>
    <col min="9" max="9" width="12.28515625"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#9519.00'!B1</f>
        <v>HHS IMHI Infirmary Building Roof Repair</v>
      </c>
      <c r="B1" s="3"/>
      <c r="C1" s="3"/>
      <c r="D1" s="4"/>
      <c r="E1" s="4"/>
      <c r="F1" s="4"/>
      <c r="G1" s="28"/>
      <c r="H1" s="28"/>
      <c r="I1" s="29"/>
      <c r="J1" s="29"/>
    </row>
    <row r="2" spans="1:10" ht="15.75" x14ac:dyDescent="0.25">
      <c r="A2" s="6" t="str">
        <f>'RECAP #9519.00'!B2</f>
        <v>Project # 9519.00</v>
      </c>
      <c r="B2" s="5"/>
      <c r="C2" s="5"/>
      <c r="D2" s="4"/>
      <c r="E2" s="4"/>
      <c r="F2" s="4"/>
      <c r="G2" s="28"/>
      <c r="H2" s="28"/>
      <c r="I2" s="29"/>
      <c r="J2" s="29"/>
    </row>
    <row r="3" spans="1:10" ht="15.75" x14ac:dyDescent="0.25">
      <c r="A3" s="7" t="str">
        <f>'RECAP #9519.00'!B3</f>
        <v>Program code 951900</v>
      </c>
      <c r="B3" s="5"/>
      <c r="C3" s="5"/>
      <c r="D3" s="4"/>
      <c r="E3" s="8" t="str">
        <f>'RECAP #9519.00'!E3</f>
        <v>Major Program 4E02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520</v>
      </c>
      <c r="F6" s="42"/>
      <c r="G6" s="43"/>
      <c r="H6" s="39"/>
      <c r="I6" s="35"/>
      <c r="J6" s="29"/>
    </row>
    <row r="7" spans="1:10" ht="15.75" x14ac:dyDescent="0.25">
      <c r="A7" s="11" t="str">
        <f>'RECAP #9519.00'!B6</f>
        <v>Project Manager - James T.</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f>5000+15000</f>
        <v>20000</v>
      </c>
      <c r="F9" s="233">
        <f>E9</f>
        <v>20000</v>
      </c>
      <c r="G9" s="234"/>
      <c r="H9" s="234"/>
      <c r="I9" s="234">
        <f>F9</f>
        <v>20000</v>
      </c>
      <c r="J9" s="235"/>
    </row>
    <row r="10" spans="1:10" s="223" customFormat="1" ht="12.75" customHeight="1" x14ac:dyDescent="0.2">
      <c r="A10" s="70" t="s">
        <v>644</v>
      </c>
      <c r="B10" s="50">
        <v>46090</v>
      </c>
      <c r="C10" s="53" t="s">
        <v>261</v>
      </c>
      <c r="D10" s="144" t="s">
        <v>645</v>
      </c>
      <c r="E10" s="233"/>
      <c r="F10" s="233">
        <f t="shared" ref="F10:F27" si="0">F9+E10</f>
        <v>20000</v>
      </c>
      <c r="G10" s="237">
        <v>15.35</v>
      </c>
      <c r="H10" s="234">
        <f t="shared" ref="H10:H27" si="1">H9+G10</f>
        <v>15.35</v>
      </c>
      <c r="I10" s="234">
        <f t="shared" ref="I10:I27" si="2">I9-G10+E10</f>
        <v>19984.650000000001</v>
      </c>
      <c r="J10" s="235"/>
    </row>
    <row r="11" spans="1:10" s="223" customFormat="1" ht="12.75" customHeight="1" x14ac:dyDescent="0.2">
      <c r="A11" s="70" t="s">
        <v>644</v>
      </c>
      <c r="B11" s="50">
        <v>46090</v>
      </c>
      <c r="C11" s="268">
        <v>9500</v>
      </c>
      <c r="D11" s="66" t="s">
        <v>646</v>
      </c>
      <c r="E11" s="233"/>
      <c r="F11" s="233">
        <f t="shared" si="0"/>
        <v>20000</v>
      </c>
      <c r="G11" s="237">
        <v>178.8</v>
      </c>
      <c r="H11" s="234">
        <f t="shared" si="1"/>
        <v>194.15</v>
      </c>
      <c r="I11" s="234">
        <f t="shared" si="2"/>
        <v>19805.850000000002</v>
      </c>
      <c r="J11" s="235"/>
    </row>
    <row r="12" spans="1:10" s="223" customFormat="1" ht="12.75" customHeight="1" x14ac:dyDescent="0.2">
      <c r="A12" s="70" t="s">
        <v>744</v>
      </c>
      <c r="B12" s="50">
        <v>46118</v>
      </c>
      <c r="C12" s="53" t="s">
        <v>261</v>
      </c>
      <c r="D12" s="144" t="s">
        <v>745</v>
      </c>
      <c r="E12" s="233"/>
      <c r="F12" s="233">
        <f t="shared" si="0"/>
        <v>20000</v>
      </c>
      <c r="G12" s="237">
        <v>66.22</v>
      </c>
      <c r="H12" s="234">
        <f t="shared" si="1"/>
        <v>260.37</v>
      </c>
      <c r="I12" s="234">
        <f t="shared" si="2"/>
        <v>19739.63</v>
      </c>
      <c r="J12" s="235"/>
    </row>
    <row r="13" spans="1:10" s="223" customFormat="1" ht="12.75" customHeight="1" x14ac:dyDescent="0.2">
      <c r="A13" s="70" t="s">
        <v>744</v>
      </c>
      <c r="B13" s="50">
        <v>46118</v>
      </c>
      <c r="C13" s="268">
        <v>9500</v>
      </c>
      <c r="D13" s="66" t="s">
        <v>746</v>
      </c>
      <c r="E13" s="233"/>
      <c r="F13" s="233">
        <f t="shared" si="0"/>
        <v>20000</v>
      </c>
      <c r="G13" s="237">
        <v>537.4</v>
      </c>
      <c r="H13" s="234">
        <f t="shared" si="1"/>
        <v>797.77</v>
      </c>
      <c r="I13" s="234">
        <f t="shared" si="2"/>
        <v>19202.23</v>
      </c>
      <c r="J13" s="235"/>
    </row>
    <row r="14" spans="1:10" s="223" customFormat="1" ht="12.75" customHeight="1" x14ac:dyDescent="0.2">
      <c r="A14" s="70" t="s">
        <v>869</v>
      </c>
      <c r="B14" s="50">
        <v>46149</v>
      </c>
      <c r="C14" s="53" t="s">
        <v>261</v>
      </c>
      <c r="D14" s="144" t="s">
        <v>870</v>
      </c>
      <c r="E14" s="233"/>
      <c r="F14" s="233">
        <f t="shared" si="0"/>
        <v>20000</v>
      </c>
      <c r="G14" s="237">
        <v>48.08</v>
      </c>
      <c r="H14" s="234">
        <f t="shared" si="1"/>
        <v>845.85</v>
      </c>
      <c r="I14" s="234">
        <f t="shared" si="2"/>
        <v>19154.149999999998</v>
      </c>
      <c r="J14" s="235"/>
    </row>
    <row r="15" spans="1:10" s="223" customFormat="1" ht="12.75" customHeight="1" x14ac:dyDescent="0.2">
      <c r="A15" s="70" t="s">
        <v>869</v>
      </c>
      <c r="B15" s="50">
        <v>46149</v>
      </c>
      <c r="C15" s="268">
        <v>9500</v>
      </c>
      <c r="D15" s="66" t="s">
        <v>871</v>
      </c>
      <c r="E15" s="233"/>
      <c r="F15" s="233">
        <f t="shared" si="0"/>
        <v>20000</v>
      </c>
      <c r="G15" s="237">
        <v>501.2</v>
      </c>
      <c r="H15" s="234">
        <f t="shared" si="1"/>
        <v>1347.05</v>
      </c>
      <c r="I15" s="234">
        <f t="shared" si="2"/>
        <v>18652.949999999997</v>
      </c>
      <c r="J15" s="235"/>
    </row>
    <row r="16" spans="1:10" s="223" customFormat="1" ht="12.75" customHeight="1" x14ac:dyDescent="0.2">
      <c r="A16" s="70" t="s">
        <v>984</v>
      </c>
      <c r="B16" s="50">
        <v>46181</v>
      </c>
      <c r="C16" s="53" t="s">
        <v>261</v>
      </c>
      <c r="D16" s="144" t="s">
        <v>985</v>
      </c>
      <c r="E16" s="233"/>
      <c r="F16" s="233">
        <f t="shared" si="0"/>
        <v>20000</v>
      </c>
      <c r="G16" s="237">
        <v>217.04</v>
      </c>
      <c r="H16" s="234">
        <f t="shared" si="1"/>
        <v>1564.09</v>
      </c>
      <c r="I16" s="234">
        <f t="shared" si="2"/>
        <v>18435.909999999996</v>
      </c>
      <c r="J16" s="235"/>
    </row>
    <row r="17" spans="1:10" s="223" customFormat="1" ht="12.75" customHeight="1" x14ac:dyDescent="0.2">
      <c r="A17" s="70" t="s">
        <v>984</v>
      </c>
      <c r="B17" s="50">
        <v>46181</v>
      </c>
      <c r="C17" s="268">
        <v>9500</v>
      </c>
      <c r="D17" s="66" t="s">
        <v>986</v>
      </c>
      <c r="E17" s="233"/>
      <c r="F17" s="233">
        <f t="shared" si="0"/>
        <v>20000</v>
      </c>
      <c r="G17" s="237">
        <v>2658.8</v>
      </c>
      <c r="H17" s="234">
        <f t="shared" si="1"/>
        <v>4222.8900000000003</v>
      </c>
      <c r="I17" s="234">
        <f t="shared" si="2"/>
        <v>15777.109999999997</v>
      </c>
      <c r="J17" s="235"/>
    </row>
    <row r="18" spans="1:10" s="223" customFormat="1" ht="12.75" customHeight="1" x14ac:dyDescent="0.2">
      <c r="A18" s="70" t="s">
        <v>1186</v>
      </c>
      <c r="B18" s="50">
        <v>46211</v>
      </c>
      <c r="C18" s="53" t="s">
        <v>261</v>
      </c>
      <c r="D18" s="144" t="s">
        <v>1187</v>
      </c>
      <c r="E18" s="233"/>
      <c r="F18" s="233">
        <f t="shared" si="0"/>
        <v>20000</v>
      </c>
      <c r="G18" s="237">
        <v>302.45999999999998</v>
      </c>
      <c r="H18" s="234">
        <f t="shared" si="1"/>
        <v>4525.3500000000004</v>
      </c>
      <c r="I18" s="234">
        <f t="shared" si="2"/>
        <v>15474.649999999998</v>
      </c>
      <c r="J18" s="235"/>
    </row>
    <row r="19" spans="1:10" s="223" customFormat="1" ht="12.75" customHeight="1" x14ac:dyDescent="0.2">
      <c r="A19" s="70" t="s">
        <v>1186</v>
      </c>
      <c r="B19" s="50">
        <v>46211</v>
      </c>
      <c r="C19" s="268">
        <v>9500</v>
      </c>
      <c r="D19" s="66" t="s">
        <v>1188</v>
      </c>
      <c r="E19" s="233"/>
      <c r="F19" s="233">
        <f t="shared" si="0"/>
        <v>20000</v>
      </c>
      <c r="G19" s="237">
        <v>3490.5</v>
      </c>
      <c r="H19" s="234">
        <f t="shared" si="1"/>
        <v>8015.85</v>
      </c>
      <c r="I19" s="234">
        <f t="shared" si="2"/>
        <v>11984.149999999998</v>
      </c>
      <c r="J19" s="235"/>
    </row>
    <row r="20" spans="1:10" s="223" customFormat="1" ht="12.75" customHeight="1" x14ac:dyDescent="0.2">
      <c r="A20" s="70" t="s">
        <v>1265</v>
      </c>
      <c r="B20" s="50">
        <v>46218</v>
      </c>
      <c r="C20" s="53" t="s">
        <v>261</v>
      </c>
      <c r="D20" s="144" t="s">
        <v>1266</v>
      </c>
      <c r="E20" s="233"/>
      <c r="F20" s="233">
        <f t="shared" si="0"/>
        <v>20000</v>
      </c>
      <c r="G20" s="237">
        <v>121.65</v>
      </c>
      <c r="H20" s="234">
        <f t="shared" si="1"/>
        <v>8137.5</v>
      </c>
      <c r="I20" s="234">
        <f t="shared" si="2"/>
        <v>11862.499999999998</v>
      </c>
      <c r="J20" s="235"/>
    </row>
    <row r="21" spans="1:10" s="223" customFormat="1" ht="12.75" customHeight="1" x14ac:dyDescent="0.2">
      <c r="A21" s="70" t="s">
        <v>1436</v>
      </c>
      <c r="B21" s="365">
        <v>46241</v>
      </c>
      <c r="C21" s="53" t="s">
        <v>261</v>
      </c>
      <c r="D21" s="144" t="s">
        <v>1437</v>
      </c>
      <c r="E21" s="233"/>
      <c r="F21" s="233">
        <f t="shared" si="0"/>
        <v>20000</v>
      </c>
      <c r="G21" s="237">
        <v>156.97</v>
      </c>
      <c r="H21" s="234">
        <f t="shared" si="1"/>
        <v>8294.4699999999993</v>
      </c>
      <c r="I21" s="234">
        <f t="shared" si="2"/>
        <v>11705.529999999999</v>
      </c>
      <c r="J21" s="235"/>
    </row>
    <row r="22" spans="1:10" s="223" customFormat="1" ht="12.75" customHeight="1" x14ac:dyDescent="0.2">
      <c r="A22" s="70" t="s">
        <v>1436</v>
      </c>
      <c r="B22" s="365">
        <v>46241</v>
      </c>
      <c r="C22" s="268">
        <v>9500</v>
      </c>
      <c r="D22" s="66" t="s">
        <v>1438</v>
      </c>
      <c r="E22" s="233"/>
      <c r="F22" s="233">
        <f t="shared" si="0"/>
        <v>20000</v>
      </c>
      <c r="G22" s="237">
        <v>1685.3</v>
      </c>
      <c r="H22" s="234">
        <f t="shared" si="1"/>
        <v>9979.7699999999986</v>
      </c>
      <c r="I22" s="234">
        <f t="shared" si="2"/>
        <v>10020.23</v>
      </c>
      <c r="J22" s="235"/>
    </row>
    <row r="23" spans="1:10" s="223" customFormat="1" ht="12.75" customHeight="1" x14ac:dyDescent="0.2">
      <c r="A23" s="70" t="s">
        <v>1531</v>
      </c>
      <c r="B23" s="365">
        <v>46272</v>
      </c>
      <c r="C23" s="53" t="s">
        <v>261</v>
      </c>
      <c r="D23" s="144" t="s">
        <v>1532</v>
      </c>
      <c r="E23" s="233"/>
      <c r="F23" s="233">
        <f t="shared" si="0"/>
        <v>20000</v>
      </c>
      <c r="G23" s="237">
        <v>97.77</v>
      </c>
      <c r="H23" s="234">
        <f t="shared" si="1"/>
        <v>10077.539999999999</v>
      </c>
      <c r="I23" s="234">
        <f t="shared" si="2"/>
        <v>9922.4599999999991</v>
      </c>
      <c r="J23" s="235"/>
    </row>
    <row r="24" spans="1:10" s="223" customFormat="1" ht="12.75" customHeight="1" x14ac:dyDescent="0.2">
      <c r="A24" s="70" t="s">
        <v>1531</v>
      </c>
      <c r="B24" s="365">
        <v>46272</v>
      </c>
      <c r="C24" s="268">
        <v>9500</v>
      </c>
      <c r="D24" s="66" t="s">
        <v>1533</v>
      </c>
      <c r="E24" s="233"/>
      <c r="F24" s="233">
        <f t="shared" si="0"/>
        <v>20000</v>
      </c>
      <c r="G24" s="237">
        <v>951.3</v>
      </c>
      <c r="H24" s="234">
        <f t="shared" si="1"/>
        <v>11028.839999999998</v>
      </c>
      <c r="I24" s="234">
        <f t="shared" si="2"/>
        <v>8971.16</v>
      </c>
      <c r="J24" s="235"/>
    </row>
    <row r="25" spans="1:10" s="223" customFormat="1" ht="12.75" customHeight="1" x14ac:dyDescent="0.2">
      <c r="A25" s="70"/>
      <c r="B25" s="365"/>
      <c r="C25" s="268"/>
      <c r="D25" s="66"/>
      <c r="E25" s="233"/>
      <c r="F25" s="233">
        <f t="shared" si="0"/>
        <v>20000</v>
      </c>
      <c r="G25" s="237"/>
      <c r="H25" s="234">
        <f t="shared" si="1"/>
        <v>11028.839999999998</v>
      </c>
      <c r="I25" s="234">
        <f t="shared" si="2"/>
        <v>8971.16</v>
      </c>
      <c r="J25" s="235"/>
    </row>
    <row r="26" spans="1:10" s="223" customFormat="1" ht="12.75" customHeight="1" x14ac:dyDescent="0.2">
      <c r="A26" s="70"/>
      <c r="B26" s="365"/>
      <c r="C26" s="268"/>
      <c r="D26" s="66"/>
      <c r="E26" s="233"/>
      <c r="F26" s="233">
        <f t="shared" si="0"/>
        <v>20000</v>
      </c>
      <c r="G26" s="237"/>
      <c r="H26" s="234">
        <f t="shared" si="1"/>
        <v>11028.839999999998</v>
      </c>
      <c r="I26" s="234">
        <f t="shared" si="2"/>
        <v>8971.16</v>
      </c>
      <c r="J26" s="235"/>
    </row>
    <row r="27" spans="1:10" s="223" customFormat="1" ht="12.75" customHeight="1" x14ac:dyDescent="0.25">
      <c r="A27" s="241"/>
      <c r="B27" s="177"/>
      <c r="C27" s="177"/>
      <c r="D27" s="258"/>
      <c r="E27" s="233"/>
      <c r="F27" s="233">
        <f t="shared" si="0"/>
        <v>20000</v>
      </c>
      <c r="G27" s="234"/>
      <c r="H27" s="234">
        <f t="shared" si="1"/>
        <v>11028.839999999998</v>
      </c>
      <c r="I27" s="234">
        <f t="shared" si="2"/>
        <v>8971.16</v>
      </c>
      <c r="J27" s="235"/>
    </row>
    <row r="28" spans="1:10" s="223" customFormat="1" ht="12.75" customHeight="1" x14ac:dyDescent="0.25">
      <c r="A28" s="230"/>
      <c r="B28" s="231"/>
      <c r="C28" s="231"/>
      <c r="D28" s="240"/>
      <c r="E28" s="234"/>
      <c r="F28" s="234"/>
      <c r="G28" s="234"/>
      <c r="H28" s="234"/>
      <c r="I28" s="234"/>
      <c r="J28" s="235"/>
    </row>
    <row r="29" spans="1:10" s="223" customFormat="1" ht="12.75" customHeight="1" thickBot="1" x14ac:dyDescent="0.3">
      <c r="A29" s="230"/>
      <c r="B29" s="243"/>
      <c r="C29" s="243"/>
      <c r="D29" s="244" t="s">
        <v>24</v>
      </c>
      <c r="E29" s="245">
        <f>SUM(E9:E28)</f>
        <v>20000</v>
      </c>
      <c r="F29" s="245"/>
      <c r="G29" s="245">
        <f>SUM(G9:G28)</f>
        <v>11028.839999999998</v>
      </c>
      <c r="H29" s="245"/>
      <c r="I29" s="245">
        <f>E29-G29</f>
        <v>8971.1600000000017</v>
      </c>
      <c r="J29" s="235"/>
    </row>
    <row r="30" spans="1:10" s="223" customFormat="1" ht="12.75" customHeight="1" thickTop="1" x14ac:dyDescent="0.25"/>
    <row r="31" spans="1:10" s="223"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legacyDrawing r:id="rId2"/>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7B37D-AE90-48F8-87D9-D0E3058D6FC2}">
  <sheetPr>
    <pageSetUpPr fitToPage="1"/>
  </sheetPr>
  <dimension ref="A1:H23"/>
  <sheetViews>
    <sheetView zoomScaleNormal="100" workbookViewId="0">
      <selection activeCell="F27" sqref="F27"/>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54" bestFit="1" customWidth="1"/>
    <col min="6" max="6" width="14.85546875"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#9519.00'!B1</f>
        <v>HHS IMHI Infirmary Building Roof Repair</v>
      </c>
      <c r="B1" s="3"/>
      <c r="C1" s="3"/>
      <c r="D1" s="3"/>
      <c r="E1" s="4"/>
      <c r="F1" s="4"/>
      <c r="G1" s="4"/>
      <c r="H1" s="28"/>
    </row>
    <row r="2" spans="1:8" ht="15.75" x14ac:dyDescent="0.25">
      <c r="A2" s="6" t="str">
        <f>'RECAP #9519.00'!B2</f>
        <v>Project # 9519.00</v>
      </c>
      <c r="B2" s="5"/>
      <c r="C2" s="5"/>
      <c r="D2" s="5"/>
      <c r="E2" s="4"/>
      <c r="F2" s="4"/>
      <c r="G2" s="4"/>
      <c r="H2" s="28"/>
    </row>
    <row r="3" spans="1:8" ht="15.75" x14ac:dyDescent="0.25">
      <c r="A3" s="7" t="str">
        <f>'RECAP #9519.00'!B3</f>
        <v>Program code 951900</v>
      </c>
      <c r="B3" s="5"/>
      <c r="C3" s="5"/>
      <c r="D3" s="5"/>
      <c r="E3" s="8" t="str">
        <f>'RECAP #9519.00'!E3</f>
        <v>Major Program 4E02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729</v>
      </c>
      <c r="F6" s="35"/>
      <c r="G6" s="38"/>
      <c r="H6" s="39"/>
    </row>
    <row r="7" spans="1:8" ht="15.75" x14ac:dyDescent="0.25">
      <c r="A7" s="11" t="str">
        <f>'RECAP #9519.00'!B6</f>
        <v>Project Manager - James T.</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1495</v>
      </c>
      <c r="B9" s="177">
        <v>46268</v>
      </c>
      <c r="C9" s="241" t="s">
        <v>361</v>
      </c>
      <c r="D9" s="241" t="s">
        <v>362</v>
      </c>
      <c r="E9" s="38" t="s">
        <v>368</v>
      </c>
      <c r="F9" s="259" t="s">
        <v>1494</v>
      </c>
      <c r="G9" s="237">
        <v>235.76</v>
      </c>
      <c r="H9" s="260">
        <f>G9</f>
        <v>235.76</v>
      </c>
    </row>
    <row r="10" spans="1:8" s="223" customFormat="1" ht="12.75" customHeight="1" x14ac:dyDescent="0.2">
      <c r="A10" s="176" t="s">
        <v>1502</v>
      </c>
      <c r="B10" s="177">
        <v>46268</v>
      </c>
      <c r="C10" s="241" t="s">
        <v>361</v>
      </c>
      <c r="D10" s="241" t="s">
        <v>362</v>
      </c>
      <c r="E10" s="367" t="s">
        <v>1500</v>
      </c>
      <c r="F10" s="272" t="s">
        <v>1501</v>
      </c>
      <c r="G10" s="237">
        <v>2950</v>
      </c>
      <c r="H10" s="260">
        <f>H9+G10</f>
        <v>3185.76</v>
      </c>
    </row>
    <row r="11" spans="1:8" s="223" customFormat="1" ht="12.75" customHeight="1" x14ac:dyDescent="0.25">
      <c r="A11" s="241"/>
      <c r="B11" s="177"/>
      <c r="C11" s="177"/>
      <c r="D11" s="177"/>
      <c r="E11" s="258"/>
      <c r="F11" s="252"/>
      <c r="G11" s="378"/>
      <c r="H11" s="260">
        <f t="shared" ref="H11:H20" si="0">H10+G11</f>
        <v>3185.76</v>
      </c>
    </row>
    <row r="12" spans="1:8" s="223" customFormat="1" ht="12.75" customHeight="1" x14ac:dyDescent="0.25">
      <c r="A12" s="241" t="s">
        <v>2</v>
      </c>
      <c r="B12" s="177" t="s">
        <v>2</v>
      </c>
      <c r="C12" s="177"/>
      <c r="D12" s="177"/>
      <c r="E12" s="258" t="s">
        <v>2</v>
      </c>
      <c r="F12" s="252"/>
      <c r="G12" s="378"/>
      <c r="H12" s="260">
        <f t="shared" si="0"/>
        <v>3185.76</v>
      </c>
    </row>
    <row r="13" spans="1:8" s="223" customFormat="1" ht="12.75" customHeight="1" x14ac:dyDescent="0.25">
      <c r="A13" s="241" t="s">
        <v>2</v>
      </c>
      <c r="B13" s="177" t="s">
        <v>2</v>
      </c>
      <c r="C13" s="177"/>
      <c r="D13" s="177"/>
      <c r="E13" s="258" t="s">
        <v>2</v>
      </c>
      <c r="F13" s="252"/>
      <c r="G13" s="378"/>
      <c r="H13" s="260">
        <f t="shared" si="0"/>
        <v>3185.76</v>
      </c>
    </row>
    <row r="14" spans="1:8" s="223" customFormat="1" ht="12.75" customHeight="1" x14ac:dyDescent="0.25">
      <c r="A14" s="241"/>
      <c r="B14" s="177"/>
      <c r="C14" s="177"/>
      <c r="D14" s="177"/>
      <c r="E14" s="258"/>
      <c r="F14" s="252"/>
      <c r="G14" s="378"/>
      <c r="H14" s="260">
        <f t="shared" si="0"/>
        <v>3185.76</v>
      </c>
    </row>
    <row r="15" spans="1:8" s="223" customFormat="1" ht="12.75" customHeight="1" x14ac:dyDescent="0.25">
      <c r="A15" s="241"/>
      <c r="B15" s="177"/>
      <c r="C15" s="177"/>
      <c r="D15" s="177"/>
      <c r="E15" s="261"/>
      <c r="F15" s="252"/>
      <c r="G15" s="260"/>
      <c r="H15" s="260">
        <f t="shared" si="0"/>
        <v>3185.76</v>
      </c>
    </row>
    <row r="16" spans="1:8" s="223" customFormat="1" ht="12.75" customHeight="1" x14ac:dyDescent="0.25">
      <c r="A16" s="241"/>
      <c r="B16" s="177"/>
      <c r="C16" s="177"/>
      <c r="D16" s="177"/>
      <c r="E16" s="258"/>
      <c r="F16" s="252"/>
      <c r="G16" s="260"/>
      <c r="H16" s="260">
        <f t="shared" si="0"/>
        <v>3185.76</v>
      </c>
    </row>
    <row r="17" spans="1:8" s="223" customFormat="1" ht="12.75" customHeight="1" x14ac:dyDescent="0.25">
      <c r="A17" s="230"/>
      <c r="B17" s="177"/>
      <c r="C17" s="177"/>
      <c r="D17" s="177"/>
      <c r="E17" s="258"/>
      <c r="F17" s="252"/>
      <c r="G17" s="260"/>
      <c r="H17" s="260">
        <f t="shared" si="0"/>
        <v>3185.76</v>
      </c>
    </row>
    <row r="18" spans="1:8" s="223" customFormat="1" ht="12.75" customHeight="1" x14ac:dyDescent="0.25">
      <c r="A18" s="230"/>
      <c r="B18" s="177"/>
      <c r="C18" s="177"/>
      <c r="D18" s="177"/>
      <c r="E18" s="258"/>
      <c r="F18" s="252"/>
      <c r="G18" s="260"/>
      <c r="H18" s="260">
        <f t="shared" si="0"/>
        <v>3185.76</v>
      </c>
    </row>
    <row r="19" spans="1:8" s="223" customFormat="1" ht="12.75" customHeight="1" x14ac:dyDescent="0.25">
      <c r="A19" s="230"/>
      <c r="B19" s="177"/>
      <c r="C19" s="177"/>
      <c r="D19" s="177"/>
      <c r="E19" s="258"/>
      <c r="F19" s="252"/>
      <c r="G19" s="260"/>
      <c r="H19" s="260">
        <f t="shared" si="0"/>
        <v>3185.76</v>
      </c>
    </row>
    <row r="20" spans="1:8" s="223" customFormat="1" ht="12.75" customHeight="1" x14ac:dyDescent="0.25">
      <c r="A20" s="230"/>
      <c r="B20" s="177"/>
      <c r="C20" s="177"/>
      <c r="D20" s="177"/>
      <c r="E20" s="258"/>
      <c r="F20" s="252"/>
      <c r="G20" s="260"/>
      <c r="H20" s="260">
        <f t="shared" si="0"/>
        <v>3185.76</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3185.76</v>
      </c>
      <c r="H22" s="265"/>
    </row>
    <row r="23" spans="1:8" ht="15" customHeight="1" thickTop="1" x14ac:dyDescent="0.25"/>
  </sheetData>
  <pageMargins left="0.25" right="0.25" top="0.95" bottom="0.75" header="0.09" footer="0.3"/>
  <pageSetup scale="6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AE75F-C887-49DC-8227-211B8E18B557}">
  <sheetPr>
    <pageSetUpPr fitToPage="1"/>
  </sheetPr>
  <dimension ref="A1:I30"/>
  <sheetViews>
    <sheetView zoomScaleNormal="100" workbookViewId="0">
      <selection activeCell="F13" sqref="F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#9519.00'!B1</f>
        <v>HHS IMHI Infirmary Building Roof Repair</v>
      </c>
      <c r="B1" s="3"/>
      <c r="C1" s="4"/>
      <c r="D1" s="4"/>
      <c r="E1" s="4"/>
      <c r="F1" s="28"/>
      <c r="G1" s="28"/>
      <c r="H1" s="29"/>
      <c r="I1" s="29"/>
    </row>
    <row r="2" spans="1:9" ht="15.75" x14ac:dyDescent="0.25">
      <c r="A2" s="6" t="str">
        <f>'RECAP #9519.00'!B2</f>
        <v>Project # 9519.00</v>
      </c>
      <c r="B2" s="5"/>
      <c r="C2" s="4"/>
      <c r="D2" s="4"/>
      <c r="E2" s="4"/>
      <c r="F2" s="28"/>
      <c r="G2" s="28"/>
      <c r="H2" s="29"/>
      <c r="I2" s="29"/>
    </row>
    <row r="3" spans="1:9" ht="15.75" x14ac:dyDescent="0.25">
      <c r="A3" s="7" t="str">
        <f>'RECAP #9519.00'!B3</f>
        <v>Program code 951900</v>
      </c>
      <c r="B3" s="5"/>
      <c r="C3" s="4"/>
      <c r="D3" s="8" t="str">
        <f>'RECAP #9519.00'!E3</f>
        <v>Major Program 4E02</v>
      </c>
      <c r="E3" s="4"/>
      <c r="F3" s="28"/>
      <c r="G3" s="28"/>
      <c r="H3" s="29"/>
      <c r="I3" s="29"/>
    </row>
    <row r="4" spans="1:9" ht="15.75" x14ac:dyDescent="0.25">
      <c r="A4" s="30" t="s">
        <v>736</v>
      </c>
      <c r="B4" s="31"/>
      <c r="C4" s="32"/>
      <c r="D4" s="33" t="s">
        <v>737</v>
      </c>
      <c r="E4" s="28"/>
      <c r="F4" s="28"/>
      <c r="G4" s="28"/>
      <c r="H4" s="29"/>
      <c r="I4" s="29"/>
    </row>
    <row r="5" spans="1:9" ht="15.75" x14ac:dyDescent="0.25">
      <c r="A5" s="34" t="s">
        <v>115</v>
      </c>
      <c r="B5" s="35"/>
      <c r="C5" s="36"/>
      <c r="D5" s="37" t="s">
        <v>1000</v>
      </c>
      <c r="E5" s="38"/>
      <c r="F5" s="39"/>
      <c r="G5" s="39"/>
      <c r="H5" s="35"/>
      <c r="I5" s="29"/>
    </row>
    <row r="6" spans="1:9" ht="15.75" x14ac:dyDescent="0.25">
      <c r="A6" s="11" t="str">
        <f>'RECAP #9519.00'!B6</f>
        <v>Project Manager - James T.</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1001</v>
      </c>
      <c r="B9" s="177">
        <v>46188</v>
      </c>
      <c r="C9" s="231" t="s">
        <v>109</v>
      </c>
      <c r="D9" s="232">
        <v>27592</v>
      </c>
      <c r="E9" s="233">
        <f>D9</f>
        <v>27592</v>
      </c>
      <c r="F9" s="234"/>
      <c r="G9" s="234"/>
      <c r="H9" s="234">
        <f>E9</f>
        <v>27592</v>
      </c>
      <c r="I9" s="235"/>
    </row>
    <row r="10" spans="1:9" s="223" customFormat="1" ht="12.75" customHeight="1" x14ac:dyDescent="0.25">
      <c r="A10" s="328" t="s">
        <v>1170</v>
      </c>
      <c r="B10" s="335">
        <v>46209</v>
      </c>
      <c r="C10" s="330" t="s">
        <v>1171</v>
      </c>
      <c r="D10" s="331"/>
      <c r="E10" s="331">
        <f t="shared" ref="E10:E21" si="0">E9+D10</f>
        <v>27592</v>
      </c>
      <c r="F10" s="338">
        <v>10264.200000000001</v>
      </c>
      <c r="G10" s="332">
        <f t="shared" ref="G10:G21" si="1">G9+F10</f>
        <v>10264.200000000001</v>
      </c>
      <c r="H10" s="332">
        <f t="shared" ref="H10:H21" si="2">H9-F10+D10</f>
        <v>17327.8</v>
      </c>
      <c r="I10" s="333" t="s">
        <v>1285</v>
      </c>
    </row>
    <row r="11" spans="1:9" s="223" customFormat="1" ht="12.75" customHeight="1" x14ac:dyDescent="0.25">
      <c r="A11" s="230" t="s">
        <v>1330</v>
      </c>
      <c r="B11" s="177">
        <v>46225</v>
      </c>
      <c r="C11" s="231" t="s">
        <v>1286</v>
      </c>
      <c r="D11" s="232">
        <v>0</v>
      </c>
      <c r="E11" s="233">
        <f t="shared" si="0"/>
        <v>27592</v>
      </c>
      <c r="F11" s="238"/>
      <c r="G11" s="234">
        <f t="shared" si="1"/>
        <v>10264.200000000001</v>
      </c>
      <c r="H11" s="234">
        <f t="shared" si="2"/>
        <v>17327.8</v>
      </c>
      <c r="I11" s="235"/>
    </row>
    <row r="12" spans="1:9" s="223" customFormat="1" ht="12.75" customHeight="1" x14ac:dyDescent="0.25">
      <c r="A12" s="230" t="s">
        <v>1413</v>
      </c>
      <c r="B12" s="177">
        <v>46245</v>
      </c>
      <c r="C12" s="231" t="s">
        <v>1414</v>
      </c>
      <c r="D12" s="233"/>
      <c r="E12" s="233">
        <f t="shared" si="0"/>
        <v>27592</v>
      </c>
      <c r="F12" s="237">
        <v>6994.55</v>
      </c>
      <c r="G12" s="234">
        <f t="shared" si="1"/>
        <v>17258.75</v>
      </c>
      <c r="H12" s="234">
        <f t="shared" si="2"/>
        <v>10333.25</v>
      </c>
      <c r="I12" s="235"/>
    </row>
    <row r="13" spans="1:9" s="223" customFormat="1" ht="12.75" customHeight="1" x14ac:dyDescent="0.25">
      <c r="A13" s="230" t="s">
        <v>1523</v>
      </c>
      <c r="B13" s="177">
        <v>46273</v>
      </c>
      <c r="C13" s="231" t="s">
        <v>1524</v>
      </c>
      <c r="D13" s="233"/>
      <c r="E13" s="233">
        <f t="shared" si="0"/>
        <v>27592</v>
      </c>
      <c r="F13" s="237">
        <v>2883.25</v>
      </c>
      <c r="G13" s="234">
        <f t="shared" si="1"/>
        <v>20142</v>
      </c>
      <c r="H13" s="234">
        <f t="shared" si="2"/>
        <v>7450</v>
      </c>
      <c r="I13" s="235"/>
    </row>
    <row r="14" spans="1:9" s="223" customFormat="1" ht="12.75" customHeight="1" x14ac:dyDescent="0.25">
      <c r="A14" s="230"/>
      <c r="B14" s="177"/>
      <c r="C14" s="231"/>
      <c r="D14" s="233"/>
      <c r="E14" s="233">
        <f t="shared" si="0"/>
        <v>27592</v>
      </c>
      <c r="F14" s="234"/>
      <c r="G14" s="234">
        <f t="shared" si="1"/>
        <v>20142</v>
      </c>
      <c r="H14" s="234">
        <f t="shared" si="2"/>
        <v>7450</v>
      </c>
      <c r="I14" s="235"/>
    </row>
    <row r="15" spans="1:9" s="223" customFormat="1" ht="12.75" customHeight="1" x14ac:dyDescent="0.25">
      <c r="A15" s="230"/>
      <c r="B15" s="177"/>
      <c r="C15" s="231"/>
      <c r="D15" s="233"/>
      <c r="E15" s="233">
        <f t="shared" si="0"/>
        <v>27592</v>
      </c>
      <c r="F15" s="238"/>
      <c r="G15" s="234">
        <f t="shared" si="1"/>
        <v>20142</v>
      </c>
      <c r="H15" s="234">
        <f t="shared" si="2"/>
        <v>7450</v>
      </c>
      <c r="I15" s="235"/>
    </row>
    <row r="16" spans="1:9" s="223" customFormat="1" ht="12.75" customHeight="1" x14ac:dyDescent="0.25">
      <c r="A16" s="230"/>
      <c r="B16" s="177"/>
      <c r="C16" s="231"/>
      <c r="D16" s="233"/>
      <c r="E16" s="233">
        <f t="shared" si="0"/>
        <v>27592</v>
      </c>
      <c r="F16" s="238"/>
      <c r="G16" s="234">
        <f t="shared" si="1"/>
        <v>20142</v>
      </c>
      <c r="H16" s="234">
        <f t="shared" si="2"/>
        <v>7450</v>
      </c>
      <c r="I16" s="235"/>
    </row>
    <row r="17" spans="1:9" s="223" customFormat="1" ht="12.75" customHeight="1" x14ac:dyDescent="0.25">
      <c r="A17" s="230"/>
      <c r="B17" s="177"/>
      <c r="C17" s="231"/>
      <c r="D17" s="233"/>
      <c r="E17" s="233">
        <f t="shared" si="0"/>
        <v>27592</v>
      </c>
      <c r="F17" s="238"/>
      <c r="G17" s="234">
        <f t="shared" si="1"/>
        <v>20142</v>
      </c>
      <c r="H17" s="234">
        <f t="shared" si="2"/>
        <v>7450</v>
      </c>
      <c r="I17" s="235"/>
    </row>
    <row r="18" spans="1:9" s="223" customFormat="1" ht="12.75" customHeight="1" x14ac:dyDescent="0.25">
      <c r="A18" s="230"/>
      <c r="B18" s="177"/>
      <c r="C18" s="231"/>
      <c r="D18" s="233"/>
      <c r="E18" s="233">
        <f t="shared" si="0"/>
        <v>27592</v>
      </c>
      <c r="F18" s="238"/>
      <c r="G18" s="234">
        <f t="shared" si="1"/>
        <v>20142</v>
      </c>
      <c r="H18" s="234">
        <f t="shared" si="2"/>
        <v>7450</v>
      </c>
      <c r="I18" s="235"/>
    </row>
    <row r="19" spans="1:9" s="223" customFormat="1" ht="12.75" customHeight="1" x14ac:dyDescent="0.25">
      <c r="A19" s="230"/>
      <c r="B19" s="177"/>
      <c r="C19" s="231"/>
      <c r="D19" s="233"/>
      <c r="E19" s="233">
        <f t="shared" si="0"/>
        <v>27592</v>
      </c>
      <c r="F19" s="234"/>
      <c r="G19" s="234">
        <f t="shared" si="1"/>
        <v>20142</v>
      </c>
      <c r="H19" s="234">
        <f t="shared" si="2"/>
        <v>7450</v>
      </c>
      <c r="I19" s="235"/>
    </row>
    <row r="20" spans="1:9" s="223" customFormat="1" ht="12.75" customHeight="1" x14ac:dyDescent="0.25">
      <c r="A20" s="230"/>
      <c r="B20" s="177"/>
      <c r="C20" s="231"/>
      <c r="D20" s="233"/>
      <c r="E20" s="233">
        <f t="shared" si="0"/>
        <v>27592</v>
      </c>
      <c r="F20" s="234"/>
      <c r="G20" s="234">
        <f t="shared" si="1"/>
        <v>20142</v>
      </c>
      <c r="H20" s="234">
        <f t="shared" si="2"/>
        <v>7450</v>
      </c>
      <c r="I20" s="235"/>
    </row>
    <row r="21" spans="1:9" s="223" customFormat="1" ht="12.75" customHeight="1" x14ac:dyDescent="0.25">
      <c r="A21" s="230"/>
      <c r="B21" s="177"/>
      <c r="C21" s="239"/>
      <c r="D21" s="233"/>
      <c r="E21" s="233">
        <f t="shared" si="0"/>
        <v>27592</v>
      </c>
      <c r="F21" s="234"/>
      <c r="G21" s="234">
        <f t="shared" si="1"/>
        <v>20142</v>
      </c>
      <c r="H21" s="234">
        <f t="shared" si="2"/>
        <v>7450</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27592</v>
      </c>
      <c r="E23" s="245"/>
      <c r="F23" s="245">
        <f>SUM(F9:F22)</f>
        <v>20142</v>
      </c>
      <c r="G23" s="245"/>
      <c r="H23" s="245">
        <f>D23-F23</f>
        <v>7450</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399</v>
      </c>
      <c r="D26" s="254">
        <v>17107</v>
      </c>
      <c r="E26" s="254"/>
      <c r="F26" s="254">
        <f>10264.2+6842.8</f>
        <v>17107</v>
      </c>
      <c r="G26" s="254"/>
      <c r="H26" s="254">
        <f>D26-F26</f>
        <v>0</v>
      </c>
      <c r="I26" s="235"/>
    </row>
    <row r="27" spans="1:9" s="223" customFormat="1" ht="12.75" customHeight="1" x14ac:dyDescent="0.25">
      <c r="A27" s="230"/>
      <c r="B27" s="231"/>
      <c r="C27" s="253" t="s">
        <v>400</v>
      </c>
      <c r="D27" s="254">
        <v>3035</v>
      </c>
      <c r="E27" s="254"/>
      <c r="F27" s="254">
        <f>151.75+2883.25</f>
        <v>3035</v>
      </c>
      <c r="G27" s="254"/>
      <c r="H27" s="254">
        <f t="shared" ref="H27:H28" si="3">D27-F27</f>
        <v>0</v>
      </c>
      <c r="I27" s="235"/>
    </row>
    <row r="28" spans="1:9" s="223" customFormat="1" ht="12.75" customHeight="1" x14ac:dyDescent="0.25">
      <c r="A28" s="230"/>
      <c r="B28" s="231"/>
      <c r="C28" s="253" t="s">
        <v>122</v>
      </c>
      <c r="D28" s="254">
        <v>7450</v>
      </c>
      <c r="E28" s="254"/>
      <c r="F28" s="254"/>
      <c r="G28" s="254"/>
      <c r="H28" s="254">
        <f t="shared" si="3"/>
        <v>7450</v>
      </c>
      <c r="I28" s="235"/>
    </row>
    <row r="29" spans="1:9" s="223" customFormat="1" ht="12.75" customHeight="1" thickBot="1" x14ac:dyDescent="0.3">
      <c r="A29" s="230"/>
      <c r="B29" s="231"/>
      <c r="C29" s="255" t="s">
        <v>67</v>
      </c>
      <c r="D29" s="256">
        <f>SUM(D26:D28)</f>
        <v>27592</v>
      </c>
      <c r="E29" s="257"/>
      <c r="F29" s="256">
        <f>SUM(F26:F28)</f>
        <v>20142</v>
      </c>
      <c r="G29" s="257"/>
      <c r="H29" s="256">
        <f>SUM(H26:H28)</f>
        <v>7450</v>
      </c>
      <c r="I29" s="235"/>
    </row>
    <row r="30" spans="1:9" s="223" customFormat="1" ht="12.75" customHeight="1" thickTop="1" x14ac:dyDescent="0.25"/>
  </sheetData>
  <conditionalFormatting sqref="I8:I9 I11:I23">
    <cfRule type="cellIs" dxfId="14"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FC3E6-D055-4E3F-B781-8B097421F3AA}">
  <sheetPr>
    <pageSetUpPr fitToPage="1"/>
  </sheetPr>
  <dimension ref="A1:I29"/>
  <sheetViews>
    <sheetView zoomScaleNormal="100" workbookViewId="0">
      <selection activeCell="C17" sqref="C1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#9519.00'!B1</f>
        <v>HHS IMHI Infirmary Building Roof Repair</v>
      </c>
      <c r="B1" s="3"/>
      <c r="C1" s="4"/>
      <c r="D1" s="4"/>
      <c r="E1" s="4"/>
      <c r="F1" s="28"/>
      <c r="G1" s="28"/>
      <c r="H1" s="29"/>
      <c r="I1" s="29"/>
    </row>
    <row r="2" spans="1:9" ht="15.75" x14ac:dyDescent="0.25">
      <c r="A2" s="6" t="str">
        <f>'RECAP #9519.00'!B2</f>
        <v>Project # 9519.00</v>
      </c>
      <c r="B2" s="5"/>
      <c r="C2" s="4"/>
      <c r="D2" s="4"/>
      <c r="E2" s="4"/>
      <c r="F2" s="28"/>
      <c r="G2" s="28"/>
      <c r="H2" s="29"/>
      <c r="I2" s="29"/>
    </row>
    <row r="3" spans="1:9" ht="15.75" x14ac:dyDescent="0.25">
      <c r="A3" s="7" t="str">
        <f>'RECAP #9519.00'!B3</f>
        <v>Program code 951900</v>
      </c>
      <c r="B3" s="5"/>
      <c r="C3" s="4"/>
      <c r="D3" s="8" t="str">
        <f>'RECAP #9519.00'!E3</f>
        <v>Major Program 4E02</v>
      </c>
      <c r="E3" s="4"/>
      <c r="F3" s="28"/>
      <c r="G3" s="28"/>
      <c r="H3" s="29"/>
      <c r="I3" s="29"/>
    </row>
    <row r="4" spans="1:9" ht="15.75" x14ac:dyDescent="0.25">
      <c r="A4" s="30" t="s">
        <v>826</v>
      </c>
      <c r="B4" s="31"/>
      <c r="C4" s="32"/>
      <c r="D4" s="33" t="s">
        <v>279</v>
      </c>
      <c r="E4" s="28"/>
      <c r="F4" s="28"/>
      <c r="G4" s="28"/>
      <c r="H4" s="29"/>
      <c r="I4" s="29"/>
    </row>
    <row r="5" spans="1:9" ht="15.75" x14ac:dyDescent="0.25">
      <c r="A5" s="34" t="s">
        <v>104</v>
      </c>
      <c r="B5" s="35"/>
      <c r="C5" s="36"/>
      <c r="D5" s="37" t="s">
        <v>280</v>
      </c>
      <c r="E5" s="38"/>
      <c r="F5" s="39"/>
      <c r="G5" s="39"/>
      <c r="H5" s="35"/>
      <c r="I5" s="29"/>
    </row>
    <row r="6" spans="1:9" ht="15.75" x14ac:dyDescent="0.25">
      <c r="A6" s="11" t="str">
        <f>'RECAP #9519.00'!B6</f>
        <v>Project Manager - James T.</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1522</v>
      </c>
      <c r="B9" s="177">
        <v>46273</v>
      </c>
      <c r="C9" s="231" t="s">
        <v>109</v>
      </c>
      <c r="D9" s="232">
        <v>28441.040000000001</v>
      </c>
      <c r="E9" s="233">
        <f>D9</f>
        <v>28441.040000000001</v>
      </c>
      <c r="F9" s="234"/>
      <c r="G9" s="234"/>
      <c r="H9" s="234">
        <f>E9</f>
        <v>28441.040000000001</v>
      </c>
      <c r="I9" s="235"/>
    </row>
    <row r="10" spans="1:9" s="223" customFormat="1" ht="12.75" customHeight="1" x14ac:dyDescent="0.25">
      <c r="A10" s="230"/>
      <c r="B10" s="236"/>
      <c r="C10" s="231"/>
      <c r="D10" s="233"/>
      <c r="E10" s="233">
        <f t="shared" ref="E10:E21" si="0">E9+D10</f>
        <v>28441.040000000001</v>
      </c>
      <c r="F10" s="237"/>
      <c r="G10" s="234">
        <f t="shared" ref="G10:G21" si="1">G9+F10</f>
        <v>0</v>
      </c>
      <c r="H10" s="234">
        <f t="shared" ref="H10:H21" si="2">H9-F10+D10</f>
        <v>28441.040000000001</v>
      </c>
      <c r="I10" s="235"/>
    </row>
    <row r="11" spans="1:9" s="223" customFormat="1" ht="12.75" customHeight="1" x14ac:dyDescent="0.25">
      <c r="A11" s="230"/>
      <c r="B11" s="177"/>
      <c r="C11" s="231"/>
      <c r="D11" s="233"/>
      <c r="E11" s="233">
        <f t="shared" si="0"/>
        <v>28441.040000000001</v>
      </c>
      <c r="F11" s="237"/>
      <c r="G11" s="234">
        <f t="shared" si="1"/>
        <v>0</v>
      </c>
      <c r="H11" s="234">
        <f t="shared" si="2"/>
        <v>28441.040000000001</v>
      </c>
      <c r="I11" s="235"/>
    </row>
    <row r="12" spans="1:9" s="223" customFormat="1" ht="12.75" customHeight="1" x14ac:dyDescent="0.25">
      <c r="A12" s="230"/>
      <c r="B12" s="177"/>
      <c r="C12" s="231"/>
      <c r="D12" s="233"/>
      <c r="E12" s="233">
        <f t="shared" si="0"/>
        <v>28441.040000000001</v>
      </c>
      <c r="F12" s="237"/>
      <c r="G12" s="234">
        <f t="shared" si="1"/>
        <v>0</v>
      </c>
      <c r="H12" s="234">
        <f t="shared" si="2"/>
        <v>28441.040000000001</v>
      </c>
      <c r="I12" s="298"/>
    </row>
    <row r="13" spans="1:9" s="223" customFormat="1" ht="12.75" customHeight="1" x14ac:dyDescent="0.25">
      <c r="A13" s="230"/>
      <c r="B13" s="177"/>
      <c r="C13" s="231"/>
      <c r="D13" s="232"/>
      <c r="E13" s="233">
        <f t="shared" si="0"/>
        <v>28441.040000000001</v>
      </c>
      <c r="F13" s="238"/>
      <c r="G13" s="234">
        <f t="shared" si="1"/>
        <v>0</v>
      </c>
      <c r="H13" s="234">
        <f t="shared" si="2"/>
        <v>28441.040000000001</v>
      </c>
      <c r="I13" s="235"/>
    </row>
    <row r="14" spans="1:9" s="223" customFormat="1" ht="12.75" customHeight="1" x14ac:dyDescent="0.25">
      <c r="A14" s="230"/>
      <c r="B14" s="177"/>
      <c r="C14" s="231"/>
      <c r="D14" s="233"/>
      <c r="E14" s="233">
        <f t="shared" si="0"/>
        <v>28441.040000000001</v>
      </c>
      <c r="F14" s="237"/>
      <c r="G14" s="234">
        <f t="shared" si="1"/>
        <v>0</v>
      </c>
      <c r="H14" s="234">
        <f t="shared" si="2"/>
        <v>28441.040000000001</v>
      </c>
      <c r="I14" s="235"/>
    </row>
    <row r="15" spans="1:9" s="223" customFormat="1" ht="12.75" customHeight="1" x14ac:dyDescent="0.25">
      <c r="A15" s="230"/>
      <c r="B15" s="177"/>
      <c r="C15" s="231"/>
      <c r="D15" s="233"/>
      <c r="E15" s="233">
        <f t="shared" si="0"/>
        <v>28441.040000000001</v>
      </c>
      <c r="F15" s="238"/>
      <c r="G15" s="234">
        <f t="shared" si="1"/>
        <v>0</v>
      </c>
      <c r="H15" s="234">
        <f t="shared" si="2"/>
        <v>28441.040000000001</v>
      </c>
      <c r="I15" s="235"/>
    </row>
    <row r="16" spans="1:9" s="223" customFormat="1" ht="12.75" customHeight="1" x14ac:dyDescent="0.25">
      <c r="A16" s="230"/>
      <c r="B16" s="177"/>
      <c r="C16" s="231"/>
      <c r="D16" s="233"/>
      <c r="E16" s="233">
        <f t="shared" si="0"/>
        <v>28441.040000000001</v>
      </c>
      <c r="F16" s="238"/>
      <c r="G16" s="234">
        <f t="shared" si="1"/>
        <v>0</v>
      </c>
      <c r="H16" s="234">
        <f t="shared" si="2"/>
        <v>28441.040000000001</v>
      </c>
      <c r="I16" s="235"/>
    </row>
    <row r="17" spans="1:9" s="223" customFormat="1" ht="12.75" customHeight="1" x14ac:dyDescent="0.25">
      <c r="A17" s="230"/>
      <c r="B17" s="177"/>
      <c r="C17" s="231"/>
      <c r="D17" s="233"/>
      <c r="E17" s="233">
        <f t="shared" si="0"/>
        <v>28441.040000000001</v>
      </c>
      <c r="F17" s="238"/>
      <c r="G17" s="234">
        <f t="shared" si="1"/>
        <v>0</v>
      </c>
      <c r="H17" s="234">
        <f t="shared" si="2"/>
        <v>28441.040000000001</v>
      </c>
      <c r="I17" s="235"/>
    </row>
    <row r="18" spans="1:9" s="223" customFormat="1" ht="12.75" customHeight="1" x14ac:dyDescent="0.25">
      <c r="A18" s="230"/>
      <c r="B18" s="177"/>
      <c r="C18" s="231"/>
      <c r="D18" s="233"/>
      <c r="E18" s="233">
        <f t="shared" si="0"/>
        <v>28441.040000000001</v>
      </c>
      <c r="F18" s="238"/>
      <c r="G18" s="234">
        <f t="shared" si="1"/>
        <v>0</v>
      </c>
      <c r="H18" s="234">
        <f t="shared" si="2"/>
        <v>28441.040000000001</v>
      </c>
      <c r="I18" s="235"/>
    </row>
    <row r="19" spans="1:9" s="223" customFormat="1" ht="12.75" customHeight="1" x14ac:dyDescent="0.25">
      <c r="A19" s="230"/>
      <c r="B19" s="177"/>
      <c r="C19" s="231"/>
      <c r="D19" s="233"/>
      <c r="E19" s="233">
        <f t="shared" si="0"/>
        <v>28441.040000000001</v>
      </c>
      <c r="F19" s="234"/>
      <c r="G19" s="234">
        <f t="shared" si="1"/>
        <v>0</v>
      </c>
      <c r="H19" s="234">
        <f t="shared" si="2"/>
        <v>28441.040000000001</v>
      </c>
      <c r="I19" s="235"/>
    </row>
    <row r="20" spans="1:9" s="223" customFormat="1" ht="12.75" customHeight="1" x14ac:dyDescent="0.25">
      <c r="A20" s="230"/>
      <c r="B20" s="177"/>
      <c r="C20" s="231"/>
      <c r="D20" s="233"/>
      <c r="E20" s="233">
        <f t="shared" si="0"/>
        <v>28441.040000000001</v>
      </c>
      <c r="F20" s="234"/>
      <c r="G20" s="234">
        <f t="shared" si="1"/>
        <v>0</v>
      </c>
      <c r="H20" s="234">
        <f t="shared" si="2"/>
        <v>28441.040000000001</v>
      </c>
      <c r="I20" s="235"/>
    </row>
    <row r="21" spans="1:9" s="223" customFormat="1" ht="12.75" customHeight="1" x14ac:dyDescent="0.25">
      <c r="A21" s="230"/>
      <c r="B21" s="177"/>
      <c r="C21" s="239"/>
      <c r="D21" s="233"/>
      <c r="E21" s="233">
        <f t="shared" si="0"/>
        <v>28441.040000000001</v>
      </c>
      <c r="F21" s="234"/>
      <c r="G21" s="234">
        <f t="shared" si="1"/>
        <v>0</v>
      </c>
      <c r="H21" s="234">
        <f t="shared" si="2"/>
        <v>28441.040000000001</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28441.040000000001</v>
      </c>
      <c r="E23" s="245"/>
      <c r="F23" s="245">
        <f>SUM(F9:F22)</f>
        <v>0</v>
      </c>
      <c r="G23" s="245"/>
      <c r="H23" s="245">
        <f>D23-F23</f>
        <v>28441.040000000001</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27727.040000000001</v>
      </c>
      <c r="E26" s="254"/>
      <c r="F26" s="254"/>
      <c r="G26" s="254"/>
      <c r="H26" s="254">
        <f>D26-F26</f>
        <v>27727.040000000001</v>
      </c>
      <c r="I26" s="235"/>
    </row>
    <row r="27" spans="1:9" s="223" customFormat="1" ht="12.75" customHeight="1" x14ac:dyDescent="0.25">
      <c r="A27" s="230"/>
      <c r="B27" s="231"/>
      <c r="C27" s="253" t="s">
        <v>111</v>
      </c>
      <c r="D27" s="254">
        <v>714</v>
      </c>
      <c r="E27" s="254"/>
      <c r="F27" s="254"/>
      <c r="G27" s="254"/>
      <c r="H27" s="254">
        <f>D27-F27</f>
        <v>714</v>
      </c>
      <c r="I27" s="235"/>
    </row>
    <row r="28" spans="1:9" s="223" customFormat="1" ht="12.75" customHeight="1" thickBot="1" x14ac:dyDescent="0.3">
      <c r="A28" s="230"/>
      <c r="B28" s="231"/>
      <c r="C28" s="255" t="s">
        <v>67</v>
      </c>
      <c r="D28" s="256">
        <f>SUM(D26:D27)</f>
        <v>28441.040000000001</v>
      </c>
      <c r="E28" s="257"/>
      <c r="F28" s="256">
        <f>SUM(F26:F27)</f>
        <v>0</v>
      </c>
      <c r="G28" s="257"/>
      <c r="H28" s="256">
        <f>SUM(H26:H27)</f>
        <v>28441.040000000001</v>
      </c>
      <c r="I28" s="235"/>
    </row>
    <row r="29" spans="1:9" s="223" customFormat="1" ht="12.75" customHeight="1" thickTop="1" x14ac:dyDescent="0.25"/>
  </sheetData>
  <conditionalFormatting sqref="I8:I11 I13:I23">
    <cfRule type="cellIs" dxfId="13"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72168-D52D-4FBD-A780-4C28DB193213}">
  <sheetPr>
    <pageSetUpPr fitToPage="1"/>
  </sheetPr>
  <dimension ref="A1:I30"/>
  <sheetViews>
    <sheetView topLeftCell="A2" zoomScaleNormal="100" workbookViewId="0">
      <selection activeCell="J20" sqref="J20"/>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#9519.00'!B1</f>
        <v>HHS IMHI Infirmary Building Roof Repair</v>
      </c>
      <c r="B1" s="3"/>
      <c r="C1" s="4"/>
      <c r="D1" s="4"/>
      <c r="E1" s="4"/>
      <c r="F1" s="28"/>
      <c r="G1" s="28"/>
      <c r="H1" s="29"/>
      <c r="I1" s="29"/>
    </row>
    <row r="2" spans="1:9" ht="15.75" x14ac:dyDescent="0.25">
      <c r="A2" s="6" t="str">
        <f>'RECAP #9519.00'!B2</f>
        <v>Project # 9519.00</v>
      </c>
      <c r="B2" s="5"/>
      <c r="C2" s="4"/>
      <c r="D2" s="4"/>
      <c r="E2" s="4"/>
      <c r="F2" s="28"/>
      <c r="G2" s="28"/>
      <c r="H2" s="29"/>
      <c r="I2" s="29"/>
    </row>
    <row r="3" spans="1:9" ht="15.75" x14ac:dyDescent="0.25">
      <c r="A3" s="7" t="str">
        <f>'RECAP #9519.00'!B3</f>
        <v>Program code 951900</v>
      </c>
      <c r="B3" s="5"/>
      <c r="C3" s="4"/>
      <c r="D3" s="8" t="str">
        <f>'RECAP #9519.00'!E3</f>
        <v>Major Program 4E02</v>
      </c>
      <c r="E3" s="4"/>
      <c r="F3" s="28"/>
      <c r="G3" s="28"/>
      <c r="H3" s="29"/>
      <c r="I3" s="29"/>
    </row>
    <row r="4" spans="1:9" ht="15.75" x14ac:dyDescent="0.25">
      <c r="A4" s="30" t="s">
        <v>1107</v>
      </c>
      <c r="B4" s="31"/>
      <c r="C4" s="32"/>
      <c r="D4" s="33" t="s">
        <v>1108</v>
      </c>
      <c r="E4" s="28"/>
      <c r="F4" s="28"/>
      <c r="G4" s="28"/>
      <c r="H4" s="29"/>
      <c r="I4" s="29"/>
    </row>
    <row r="5" spans="1:9" ht="15.75" x14ac:dyDescent="0.25">
      <c r="A5" s="34" t="s">
        <v>104</v>
      </c>
      <c r="B5" s="35"/>
      <c r="C5" s="36"/>
      <c r="D5" s="37" t="s">
        <v>1109</v>
      </c>
      <c r="E5" s="38"/>
      <c r="F5" s="39"/>
      <c r="G5" s="39"/>
      <c r="H5" s="35"/>
      <c r="I5" s="29"/>
    </row>
    <row r="6" spans="1:9" ht="15.75" x14ac:dyDescent="0.25">
      <c r="A6" s="11" t="str">
        <f>'RECAP #9519.00'!B6</f>
        <v>Project Manager - James T.</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1548</v>
      </c>
      <c r="B9" s="177">
        <v>46280</v>
      </c>
      <c r="C9" s="231" t="s">
        <v>109</v>
      </c>
      <c r="D9" s="232">
        <v>3248.19</v>
      </c>
      <c r="E9" s="233">
        <f>D9</f>
        <v>3248.19</v>
      </c>
      <c r="F9" s="234"/>
      <c r="G9" s="234"/>
      <c r="H9" s="234">
        <f>E9</f>
        <v>3248.19</v>
      </c>
      <c r="I9" s="235"/>
    </row>
    <row r="10" spans="1:9" s="223" customFormat="1" ht="12.75" customHeight="1" x14ac:dyDescent="0.25">
      <c r="A10" s="230"/>
      <c r="B10" s="236"/>
      <c r="C10" s="231"/>
      <c r="D10" s="233"/>
      <c r="E10" s="233">
        <f t="shared" ref="E10:E21" si="0">E9+D10</f>
        <v>3248.19</v>
      </c>
      <c r="F10" s="237"/>
      <c r="G10" s="234">
        <f t="shared" ref="G10:G21" si="1">G9+F10</f>
        <v>0</v>
      </c>
      <c r="H10" s="234">
        <f t="shared" ref="H10:H21" si="2">H9-F10+D10</f>
        <v>3248.19</v>
      </c>
      <c r="I10" s="235"/>
    </row>
    <row r="11" spans="1:9" s="223" customFormat="1" ht="12.75" customHeight="1" x14ac:dyDescent="0.25">
      <c r="A11" s="230"/>
      <c r="B11" s="177"/>
      <c r="C11" s="231"/>
      <c r="D11" s="233"/>
      <c r="E11" s="233">
        <f t="shared" si="0"/>
        <v>3248.19</v>
      </c>
      <c r="F11" s="237"/>
      <c r="G11" s="234">
        <f t="shared" si="1"/>
        <v>0</v>
      </c>
      <c r="H11" s="234">
        <f t="shared" si="2"/>
        <v>3248.19</v>
      </c>
      <c r="I11" s="235"/>
    </row>
    <row r="12" spans="1:9" s="223" customFormat="1" ht="12.75" customHeight="1" x14ac:dyDescent="0.25">
      <c r="A12" s="230"/>
      <c r="B12" s="177"/>
      <c r="C12" s="231"/>
      <c r="D12" s="233"/>
      <c r="E12" s="233">
        <f t="shared" si="0"/>
        <v>3248.19</v>
      </c>
      <c r="F12" s="237"/>
      <c r="G12" s="234">
        <f t="shared" si="1"/>
        <v>0</v>
      </c>
      <c r="H12" s="234">
        <f t="shared" si="2"/>
        <v>3248.19</v>
      </c>
      <c r="I12" s="298"/>
    </row>
    <row r="13" spans="1:9" s="223" customFormat="1" ht="12.75" customHeight="1" x14ac:dyDescent="0.25">
      <c r="A13" s="230"/>
      <c r="B13" s="177"/>
      <c r="C13" s="231"/>
      <c r="D13" s="232"/>
      <c r="E13" s="233">
        <f t="shared" si="0"/>
        <v>3248.19</v>
      </c>
      <c r="F13" s="238"/>
      <c r="G13" s="234">
        <f t="shared" si="1"/>
        <v>0</v>
      </c>
      <c r="H13" s="234">
        <f t="shared" si="2"/>
        <v>3248.19</v>
      </c>
      <c r="I13" s="235"/>
    </row>
    <row r="14" spans="1:9" s="223" customFormat="1" ht="12.75" customHeight="1" x14ac:dyDescent="0.25">
      <c r="A14" s="230"/>
      <c r="B14" s="177"/>
      <c r="C14" s="231"/>
      <c r="D14" s="233"/>
      <c r="E14" s="233">
        <f t="shared" si="0"/>
        <v>3248.19</v>
      </c>
      <c r="F14" s="237"/>
      <c r="G14" s="234">
        <f t="shared" si="1"/>
        <v>0</v>
      </c>
      <c r="H14" s="234">
        <f t="shared" si="2"/>
        <v>3248.19</v>
      </c>
      <c r="I14" s="235"/>
    </row>
    <row r="15" spans="1:9" s="223" customFormat="1" ht="12.75" customHeight="1" x14ac:dyDescent="0.25">
      <c r="A15" s="230"/>
      <c r="B15" s="177"/>
      <c r="C15" s="231"/>
      <c r="D15" s="233"/>
      <c r="E15" s="233">
        <f t="shared" si="0"/>
        <v>3248.19</v>
      </c>
      <c r="F15" s="238"/>
      <c r="G15" s="234">
        <f t="shared" si="1"/>
        <v>0</v>
      </c>
      <c r="H15" s="234">
        <f t="shared" si="2"/>
        <v>3248.19</v>
      </c>
      <c r="I15" s="235"/>
    </row>
    <row r="16" spans="1:9" s="223" customFormat="1" ht="12.75" customHeight="1" x14ac:dyDescent="0.25">
      <c r="A16" s="230"/>
      <c r="B16" s="177"/>
      <c r="C16" s="231"/>
      <c r="D16" s="233"/>
      <c r="E16" s="233">
        <f t="shared" si="0"/>
        <v>3248.19</v>
      </c>
      <c r="F16" s="238"/>
      <c r="G16" s="234">
        <f t="shared" si="1"/>
        <v>0</v>
      </c>
      <c r="H16" s="234">
        <f t="shared" si="2"/>
        <v>3248.19</v>
      </c>
      <c r="I16" s="235"/>
    </row>
    <row r="17" spans="1:9" s="223" customFormat="1" ht="12.75" customHeight="1" x14ac:dyDescent="0.25">
      <c r="A17" s="230"/>
      <c r="B17" s="177"/>
      <c r="C17" s="231"/>
      <c r="D17" s="233"/>
      <c r="E17" s="233">
        <f t="shared" si="0"/>
        <v>3248.19</v>
      </c>
      <c r="F17" s="238"/>
      <c r="G17" s="234">
        <f t="shared" si="1"/>
        <v>0</v>
      </c>
      <c r="H17" s="234">
        <f t="shared" si="2"/>
        <v>3248.19</v>
      </c>
      <c r="I17" s="235"/>
    </row>
    <row r="18" spans="1:9" s="223" customFormat="1" ht="12.75" customHeight="1" x14ac:dyDescent="0.25">
      <c r="A18" s="230"/>
      <c r="B18" s="177"/>
      <c r="C18" s="231"/>
      <c r="D18" s="233"/>
      <c r="E18" s="233">
        <f t="shared" si="0"/>
        <v>3248.19</v>
      </c>
      <c r="F18" s="238"/>
      <c r="G18" s="234">
        <f t="shared" si="1"/>
        <v>0</v>
      </c>
      <c r="H18" s="234">
        <f t="shared" si="2"/>
        <v>3248.19</v>
      </c>
      <c r="I18" s="235"/>
    </row>
    <row r="19" spans="1:9" s="223" customFormat="1" ht="12.75" customHeight="1" x14ac:dyDescent="0.25">
      <c r="A19" s="230"/>
      <c r="B19" s="177"/>
      <c r="C19" s="231"/>
      <c r="D19" s="233"/>
      <c r="E19" s="233">
        <f t="shared" si="0"/>
        <v>3248.19</v>
      </c>
      <c r="F19" s="234"/>
      <c r="G19" s="234">
        <f t="shared" si="1"/>
        <v>0</v>
      </c>
      <c r="H19" s="234">
        <f t="shared" si="2"/>
        <v>3248.19</v>
      </c>
      <c r="I19" s="235"/>
    </row>
    <row r="20" spans="1:9" s="223" customFormat="1" ht="12.75" customHeight="1" x14ac:dyDescent="0.25">
      <c r="A20" s="230"/>
      <c r="B20" s="177"/>
      <c r="C20" s="231"/>
      <c r="D20" s="233"/>
      <c r="E20" s="233">
        <f t="shared" si="0"/>
        <v>3248.19</v>
      </c>
      <c r="F20" s="234"/>
      <c r="G20" s="234">
        <f t="shared" si="1"/>
        <v>0</v>
      </c>
      <c r="H20" s="234">
        <f t="shared" si="2"/>
        <v>3248.19</v>
      </c>
      <c r="I20" s="235"/>
    </row>
    <row r="21" spans="1:9" s="223" customFormat="1" ht="12.75" customHeight="1" x14ac:dyDescent="0.25">
      <c r="A21" s="230"/>
      <c r="B21" s="177"/>
      <c r="C21" s="239"/>
      <c r="D21" s="233"/>
      <c r="E21" s="233">
        <f t="shared" si="0"/>
        <v>3248.19</v>
      </c>
      <c r="F21" s="234"/>
      <c r="G21" s="234">
        <f t="shared" si="1"/>
        <v>0</v>
      </c>
      <c r="H21" s="234">
        <f t="shared" si="2"/>
        <v>3248.19</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3248.19</v>
      </c>
      <c r="E23" s="245"/>
      <c r="F23" s="245">
        <f>SUM(F9:F22)</f>
        <v>0</v>
      </c>
      <c r="G23" s="245"/>
      <c r="H23" s="245">
        <f>D23-F23</f>
        <v>3248.19</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1551</v>
      </c>
      <c r="D26" s="254">
        <v>2805.08</v>
      </c>
      <c r="E26" s="254"/>
      <c r="F26" s="254"/>
      <c r="G26" s="254"/>
      <c r="H26" s="254">
        <f>D26-F26</f>
        <v>2805.08</v>
      </c>
      <c r="I26" s="235"/>
    </row>
    <row r="27" spans="1:9" s="223" customFormat="1" ht="12.75" customHeight="1" x14ac:dyDescent="0.25">
      <c r="A27" s="230"/>
      <c r="B27" s="231"/>
      <c r="C27" s="253" t="s">
        <v>1550</v>
      </c>
      <c r="D27" s="254">
        <v>200</v>
      </c>
      <c r="E27" s="254"/>
      <c r="F27" s="254"/>
      <c r="G27" s="254"/>
      <c r="H27" s="254">
        <f t="shared" ref="H27:H28" si="3">D27-F27</f>
        <v>200</v>
      </c>
      <c r="I27" s="235"/>
    </row>
    <row r="28" spans="1:9" s="223" customFormat="1" ht="12.75" customHeight="1" x14ac:dyDescent="0.25">
      <c r="A28" s="230"/>
      <c r="B28" s="231"/>
      <c r="C28" s="253" t="s">
        <v>1549</v>
      </c>
      <c r="D28" s="254">
        <v>243.11</v>
      </c>
      <c r="E28" s="254"/>
      <c r="F28" s="254"/>
      <c r="G28" s="254"/>
      <c r="H28" s="254">
        <f t="shared" si="3"/>
        <v>243.11</v>
      </c>
      <c r="I28" s="235"/>
    </row>
    <row r="29" spans="1:9" s="223" customFormat="1" ht="12.75" customHeight="1" thickBot="1" x14ac:dyDescent="0.3">
      <c r="A29" s="230"/>
      <c r="B29" s="231"/>
      <c r="C29" s="255" t="s">
        <v>67</v>
      </c>
      <c r="D29" s="256">
        <f>SUM(D26:D28)</f>
        <v>3248.19</v>
      </c>
      <c r="E29" s="257"/>
      <c r="F29" s="256">
        <f>SUM(F26:F27)</f>
        <v>0</v>
      </c>
      <c r="G29" s="257"/>
      <c r="H29" s="256">
        <f>SUM(H26:H28)</f>
        <v>3248.19</v>
      </c>
      <c r="I29" s="235"/>
    </row>
    <row r="30" spans="1:9" s="223" customFormat="1" ht="12.75" customHeight="1" thickTop="1" x14ac:dyDescent="0.25"/>
  </sheetData>
  <conditionalFormatting sqref="I8:I11 I13:I23">
    <cfRule type="cellIs" dxfId="12"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3FD7F-43F7-47AD-B574-E2F7B6A6E90D}">
  <sheetPr>
    <pageSetUpPr fitToPage="1"/>
  </sheetPr>
  <dimension ref="A1:G19"/>
  <sheetViews>
    <sheetView zoomScaleNormal="100" workbookViewId="0">
      <selection activeCell="E24" sqref="E24"/>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494</v>
      </c>
      <c r="C1" s="3"/>
      <c r="D1" s="4"/>
      <c r="E1" s="4"/>
      <c r="F1" s="4"/>
      <c r="G1" s="4"/>
    </row>
    <row r="2" spans="1:7" ht="15.75" x14ac:dyDescent="0.25">
      <c r="A2" s="1"/>
      <c r="B2" s="6" t="s">
        <v>506</v>
      </c>
      <c r="C2" s="5"/>
      <c r="D2" s="4"/>
      <c r="E2" s="4"/>
      <c r="F2" s="4"/>
      <c r="G2" s="4"/>
    </row>
    <row r="3" spans="1:7" ht="15.75" x14ac:dyDescent="0.25">
      <c r="A3" s="1"/>
      <c r="B3" s="7" t="s">
        <v>507</v>
      </c>
      <c r="C3" s="5"/>
      <c r="D3" s="4"/>
      <c r="E3" s="8" t="s">
        <v>508</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513</v>
      </c>
      <c r="C6" s="12"/>
      <c r="D6" s="13" t="s">
        <v>2</v>
      </c>
      <c r="E6" s="4"/>
      <c r="F6" s="4"/>
      <c r="G6" s="4"/>
    </row>
    <row r="7" spans="1:7" ht="33" customHeight="1" thickBot="1" x14ac:dyDescent="0.3">
      <c r="A7" s="1"/>
      <c r="B7" s="14" t="s">
        <v>2</v>
      </c>
      <c r="C7" s="15" t="s">
        <v>3</v>
      </c>
      <c r="D7" s="16" t="s">
        <v>4</v>
      </c>
      <c r="E7" s="17" t="s">
        <v>5</v>
      </c>
      <c r="F7" s="18" t="s">
        <v>6</v>
      </c>
      <c r="G7" s="18" t="s">
        <v>7</v>
      </c>
    </row>
    <row r="8" spans="1:7" ht="28.35" customHeight="1" x14ac:dyDescent="0.25">
      <c r="A8" s="1"/>
      <c r="B8" s="1" t="s">
        <v>8</v>
      </c>
      <c r="C8" s="19">
        <f>FINANCIAL!G39</f>
        <v>800000</v>
      </c>
      <c r="D8" s="20"/>
      <c r="E8" s="20"/>
      <c r="F8" s="20"/>
      <c r="G8" s="21"/>
    </row>
    <row r="9" spans="1:7" s="223" customFormat="1" ht="12.75" customHeight="1" x14ac:dyDescent="0.25">
      <c r="A9" s="246"/>
      <c r="B9" s="247"/>
      <c r="C9" s="267"/>
      <c r="D9" s="249"/>
      <c r="E9" s="249"/>
      <c r="F9" s="249"/>
      <c r="G9" s="250"/>
    </row>
    <row r="10" spans="1:7" s="223" customFormat="1" ht="12.75" customHeight="1" x14ac:dyDescent="0.25">
      <c r="A10" s="273" t="s">
        <v>250</v>
      </c>
      <c r="B10" s="247" t="s">
        <v>350</v>
      </c>
      <c r="C10" s="248"/>
      <c r="D10" s="251">
        <f>'#9521.00 Boyd Jones'!D23</f>
        <v>13757.74</v>
      </c>
      <c r="E10" s="251">
        <f>'#9521.00 Boyd Jones'!F23</f>
        <v>13757.74</v>
      </c>
      <c r="F10" s="251">
        <f>'#9521.00 Boyd Jones'!H23</f>
        <v>0</v>
      </c>
      <c r="G10" s="250"/>
    </row>
    <row r="11" spans="1:7" s="223" customFormat="1" ht="12.75" customHeight="1" x14ac:dyDescent="0.25">
      <c r="A11" s="246"/>
      <c r="B11" s="247" t="s">
        <v>10</v>
      </c>
      <c r="C11" s="248"/>
      <c r="D11" s="251">
        <f>'#9521.00 PM TIME '!E29</f>
        <v>45000</v>
      </c>
      <c r="E11" s="251">
        <f>'#9521.00 PM TIME '!G29</f>
        <v>12698.120000000003</v>
      </c>
      <c r="F11" s="251">
        <f>'#9521.00 PM TIME '!I29</f>
        <v>32301.879999999997</v>
      </c>
      <c r="G11" s="250"/>
    </row>
    <row r="12" spans="1:7" s="223" customFormat="1" ht="12.75" customHeight="1" x14ac:dyDescent="0.25">
      <c r="A12" s="246"/>
      <c r="B12" s="247" t="s">
        <v>11</v>
      </c>
      <c r="C12" s="249"/>
      <c r="D12" s="252">
        <f>'#9521.00 Misc'!G22</f>
        <v>200</v>
      </c>
      <c r="E12" s="252">
        <f>'#9521.00 Misc'!G22</f>
        <v>200</v>
      </c>
      <c r="F12" s="251">
        <f>D12-E12</f>
        <v>0</v>
      </c>
      <c r="G12" s="250"/>
    </row>
    <row r="13" spans="1:7" s="223" customFormat="1" ht="12.75" customHeight="1" x14ac:dyDescent="0.25">
      <c r="A13" s="246"/>
      <c r="B13" s="247" t="s">
        <v>327</v>
      </c>
      <c r="C13" s="249"/>
      <c r="D13" s="252">
        <f>'#9521.00 Genesis Architectural'!D30</f>
        <v>22700</v>
      </c>
      <c r="E13" s="252">
        <f>'#9521.00 Genesis Architectural'!F23</f>
        <v>16352</v>
      </c>
      <c r="F13" s="251">
        <f>'#9521.00 Genesis Architectural'!H23</f>
        <v>6348</v>
      </c>
      <c r="G13" s="250"/>
    </row>
    <row r="14" spans="1:7" s="223" customFormat="1" ht="12.75" customHeight="1" x14ac:dyDescent="0.25">
      <c r="A14" s="246"/>
      <c r="B14" s="247" t="s">
        <v>846</v>
      </c>
      <c r="C14" s="249"/>
      <c r="D14" s="252">
        <f>'#9521.00 Academy Roofing'!D23</f>
        <v>534000</v>
      </c>
      <c r="E14" s="252">
        <f>'#9521.00 Academy Roofing'!F23</f>
        <v>0</v>
      </c>
      <c r="F14" s="251">
        <f>'#9521.00 Academy Roofing'!H23</f>
        <v>534000</v>
      </c>
      <c r="G14" s="250"/>
    </row>
    <row r="15" spans="1:7" s="223" customFormat="1" ht="12.75" customHeight="1" x14ac:dyDescent="0.25">
      <c r="A15" s="273" t="s">
        <v>250</v>
      </c>
      <c r="B15" s="247" t="s">
        <v>849</v>
      </c>
      <c r="C15" s="249"/>
      <c r="D15" s="252">
        <f>'#9521.00 Boyd Jones (2)'!D23</f>
        <v>6241.07</v>
      </c>
      <c r="E15" s="252">
        <f>'#9521.00 Boyd Jones (2)'!F23</f>
        <v>6241.07</v>
      </c>
      <c r="F15" s="251">
        <f>'#9521.00 Boyd Jones (2)'!H23</f>
        <v>0</v>
      </c>
      <c r="G15" s="250"/>
    </row>
    <row r="16" spans="1:7" s="223" customFormat="1" ht="12.75" customHeight="1" x14ac:dyDescent="0.25">
      <c r="A16" s="273"/>
      <c r="B16" s="247" t="s">
        <v>253</v>
      </c>
      <c r="C16" s="249"/>
      <c r="D16" s="252">
        <f>'#9521.00 McGough Construction'!D23</f>
        <v>60845.4</v>
      </c>
      <c r="E16" s="252">
        <f>'#9521.00 McGough Construction'!F23</f>
        <v>0</v>
      </c>
      <c r="F16" s="251">
        <f>'#9521.00 McGough Construction'!H23</f>
        <v>60845.4</v>
      </c>
      <c r="G16" s="250"/>
    </row>
    <row r="17" spans="1:7" s="223" customFormat="1" ht="12.75" customHeight="1" x14ac:dyDescent="0.25">
      <c r="A17" s="246"/>
      <c r="B17" s="247"/>
      <c r="C17" s="249"/>
      <c r="D17" s="252"/>
      <c r="E17" s="252"/>
      <c r="F17" s="251"/>
      <c r="G17" s="250"/>
    </row>
    <row r="18" spans="1:7" ht="24" customHeight="1" thickBot="1" x14ac:dyDescent="0.3">
      <c r="A18" s="25"/>
      <c r="B18" s="26" t="s">
        <v>12</v>
      </c>
      <c r="C18" s="27">
        <f>SUM(C8:C17)</f>
        <v>800000</v>
      </c>
      <c r="D18" s="27">
        <f>SUM(D8:D17)</f>
        <v>682744.21</v>
      </c>
      <c r="E18" s="27">
        <f>SUM(E8:E17)</f>
        <v>49248.93</v>
      </c>
      <c r="F18" s="27">
        <f>SUM(D18-E18)</f>
        <v>633495.27999999991</v>
      </c>
      <c r="G18" s="27">
        <f>C8-D18</f>
        <v>117255.79000000004</v>
      </c>
    </row>
    <row r="19"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923F7-B657-4801-AC00-9C8E7234D6FC}">
  <sheetPr>
    <tabColor rgb="FF0070C0"/>
    <pageSetUpPr fitToPage="1"/>
  </sheetPr>
  <dimension ref="A1:I29"/>
  <sheetViews>
    <sheetView zoomScaleNormal="100" workbookViewId="0">
      <selection activeCell="C29" sqref="C29"/>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1.28515625" style="274" bestFit="1" customWidth="1"/>
    <col min="9" max="9" width="7.28515625" style="274"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#9521.00'!B1</f>
        <v>DPS D1 1333 Ohio Roof Replacement</v>
      </c>
      <c r="B1" s="30"/>
      <c r="C1" s="153"/>
      <c r="D1" s="153"/>
      <c r="E1" s="153"/>
      <c r="F1" s="156"/>
      <c r="G1" s="156"/>
      <c r="H1" s="179"/>
      <c r="I1" s="179"/>
    </row>
    <row r="2" spans="1:9" ht="15.75" x14ac:dyDescent="0.25">
      <c r="A2" s="31" t="str">
        <f>'RECAP #9521.00'!B2</f>
        <v>Project # 9521.00</v>
      </c>
      <c r="B2" s="150"/>
      <c r="C2" s="153"/>
      <c r="D2" s="153"/>
      <c r="E2" s="153"/>
      <c r="F2" s="156"/>
      <c r="G2" s="156"/>
      <c r="H2" s="179"/>
      <c r="I2" s="179"/>
    </row>
    <row r="3" spans="1:9" ht="15.75" x14ac:dyDescent="0.25">
      <c r="A3" s="154" t="str">
        <f>'RECAP #9521.00'!B3</f>
        <v>Program code 952100</v>
      </c>
      <c r="B3" s="150"/>
      <c r="C3" s="153"/>
      <c r="D3" s="155" t="str">
        <f>'RECAP #9521.00'!E3</f>
        <v>Major Program  4E02</v>
      </c>
      <c r="E3" s="153"/>
      <c r="F3" s="156"/>
      <c r="G3" s="156"/>
      <c r="H3" s="179"/>
      <c r="I3" s="179"/>
    </row>
    <row r="4" spans="1:9" ht="15.75" x14ac:dyDescent="0.25">
      <c r="A4" s="30" t="s">
        <v>350</v>
      </c>
      <c r="B4" s="31"/>
      <c r="C4" s="179"/>
      <c r="D4" s="180" t="s">
        <v>351</v>
      </c>
      <c r="E4" s="156"/>
      <c r="F4" s="156"/>
      <c r="G4" s="156"/>
      <c r="H4" s="179"/>
      <c r="I4" s="179"/>
    </row>
    <row r="5" spans="1:9" ht="15.75" x14ac:dyDescent="0.25">
      <c r="A5" s="181" t="s">
        <v>104</v>
      </c>
      <c r="B5" s="179"/>
      <c r="C5" s="182"/>
      <c r="D5" s="37" t="s">
        <v>352</v>
      </c>
      <c r="E5" s="42"/>
      <c r="F5" s="156"/>
      <c r="G5" s="156"/>
      <c r="H5" s="179"/>
      <c r="I5" s="179"/>
    </row>
    <row r="6" spans="1:9" ht="15.75" x14ac:dyDescent="0.25">
      <c r="A6" s="31" t="str">
        <f>'RECAP #9521.00'!B6</f>
        <v>Project Manager - Brandon A</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275" t="s">
        <v>586</v>
      </c>
      <c r="B9" s="276">
        <v>46076</v>
      </c>
      <c r="C9" s="277" t="s">
        <v>109</v>
      </c>
      <c r="D9" s="278">
        <v>14752.31</v>
      </c>
      <c r="E9" s="279">
        <f>D9</f>
        <v>14752.31</v>
      </c>
      <c r="F9" s="280"/>
      <c r="G9" s="280"/>
      <c r="H9" s="280">
        <f>E9</f>
        <v>14752.31</v>
      </c>
      <c r="I9" s="281"/>
    </row>
    <row r="10" spans="1:9" s="282" customFormat="1" ht="12.75" customHeight="1" x14ac:dyDescent="0.25">
      <c r="A10" s="275" t="s">
        <v>808</v>
      </c>
      <c r="B10" s="283">
        <v>46132</v>
      </c>
      <c r="C10" s="277" t="s">
        <v>809</v>
      </c>
      <c r="D10" s="279"/>
      <c r="E10" s="279">
        <f t="shared" ref="E10:E21" si="0">E9+D10</f>
        <v>14752.31</v>
      </c>
      <c r="F10" s="284">
        <v>1431.36</v>
      </c>
      <c r="G10" s="280">
        <f t="shared" ref="G10:G21" si="1">G9+F10</f>
        <v>1431.36</v>
      </c>
      <c r="H10" s="280">
        <f t="shared" ref="H10:H21" si="2">H9-F10+D10</f>
        <v>13320.949999999999</v>
      </c>
      <c r="I10" s="281"/>
    </row>
    <row r="11" spans="1:9" s="282" customFormat="1" ht="12.75" customHeight="1" x14ac:dyDescent="0.25">
      <c r="A11" s="275" t="s">
        <v>854</v>
      </c>
      <c r="B11" s="276">
        <v>46153</v>
      </c>
      <c r="C11" s="277" t="s">
        <v>855</v>
      </c>
      <c r="D11" s="279"/>
      <c r="E11" s="279">
        <f t="shared" si="0"/>
        <v>14752.31</v>
      </c>
      <c r="F11" s="284">
        <v>1934.21</v>
      </c>
      <c r="G11" s="280">
        <f t="shared" si="1"/>
        <v>3365.5699999999997</v>
      </c>
      <c r="H11" s="280">
        <f t="shared" si="2"/>
        <v>11386.739999999998</v>
      </c>
      <c r="I11" s="281"/>
    </row>
    <row r="12" spans="1:9" s="282" customFormat="1" ht="12.75" customHeight="1" x14ac:dyDescent="0.25">
      <c r="A12" s="275" t="s">
        <v>1135</v>
      </c>
      <c r="B12" s="276">
        <v>46203</v>
      </c>
      <c r="C12" s="277" t="s">
        <v>1136</v>
      </c>
      <c r="D12" s="279"/>
      <c r="E12" s="279">
        <f t="shared" si="0"/>
        <v>14752.31</v>
      </c>
      <c r="F12" s="284">
        <v>4048.67</v>
      </c>
      <c r="G12" s="280">
        <f t="shared" si="1"/>
        <v>7414.24</v>
      </c>
      <c r="H12" s="280">
        <f t="shared" si="2"/>
        <v>7338.0699999999979</v>
      </c>
      <c r="I12" s="281"/>
    </row>
    <row r="13" spans="1:9" s="282" customFormat="1" ht="12.75" customHeight="1" x14ac:dyDescent="0.25">
      <c r="A13" s="275" t="s">
        <v>1194</v>
      </c>
      <c r="B13" s="276">
        <v>46213</v>
      </c>
      <c r="C13" s="277" t="s">
        <v>1195</v>
      </c>
      <c r="D13" s="285">
        <v>-994.57</v>
      </c>
      <c r="E13" s="279">
        <f t="shared" si="0"/>
        <v>13757.74</v>
      </c>
      <c r="F13" s="284">
        <v>6343.5</v>
      </c>
      <c r="G13" s="280">
        <f t="shared" si="1"/>
        <v>13757.74</v>
      </c>
      <c r="H13" s="280">
        <f t="shared" si="2"/>
        <v>-2.1600499167107046E-12</v>
      </c>
      <c r="I13" s="281"/>
    </row>
    <row r="14" spans="1:9" s="282" customFormat="1" ht="12.75" customHeight="1" x14ac:dyDescent="0.25">
      <c r="A14" s="275"/>
      <c r="B14" s="276"/>
      <c r="C14" s="277"/>
      <c r="D14" s="279"/>
      <c r="E14" s="279">
        <f t="shared" si="0"/>
        <v>13757.74</v>
      </c>
      <c r="F14" s="280"/>
      <c r="G14" s="280">
        <f t="shared" si="1"/>
        <v>13757.74</v>
      </c>
      <c r="H14" s="280">
        <f t="shared" si="2"/>
        <v>-2.1600499167107046E-12</v>
      </c>
      <c r="I14" s="281"/>
    </row>
    <row r="15" spans="1:9" s="282" customFormat="1" ht="12.75" customHeight="1" x14ac:dyDescent="0.25">
      <c r="A15" s="275"/>
      <c r="B15" s="276"/>
      <c r="C15" s="277"/>
      <c r="D15" s="279"/>
      <c r="E15" s="279">
        <f t="shared" si="0"/>
        <v>13757.74</v>
      </c>
      <c r="F15" s="284"/>
      <c r="G15" s="280">
        <f t="shared" si="1"/>
        <v>13757.74</v>
      </c>
      <c r="H15" s="280">
        <f t="shared" si="2"/>
        <v>-2.1600499167107046E-12</v>
      </c>
      <c r="I15" s="281"/>
    </row>
    <row r="16" spans="1:9" s="282" customFormat="1" ht="12.75" customHeight="1" x14ac:dyDescent="0.25">
      <c r="A16" s="275"/>
      <c r="B16" s="276"/>
      <c r="C16" s="277"/>
      <c r="D16" s="279"/>
      <c r="E16" s="279">
        <f t="shared" si="0"/>
        <v>13757.74</v>
      </c>
      <c r="F16" s="284"/>
      <c r="G16" s="280">
        <f t="shared" si="1"/>
        <v>13757.74</v>
      </c>
      <c r="H16" s="280">
        <f t="shared" si="2"/>
        <v>-2.1600499167107046E-12</v>
      </c>
      <c r="I16" s="281"/>
    </row>
    <row r="17" spans="1:9" s="282" customFormat="1" ht="12.75" customHeight="1" x14ac:dyDescent="0.25">
      <c r="A17" s="275"/>
      <c r="B17" s="276"/>
      <c r="C17" s="277"/>
      <c r="D17" s="279"/>
      <c r="E17" s="279">
        <f t="shared" si="0"/>
        <v>13757.74</v>
      </c>
      <c r="F17" s="284"/>
      <c r="G17" s="280">
        <f t="shared" si="1"/>
        <v>13757.74</v>
      </c>
      <c r="H17" s="280">
        <f t="shared" si="2"/>
        <v>-2.1600499167107046E-12</v>
      </c>
      <c r="I17" s="281"/>
    </row>
    <row r="18" spans="1:9" s="282" customFormat="1" ht="12.75" customHeight="1" x14ac:dyDescent="0.25">
      <c r="A18" s="275"/>
      <c r="B18" s="276"/>
      <c r="C18" s="277"/>
      <c r="D18" s="279"/>
      <c r="E18" s="279">
        <f t="shared" si="0"/>
        <v>13757.74</v>
      </c>
      <c r="F18" s="284"/>
      <c r="G18" s="280">
        <f t="shared" si="1"/>
        <v>13757.74</v>
      </c>
      <c r="H18" s="280">
        <f t="shared" si="2"/>
        <v>-2.1600499167107046E-12</v>
      </c>
      <c r="I18" s="281"/>
    </row>
    <row r="19" spans="1:9" s="282" customFormat="1" ht="12.75" customHeight="1" x14ac:dyDescent="0.25">
      <c r="A19" s="275"/>
      <c r="B19" s="276"/>
      <c r="C19" s="277"/>
      <c r="D19" s="279"/>
      <c r="E19" s="279">
        <f t="shared" si="0"/>
        <v>13757.74</v>
      </c>
      <c r="F19" s="280"/>
      <c r="G19" s="280">
        <f t="shared" si="1"/>
        <v>13757.74</v>
      </c>
      <c r="H19" s="280">
        <f t="shared" si="2"/>
        <v>-2.1600499167107046E-12</v>
      </c>
      <c r="I19" s="281"/>
    </row>
    <row r="20" spans="1:9" s="282" customFormat="1" ht="12.75" customHeight="1" x14ac:dyDescent="0.25">
      <c r="A20" s="275"/>
      <c r="B20" s="276"/>
      <c r="C20" s="277"/>
      <c r="D20" s="279"/>
      <c r="E20" s="279">
        <f t="shared" si="0"/>
        <v>13757.74</v>
      </c>
      <c r="F20" s="280"/>
      <c r="G20" s="280">
        <f t="shared" si="1"/>
        <v>13757.74</v>
      </c>
      <c r="H20" s="280">
        <f t="shared" si="2"/>
        <v>-2.1600499167107046E-12</v>
      </c>
      <c r="I20" s="281"/>
    </row>
    <row r="21" spans="1:9" s="282" customFormat="1" ht="12.75" customHeight="1" x14ac:dyDescent="0.25">
      <c r="A21" s="275"/>
      <c r="B21" s="276"/>
      <c r="C21" s="286"/>
      <c r="D21" s="279"/>
      <c r="E21" s="279">
        <f t="shared" si="0"/>
        <v>13757.74</v>
      </c>
      <c r="F21" s="280"/>
      <c r="G21" s="280">
        <f t="shared" si="1"/>
        <v>13757.74</v>
      </c>
      <c r="H21" s="280">
        <f t="shared" si="2"/>
        <v>-2.1600499167107046E-12</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13757.74</v>
      </c>
      <c r="E23" s="290"/>
      <c r="F23" s="290">
        <f>SUM(F9:F22)</f>
        <v>13757.74</v>
      </c>
      <c r="G23" s="290"/>
      <c r="H23" s="290">
        <f>D23-F23</f>
        <v>0</v>
      </c>
      <c r="I23" s="29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f>14452.31-750.07</f>
        <v>13702.24</v>
      </c>
      <c r="E26" s="292"/>
      <c r="F26" s="292">
        <f>1403.36+1920.21+4048.67+6330</f>
        <v>13702.24</v>
      </c>
      <c r="G26" s="292"/>
      <c r="H26" s="292">
        <f>D26-F26</f>
        <v>0</v>
      </c>
      <c r="I26" s="281"/>
    </row>
    <row r="27" spans="1:9" s="282" customFormat="1" ht="12.75" customHeight="1" x14ac:dyDescent="0.25">
      <c r="A27" s="275"/>
      <c r="B27" s="277"/>
      <c r="C27" s="287" t="s">
        <v>111</v>
      </c>
      <c r="D27" s="292">
        <f>300-244.5</f>
        <v>55.5</v>
      </c>
      <c r="E27" s="292"/>
      <c r="F27" s="292">
        <f>28+14+13.5</f>
        <v>55.5</v>
      </c>
      <c r="G27" s="292"/>
      <c r="H27" s="292">
        <f>D27-F27</f>
        <v>0</v>
      </c>
      <c r="I27" s="281"/>
    </row>
    <row r="28" spans="1:9" s="282" customFormat="1" ht="12.75" customHeight="1" thickBot="1" x14ac:dyDescent="0.3">
      <c r="A28" s="275"/>
      <c r="B28" s="277"/>
      <c r="C28" s="293" t="s">
        <v>67</v>
      </c>
      <c r="D28" s="290">
        <f>SUM(D26:D27)</f>
        <v>13757.74</v>
      </c>
      <c r="E28" s="294"/>
      <c r="F28" s="290">
        <f>SUM(F26:F27)</f>
        <v>13757.74</v>
      </c>
      <c r="G28" s="294"/>
      <c r="H28" s="290">
        <f>SUM(H26:H27)</f>
        <v>0</v>
      </c>
      <c r="I28" s="281"/>
    </row>
    <row r="29" spans="1:9" s="282" customFormat="1" ht="12.75" customHeight="1" thickTop="1" x14ac:dyDescent="0.25"/>
  </sheetData>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E8AF9-F212-4C44-9FC0-5B11F87F9AE1}">
  <sheetPr>
    <pageSetUpPr fitToPage="1"/>
  </sheetPr>
  <dimension ref="A1:J31"/>
  <sheetViews>
    <sheetView topLeftCell="A4" zoomScaleNormal="100" workbookViewId="0">
      <selection activeCell="L27" sqref="L27:L28"/>
    </sheetView>
  </sheetViews>
  <sheetFormatPr defaultColWidth="11.42578125" defaultRowHeight="15" customHeight="1" x14ac:dyDescent="0.25"/>
  <cols>
    <col min="1" max="1" width="24.5703125" customWidth="1"/>
    <col min="2" max="3" width="9.42578125" customWidth="1"/>
    <col min="4" max="4" width="41.5703125" customWidth="1"/>
    <col min="5" max="5" width="12.5703125" customWidth="1"/>
    <col min="6" max="6" width="13.5703125" customWidth="1"/>
    <col min="7" max="7" width="12.42578125" customWidth="1"/>
    <col min="8" max="8" width="10.5703125" customWidth="1"/>
    <col min="9" max="9" width="11.285156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#9521.00'!B1</f>
        <v>DPS D1 1333 Ohio Roof Replacement</v>
      </c>
      <c r="B1" s="3"/>
      <c r="C1" s="3"/>
      <c r="D1" s="4"/>
      <c r="E1" s="4"/>
      <c r="F1" s="4"/>
      <c r="G1" s="28"/>
      <c r="H1" s="28"/>
      <c r="I1" s="29"/>
      <c r="J1" s="29"/>
    </row>
    <row r="2" spans="1:10" ht="15.75" x14ac:dyDescent="0.25">
      <c r="A2" s="6" t="str">
        <f>'RECAP #9521.00'!B2</f>
        <v>Project # 9521.00</v>
      </c>
      <c r="B2" s="5"/>
      <c r="C2" s="5"/>
      <c r="D2" s="4"/>
      <c r="E2" s="4"/>
      <c r="F2" s="4"/>
      <c r="G2" s="28"/>
      <c r="H2" s="28"/>
      <c r="I2" s="29"/>
      <c r="J2" s="29"/>
    </row>
    <row r="3" spans="1:10" ht="15.75" x14ac:dyDescent="0.25">
      <c r="A3" s="7" t="str">
        <f>'RECAP #9521.00'!B3</f>
        <v>Program code 952100</v>
      </c>
      <c r="B3" s="5"/>
      <c r="C3" s="5"/>
      <c r="D3" s="4"/>
      <c r="E3" s="8" t="str">
        <f>'RECAP #9521.00'!E3</f>
        <v>Major Program  4E02</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521</v>
      </c>
      <c r="F6" s="42"/>
      <c r="G6" s="43"/>
      <c r="H6" s="39"/>
      <c r="I6" s="35"/>
      <c r="J6" s="29"/>
    </row>
    <row r="7" spans="1:10" ht="15.75" x14ac:dyDescent="0.25">
      <c r="A7" s="11" t="str">
        <f>'RECAP #9521.00'!B6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v>45000</v>
      </c>
      <c r="F9" s="233">
        <f>E9</f>
        <v>45000</v>
      </c>
      <c r="G9" s="234"/>
      <c r="H9" s="234"/>
      <c r="I9" s="234">
        <f>F9</f>
        <v>45000</v>
      </c>
      <c r="J9" s="235"/>
    </row>
    <row r="10" spans="1:10" s="223" customFormat="1" ht="12.75" customHeight="1" x14ac:dyDescent="0.2">
      <c r="A10" s="70" t="s">
        <v>644</v>
      </c>
      <c r="B10" s="50">
        <v>46090</v>
      </c>
      <c r="C10" s="53" t="s">
        <v>261</v>
      </c>
      <c r="D10" s="144" t="s">
        <v>645</v>
      </c>
      <c r="E10" s="233"/>
      <c r="F10" s="233">
        <f t="shared" ref="F10:F27" si="0">F9+E10</f>
        <v>45000</v>
      </c>
      <c r="G10" s="237">
        <v>137.72</v>
      </c>
      <c r="H10" s="234">
        <f t="shared" ref="H10:H27" si="1">H9+G10</f>
        <v>137.72</v>
      </c>
      <c r="I10" s="234">
        <f t="shared" ref="I10:I27" si="2">I9-G10+E10</f>
        <v>44862.28</v>
      </c>
      <c r="J10" s="235"/>
    </row>
    <row r="11" spans="1:10" s="223" customFormat="1" ht="12.75" customHeight="1" x14ac:dyDescent="0.2">
      <c r="A11" s="70" t="s">
        <v>644</v>
      </c>
      <c r="B11" s="50">
        <v>46090</v>
      </c>
      <c r="C11" s="268">
        <v>9500</v>
      </c>
      <c r="D11" s="66" t="s">
        <v>646</v>
      </c>
      <c r="E11" s="233"/>
      <c r="F11" s="233">
        <f t="shared" si="0"/>
        <v>45000</v>
      </c>
      <c r="G11" s="237">
        <v>1585</v>
      </c>
      <c r="H11" s="234">
        <f t="shared" si="1"/>
        <v>1722.72</v>
      </c>
      <c r="I11" s="234">
        <f t="shared" si="2"/>
        <v>43277.279999999999</v>
      </c>
      <c r="J11" s="235"/>
    </row>
    <row r="12" spans="1:10" s="223" customFormat="1" ht="12.75" customHeight="1" x14ac:dyDescent="0.2">
      <c r="A12" s="70" t="s">
        <v>744</v>
      </c>
      <c r="B12" s="50">
        <v>46118</v>
      </c>
      <c r="C12" s="53" t="s">
        <v>261</v>
      </c>
      <c r="D12" s="144" t="s">
        <v>745</v>
      </c>
      <c r="E12" s="233"/>
      <c r="F12" s="233">
        <f t="shared" si="0"/>
        <v>45000</v>
      </c>
      <c r="G12" s="237">
        <v>354.38</v>
      </c>
      <c r="H12" s="234">
        <f t="shared" si="1"/>
        <v>2077.1</v>
      </c>
      <c r="I12" s="234">
        <f t="shared" si="2"/>
        <v>42922.9</v>
      </c>
      <c r="J12" s="235"/>
    </row>
    <row r="13" spans="1:10" s="223" customFormat="1" ht="12.75" customHeight="1" x14ac:dyDescent="0.2">
      <c r="A13" s="70" t="s">
        <v>744</v>
      </c>
      <c r="B13" s="50">
        <v>46118</v>
      </c>
      <c r="C13" s="268">
        <v>9500</v>
      </c>
      <c r="D13" s="66" t="s">
        <v>746</v>
      </c>
      <c r="E13" s="233"/>
      <c r="F13" s="233">
        <f t="shared" si="0"/>
        <v>45000</v>
      </c>
      <c r="G13" s="237">
        <v>2904</v>
      </c>
      <c r="H13" s="234">
        <f t="shared" si="1"/>
        <v>4981.1000000000004</v>
      </c>
      <c r="I13" s="234">
        <f t="shared" si="2"/>
        <v>40018.9</v>
      </c>
      <c r="J13" s="235"/>
    </row>
    <row r="14" spans="1:10" s="223" customFormat="1" ht="12.75" customHeight="1" x14ac:dyDescent="0.2">
      <c r="A14" s="70" t="s">
        <v>869</v>
      </c>
      <c r="B14" s="50">
        <v>46149</v>
      </c>
      <c r="C14" s="53" t="s">
        <v>261</v>
      </c>
      <c r="D14" s="144" t="s">
        <v>870</v>
      </c>
      <c r="E14" s="233"/>
      <c r="F14" s="233">
        <f t="shared" si="0"/>
        <v>45000</v>
      </c>
      <c r="G14" s="237">
        <v>254.07</v>
      </c>
      <c r="H14" s="234">
        <f t="shared" si="1"/>
        <v>5235.17</v>
      </c>
      <c r="I14" s="234">
        <f t="shared" si="2"/>
        <v>39764.83</v>
      </c>
      <c r="J14" s="235"/>
    </row>
    <row r="15" spans="1:10" s="223" customFormat="1" ht="12.75" customHeight="1" x14ac:dyDescent="0.2">
      <c r="A15" s="70" t="s">
        <v>869</v>
      </c>
      <c r="B15" s="50">
        <v>46149</v>
      </c>
      <c r="C15" s="268">
        <v>9500</v>
      </c>
      <c r="D15" s="66" t="s">
        <v>871</v>
      </c>
      <c r="E15" s="233"/>
      <c r="F15" s="233">
        <f t="shared" si="0"/>
        <v>45000</v>
      </c>
      <c r="G15" s="237">
        <v>2651.1</v>
      </c>
      <c r="H15" s="234">
        <f t="shared" si="1"/>
        <v>7886.27</v>
      </c>
      <c r="I15" s="234">
        <f t="shared" si="2"/>
        <v>37113.730000000003</v>
      </c>
      <c r="J15" s="235"/>
    </row>
    <row r="16" spans="1:10" s="223" customFormat="1" ht="12.75" customHeight="1" x14ac:dyDescent="0.2">
      <c r="A16" s="70" t="s">
        <v>984</v>
      </c>
      <c r="B16" s="50">
        <v>46181</v>
      </c>
      <c r="C16" s="53" t="s">
        <v>261</v>
      </c>
      <c r="D16" s="144" t="s">
        <v>985</v>
      </c>
      <c r="E16" s="233"/>
      <c r="F16" s="233">
        <f t="shared" si="0"/>
        <v>45000</v>
      </c>
      <c r="G16" s="237">
        <v>117.01</v>
      </c>
      <c r="H16" s="234">
        <f t="shared" si="1"/>
        <v>8003.2800000000007</v>
      </c>
      <c r="I16" s="234">
        <f t="shared" si="2"/>
        <v>36996.720000000001</v>
      </c>
      <c r="J16" s="235"/>
    </row>
    <row r="17" spans="1:10" s="223" customFormat="1" ht="12.75" customHeight="1" x14ac:dyDescent="0.2">
      <c r="A17" s="70" t="s">
        <v>984</v>
      </c>
      <c r="B17" s="50">
        <v>46181</v>
      </c>
      <c r="C17" s="268">
        <v>9500</v>
      </c>
      <c r="D17" s="66" t="s">
        <v>986</v>
      </c>
      <c r="E17" s="233"/>
      <c r="F17" s="233">
        <f t="shared" si="0"/>
        <v>45000</v>
      </c>
      <c r="G17" s="237">
        <v>1431.6</v>
      </c>
      <c r="H17" s="234">
        <f t="shared" si="1"/>
        <v>9434.880000000001</v>
      </c>
      <c r="I17" s="234">
        <f t="shared" si="2"/>
        <v>35565.120000000003</v>
      </c>
      <c r="J17" s="235"/>
    </row>
    <row r="18" spans="1:10" s="223" customFormat="1" ht="12.75" customHeight="1" x14ac:dyDescent="0.2">
      <c r="A18" s="70" t="s">
        <v>1186</v>
      </c>
      <c r="B18" s="50">
        <v>46211</v>
      </c>
      <c r="C18" s="53" t="s">
        <v>261</v>
      </c>
      <c r="D18" s="144" t="s">
        <v>1187</v>
      </c>
      <c r="E18" s="233"/>
      <c r="F18" s="233">
        <f t="shared" si="0"/>
        <v>45000</v>
      </c>
      <c r="G18" s="237">
        <v>140.91999999999999</v>
      </c>
      <c r="H18" s="234">
        <f t="shared" si="1"/>
        <v>9575.8000000000011</v>
      </c>
      <c r="I18" s="234">
        <f t="shared" si="2"/>
        <v>35424.200000000004</v>
      </c>
      <c r="J18" s="235"/>
    </row>
    <row r="19" spans="1:10" s="223" customFormat="1" ht="12.75" customHeight="1" x14ac:dyDescent="0.2">
      <c r="A19" s="70" t="s">
        <v>1186</v>
      </c>
      <c r="B19" s="50">
        <v>46211</v>
      </c>
      <c r="C19" s="268">
        <v>9500</v>
      </c>
      <c r="D19" s="66" t="s">
        <v>1188</v>
      </c>
      <c r="E19" s="233"/>
      <c r="F19" s="233">
        <f t="shared" si="0"/>
        <v>45000</v>
      </c>
      <c r="G19" s="237">
        <v>1621.9</v>
      </c>
      <c r="H19" s="234">
        <f t="shared" si="1"/>
        <v>11197.7</v>
      </c>
      <c r="I19" s="234">
        <f t="shared" si="2"/>
        <v>33802.300000000003</v>
      </c>
      <c r="J19" s="235"/>
    </row>
    <row r="20" spans="1:10" s="223" customFormat="1" ht="12.75" customHeight="1" x14ac:dyDescent="0.2">
      <c r="A20" s="70" t="s">
        <v>1265</v>
      </c>
      <c r="B20" s="50">
        <v>46218</v>
      </c>
      <c r="C20" s="53" t="s">
        <v>261</v>
      </c>
      <c r="D20" s="144" t="s">
        <v>1266</v>
      </c>
      <c r="E20" s="233"/>
      <c r="F20" s="233">
        <f t="shared" si="0"/>
        <v>45000</v>
      </c>
      <c r="G20" s="237">
        <v>56.79</v>
      </c>
      <c r="H20" s="234">
        <f t="shared" si="1"/>
        <v>11254.490000000002</v>
      </c>
      <c r="I20" s="234">
        <f t="shared" si="2"/>
        <v>33745.51</v>
      </c>
      <c r="J20" s="235"/>
    </row>
    <row r="21" spans="1:10" s="223" customFormat="1" ht="12.75" customHeight="1" x14ac:dyDescent="0.2">
      <c r="A21" s="70" t="s">
        <v>1436</v>
      </c>
      <c r="B21" s="365">
        <v>46241</v>
      </c>
      <c r="C21" s="53" t="s">
        <v>261</v>
      </c>
      <c r="D21" s="144" t="s">
        <v>1437</v>
      </c>
      <c r="E21" s="233"/>
      <c r="F21" s="233">
        <f t="shared" si="0"/>
        <v>45000</v>
      </c>
      <c r="G21" s="237">
        <v>89.76</v>
      </c>
      <c r="H21" s="234">
        <f t="shared" si="1"/>
        <v>11344.250000000002</v>
      </c>
      <c r="I21" s="234">
        <f t="shared" si="2"/>
        <v>33655.75</v>
      </c>
      <c r="J21" s="235"/>
    </row>
    <row r="22" spans="1:10" s="223" customFormat="1" ht="12.75" customHeight="1" x14ac:dyDescent="0.2">
      <c r="A22" s="70" t="s">
        <v>1436</v>
      </c>
      <c r="B22" s="365">
        <v>46241</v>
      </c>
      <c r="C22" s="268">
        <v>9500</v>
      </c>
      <c r="D22" s="66" t="s">
        <v>1438</v>
      </c>
      <c r="E22" s="233"/>
      <c r="F22" s="233">
        <f t="shared" si="0"/>
        <v>45000</v>
      </c>
      <c r="G22" s="237">
        <v>960.2</v>
      </c>
      <c r="H22" s="234">
        <f t="shared" si="1"/>
        <v>12304.450000000003</v>
      </c>
      <c r="I22" s="234">
        <f t="shared" si="2"/>
        <v>32695.55</v>
      </c>
      <c r="J22" s="235"/>
    </row>
    <row r="23" spans="1:10" s="223" customFormat="1" ht="12.75" customHeight="1" x14ac:dyDescent="0.2">
      <c r="A23" s="70" t="s">
        <v>1531</v>
      </c>
      <c r="B23" s="365">
        <v>46272</v>
      </c>
      <c r="C23" s="53" t="s">
        <v>261</v>
      </c>
      <c r="D23" s="144" t="s">
        <v>1532</v>
      </c>
      <c r="E23" s="233"/>
      <c r="F23" s="233">
        <f t="shared" si="0"/>
        <v>45000</v>
      </c>
      <c r="G23" s="237">
        <v>36.869999999999997</v>
      </c>
      <c r="H23" s="234">
        <f t="shared" si="1"/>
        <v>12341.320000000003</v>
      </c>
      <c r="I23" s="234">
        <f t="shared" si="2"/>
        <v>32658.68</v>
      </c>
      <c r="J23" s="235"/>
    </row>
    <row r="24" spans="1:10" s="223" customFormat="1" ht="12.75" customHeight="1" x14ac:dyDescent="0.2">
      <c r="A24" s="70" t="s">
        <v>1531</v>
      </c>
      <c r="B24" s="365">
        <v>46272</v>
      </c>
      <c r="C24" s="268">
        <v>9500</v>
      </c>
      <c r="D24" s="66" t="s">
        <v>1533</v>
      </c>
      <c r="E24" s="233"/>
      <c r="F24" s="233">
        <f t="shared" si="0"/>
        <v>45000</v>
      </c>
      <c r="G24" s="237">
        <v>356.8</v>
      </c>
      <c r="H24" s="234">
        <f t="shared" si="1"/>
        <v>12698.120000000003</v>
      </c>
      <c r="I24" s="234">
        <f t="shared" si="2"/>
        <v>32301.88</v>
      </c>
      <c r="J24" s="235"/>
    </row>
    <row r="25" spans="1:10" s="223" customFormat="1" ht="12.75" customHeight="1" x14ac:dyDescent="0.2">
      <c r="A25" s="70"/>
      <c r="B25" s="365"/>
      <c r="C25" s="268"/>
      <c r="D25" s="66"/>
      <c r="E25" s="233"/>
      <c r="F25" s="233">
        <f t="shared" si="0"/>
        <v>45000</v>
      </c>
      <c r="G25" s="238"/>
      <c r="H25" s="234">
        <f t="shared" si="1"/>
        <v>12698.120000000003</v>
      </c>
      <c r="I25" s="234">
        <f t="shared" si="2"/>
        <v>32301.88</v>
      </c>
      <c r="J25" s="235"/>
    </row>
    <row r="26" spans="1:10" s="223" customFormat="1" ht="12.75" customHeight="1" x14ac:dyDescent="0.2">
      <c r="A26" s="70"/>
      <c r="B26" s="365"/>
      <c r="C26" s="268"/>
      <c r="D26" s="66"/>
      <c r="E26" s="233"/>
      <c r="F26" s="233">
        <f t="shared" si="0"/>
        <v>45000</v>
      </c>
      <c r="G26" s="238"/>
      <c r="H26" s="234">
        <f t="shared" si="1"/>
        <v>12698.120000000003</v>
      </c>
      <c r="I26" s="234">
        <f t="shared" si="2"/>
        <v>32301.88</v>
      </c>
      <c r="J26" s="235"/>
    </row>
    <row r="27" spans="1:10" s="223" customFormat="1" ht="12.75" customHeight="1" x14ac:dyDescent="0.25">
      <c r="A27" s="241"/>
      <c r="B27" s="177"/>
      <c r="C27" s="177"/>
      <c r="D27" s="258"/>
      <c r="E27" s="233"/>
      <c r="F27" s="233">
        <f t="shared" si="0"/>
        <v>45000</v>
      </c>
      <c r="G27" s="234"/>
      <c r="H27" s="234">
        <f t="shared" si="1"/>
        <v>12698.120000000003</v>
      </c>
      <c r="I27" s="234">
        <f t="shared" si="2"/>
        <v>32301.88</v>
      </c>
      <c r="J27" s="235"/>
    </row>
    <row r="28" spans="1:10" s="223" customFormat="1" ht="12.75" customHeight="1" x14ac:dyDescent="0.25">
      <c r="A28" s="230"/>
      <c r="B28" s="231"/>
      <c r="C28" s="231"/>
      <c r="D28" s="240"/>
      <c r="E28" s="234"/>
      <c r="F28" s="234"/>
      <c r="G28" s="234"/>
      <c r="H28" s="234"/>
      <c r="I28" s="234"/>
      <c r="J28" s="235"/>
    </row>
    <row r="29" spans="1:10" s="223" customFormat="1" ht="12.75" customHeight="1" thickBot="1" x14ac:dyDescent="0.3">
      <c r="A29" s="230"/>
      <c r="B29" s="243"/>
      <c r="C29" s="243"/>
      <c r="D29" s="244" t="s">
        <v>24</v>
      </c>
      <c r="E29" s="245">
        <f>SUM(E9:E28)</f>
        <v>45000</v>
      </c>
      <c r="F29" s="245"/>
      <c r="G29" s="245">
        <f>SUM(G9:G28)</f>
        <v>12698.120000000003</v>
      </c>
      <c r="H29" s="245"/>
      <c r="I29" s="245">
        <f>E29-G29</f>
        <v>32301.879999999997</v>
      </c>
      <c r="J29" s="235"/>
    </row>
    <row r="30" spans="1:10" s="223" customFormat="1" ht="12.75" customHeight="1" thickTop="1" x14ac:dyDescent="0.25"/>
    <row r="31" spans="1:10" s="223"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52589-4C35-4C7B-A105-2EDC4F94113C}">
  <sheetPr>
    <pageSetUpPr fitToPage="1"/>
  </sheetPr>
  <dimension ref="A1:H23"/>
  <sheetViews>
    <sheetView zoomScaleNormal="100" workbookViewId="0">
      <selection activeCell="B22" sqref="B22"/>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7109375" customWidth="1"/>
    <col min="6" max="6" width="13.710937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#9521.00'!B1</f>
        <v>DPS D1 1333 Ohio Roof Replacement</v>
      </c>
      <c r="B1" s="3"/>
      <c r="C1" s="3"/>
      <c r="D1" s="3"/>
      <c r="E1" s="4"/>
      <c r="F1" s="4"/>
      <c r="G1" s="4"/>
      <c r="H1" s="28"/>
    </row>
    <row r="2" spans="1:8" ht="15.75" x14ac:dyDescent="0.25">
      <c r="A2" s="6" t="str">
        <f>'RECAP #9521.00'!B2</f>
        <v>Project # 9521.00</v>
      </c>
      <c r="B2" s="5"/>
      <c r="C2" s="5"/>
      <c r="D2" s="5"/>
      <c r="E2" s="4"/>
      <c r="F2" s="4"/>
      <c r="G2" s="4"/>
      <c r="H2" s="28"/>
    </row>
    <row r="3" spans="1:8" ht="15.75" x14ac:dyDescent="0.25">
      <c r="A3" s="7" t="str">
        <f>'RECAP #9521.00'!B3</f>
        <v>Program code 952100</v>
      </c>
      <c r="B3" s="5"/>
      <c r="C3" s="5"/>
      <c r="D3" s="5"/>
      <c r="E3" s="8" t="str">
        <f>'RECAP #9521.00'!E3</f>
        <v>Major Program  4E02</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587</v>
      </c>
      <c r="F6" s="35"/>
      <c r="G6" s="38"/>
      <c r="H6" s="39"/>
    </row>
    <row r="7" spans="1:8" ht="15.75" x14ac:dyDescent="0.25">
      <c r="A7" s="11" t="str">
        <f>'RECAP #9521.00'!B6</f>
        <v>Project Manager - Brandon A</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1097</v>
      </c>
      <c r="B9" s="177">
        <v>46196</v>
      </c>
      <c r="C9" s="241" t="s">
        <v>361</v>
      </c>
      <c r="D9" s="241" t="s">
        <v>362</v>
      </c>
      <c r="E9" s="38" t="s">
        <v>368</v>
      </c>
      <c r="F9" s="259" t="s">
        <v>1096</v>
      </c>
      <c r="G9" s="237">
        <v>200</v>
      </c>
      <c r="H9" s="260">
        <f>G9</f>
        <v>200</v>
      </c>
    </row>
    <row r="10" spans="1:8" s="223" customFormat="1" ht="12.75" customHeight="1" x14ac:dyDescent="0.25">
      <c r="A10" s="241"/>
      <c r="B10" s="177"/>
      <c r="C10" s="240"/>
      <c r="D10" s="240"/>
      <c r="E10" s="258"/>
      <c r="F10" s="252"/>
      <c r="G10" s="260"/>
      <c r="H10" s="260">
        <f>H9+G10</f>
        <v>200</v>
      </c>
    </row>
    <row r="11" spans="1:8" s="223" customFormat="1" ht="12.75" customHeight="1" x14ac:dyDescent="0.25">
      <c r="A11" s="241"/>
      <c r="B11" s="177"/>
      <c r="C11" s="177"/>
      <c r="D11" s="177"/>
      <c r="E11" s="258"/>
      <c r="F11" s="252"/>
      <c r="G11" s="260"/>
      <c r="H11" s="260">
        <f t="shared" ref="H11:H20" si="0">H10+G11</f>
        <v>200</v>
      </c>
    </row>
    <row r="12" spans="1:8" s="223" customFormat="1" ht="12.75" customHeight="1" x14ac:dyDescent="0.25">
      <c r="A12" s="241" t="s">
        <v>2</v>
      </c>
      <c r="B12" s="177" t="s">
        <v>2</v>
      </c>
      <c r="C12" s="177"/>
      <c r="D12" s="177"/>
      <c r="E12" s="258" t="s">
        <v>2</v>
      </c>
      <c r="F12" s="252"/>
      <c r="G12" s="260"/>
      <c r="H12" s="260">
        <f t="shared" si="0"/>
        <v>200</v>
      </c>
    </row>
    <row r="13" spans="1:8" s="223" customFormat="1" ht="12.75" customHeight="1" x14ac:dyDescent="0.25">
      <c r="A13" s="241" t="s">
        <v>2</v>
      </c>
      <c r="B13" s="177" t="s">
        <v>2</v>
      </c>
      <c r="C13" s="177"/>
      <c r="D13" s="177"/>
      <c r="E13" s="258" t="s">
        <v>2</v>
      </c>
      <c r="F13" s="252"/>
      <c r="G13" s="260"/>
      <c r="H13" s="260">
        <f t="shared" si="0"/>
        <v>200</v>
      </c>
    </row>
    <row r="14" spans="1:8" s="223" customFormat="1" ht="12.75" customHeight="1" x14ac:dyDescent="0.25">
      <c r="A14" s="241"/>
      <c r="B14" s="177"/>
      <c r="C14" s="177"/>
      <c r="D14" s="177"/>
      <c r="E14" s="258"/>
      <c r="F14" s="252"/>
      <c r="G14" s="260"/>
      <c r="H14" s="260">
        <f t="shared" si="0"/>
        <v>200</v>
      </c>
    </row>
    <row r="15" spans="1:8" s="223" customFormat="1" ht="12.75" customHeight="1" x14ac:dyDescent="0.25">
      <c r="A15" s="241"/>
      <c r="B15" s="177"/>
      <c r="C15" s="177"/>
      <c r="D15" s="177"/>
      <c r="E15" s="261"/>
      <c r="F15" s="252"/>
      <c r="G15" s="260"/>
      <c r="H15" s="260">
        <f t="shared" si="0"/>
        <v>200</v>
      </c>
    </row>
    <row r="16" spans="1:8" s="223" customFormat="1" ht="12.75" customHeight="1" x14ac:dyDescent="0.25">
      <c r="A16" s="241"/>
      <c r="B16" s="177"/>
      <c r="C16" s="177"/>
      <c r="D16" s="177"/>
      <c r="E16" s="258"/>
      <c r="F16" s="252"/>
      <c r="G16" s="260"/>
      <c r="H16" s="260">
        <f t="shared" si="0"/>
        <v>200</v>
      </c>
    </row>
    <row r="17" spans="1:8" s="223" customFormat="1" ht="12.75" customHeight="1" x14ac:dyDescent="0.25">
      <c r="A17" s="230"/>
      <c r="B17" s="177"/>
      <c r="C17" s="177"/>
      <c r="D17" s="177"/>
      <c r="E17" s="258"/>
      <c r="F17" s="252"/>
      <c r="G17" s="260"/>
      <c r="H17" s="260">
        <f t="shared" si="0"/>
        <v>200</v>
      </c>
    </row>
    <row r="18" spans="1:8" s="223" customFormat="1" ht="12.75" customHeight="1" x14ac:dyDescent="0.25">
      <c r="A18" s="230"/>
      <c r="B18" s="177"/>
      <c r="C18" s="177"/>
      <c r="D18" s="177"/>
      <c r="E18" s="258"/>
      <c r="F18" s="252"/>
      <c r="G18" s="260"/>
      <c r="H18" s="260">
        <f t="shared" si="0"/>
        <v>200</v>
      </c>
    </row>
    <row r="19" spans="1:8" s="223" customFormat="1" ht="12.75" customHeight="1" x14ac:dyDescent="0.25">
      <c r="A19" s="230"/>
      <c r="B19" s="177"/>
      <c r="C19" s="177"/>
      <c r="D19" s="177"/>
      <c r="E19" s="258"/>
      <c r="F19" s="252"/>
      <c r="G19" s="260"/>
      <c r="H19" s="260">
        <f t="shared" si="0"/>
        <v>200</v>
      </c>
    </row>
    <row r="20" spans="1:8" s="223" customFormat="1" ht="12.75" customHeight="1" x14ac:dyDescent="0.25">
      <c r="A20" s="230"/>
      <c r="B20" s="177"/>
      <c r="C20" s="177"/>
      <c r="D20" s="177"/>
      <c r="E20" s="258"/>
      <c r="F20" s="252"/>
      <c r="G20" s="260"/>
      <c r="H20" s="260">
        <f t="shared" si="0"/>
        <v>200</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200</v>
      </c>
      <c r="H22" s="265"/>
    </row>
    <row r="23" spans="1:8" ht="15" customHeight="1" thickTop="1" x14ac:dyDescent="0.25"/>
  </sheetData>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59411-20FB-4ED7-B605-8A4D3194A984}">
  <sheetPr>
    <pageSetUpPr fitToPage="1"/>
  </sheetPr>
  <dimension ref="A1:I31"/>
  <sheetViews>
    <sheetView zoomScaleNormal="100" workbookViewId="0">
      <selection activeCell="A28" sqref="A28"/>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28515625" bestFit="1"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#9521.00'!B1</f>
        <v>DPS D1 1333 Ohio Roof Replacement</v>
      </c>
      <c r="B1" s="3"/>
      <c r="C1" s="4"/>
      <c r="D1" s="4"/>
      <c r="E1" s="4"/>
      <c r="F1" s="28"/>
      <c r="G1" s="28"/>
      <c r="H1" s="29"/>
      <c r="I1" s="29"/>
    </row>
    <row r="2" spans="1:9" ht="15.75" x14ac:dyDescent="0.25">
      <c r="A2" s="6" t="str">
        <f>'RECAP #9521.00'!B2</f>
        <v>Project # 9521.00</v>
      </c>
      <c r="B2" s="5"/>
      <c r="C2" s="4"/>
      <c r="D2" s="4"/>
      <c r="E2" s="4"/>
      <c r="F2" s="28"/>
      <c r="G2" s="28"/>
      <c r="H2" s="29"/>
      <c r="I2" s="29"/>
    </row>
    <row r="3" spans="1:9" ht="15.75" x14ac:dyDescent="0.25">
      <c r="A3" s="7" t="str">
        <f>'RECAP #9521.00'!B3</f>
        <v>Program code 952100</v>
      </c>
      <c r="B3" s="5"/>
      <c r="C3" s="4"/>
      <c r="D3" s="8" t="str">
        <f>'RECAP #9521.00'!E3</f>
        <v>Major Program  4E02</v>
      </c>
      <c r="E3" s="4"/>
      <c r="F3" s="28"/>
      <c r="G3" s="28"/>
      <c r="H3" s="29"/>
      <c r="I3" s="29"/>
    </row>
    <row r="4" spans="1:9" ht="15.75" x14ac:dyDescent="0.25">
      <c r="A4" s="30" t="s">
        <v>327</v>
      </c>
      <c r="B4" s="31"/>
      <c r="C4" s="32"/>
      <c r="D4" s="33" t="s">
        <v>328</v>
      </c>
      <c r="E4" s="28"/>
      <c r="F4" s="28"/>
      <c r="G4" s="28"/>
      <c r="H4" s="29"/>
      <c r="I4" s="29"/>
    </row>
    <row r="5" spans="1:9" ht="15.75" x14ac:dyDescent="0.25">
      <c r="A5" s="34" t="s">
        <v>541</v>
      </c>
      <c r="B5" s="35"/>
      <c r="C5" s="36"/>
      <c r="D5" s="37" t="s">
        <v>724</v>
      </c>
      <c r="E5" s="38"/>
      <c r="F5" s="39"/>
      <c r="G5" s="39"/>
      <c r="H5" s="35"/>
      <c r="I5" s="29"/>
    </row>
    <row r="6" spans="1:9" ht="15.75" x14ac:dyDescent="0.25">
      <c r="A6" s="11" t="str">
        <f>'RECAP #9521.00'!B6</f>
        <v>Project Manager - Brandon A</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725</v>
      </c>
      <c r="B9" s="177">
        <v>46114</v>
      </c>
      <c r="C9" s="231" t="s">
        <v>109</v>
      </c>
      <c r="D9" s="232">
        <v>22700</v>
      </c>
      <c r="E9" s="233">
        <f>D9</f>
        <v>22700</v>
      </c>
      <c r="F9" s="234"/>
      <c r="G9" s="234"/>
      <c r="H9" s="234">
        <f>E9</f>
        <v>22700</v>
      </c>
      <c r="I9" s="235"/>
    </row>
    <row r="10" spans="1:9" s="223" customFormat="1" ht="12.75" customHeight="1" x14ac:dyDescent="0.25">
      <c r="A10" s="230" t="s">
        <v>1122</v>
      </c>
      <c r="B10" s="236">
        <v>46199</v>
      </c>
      <c r="C10" s="231" t="s">
        <v>1123</v>
      </c>
      <c r="D10" s="233"/>
      <c r="E10" s="233">
        <f t="shared" ref="E10:E21" si="0">E9+D10</f>
        <v>22700</v>
      </c>
      <c r="F10" s="237">
        <v>6600</v>
      </c>
      <c r="G10" s="234">
        <f t="shared" ref="G10:G21" si="1">G9+F10</f>
        <v>6600</v>
      </c>
      <c r="H10" s="234">
        <f t="shared" ref="H10:H21" si="2">H9-F10+D10</f>
        <v>16100</v>
      </c>
      <c r="I10" s="235"/>
    </row>
    <row r="11" spans="1:9" s="223" customFormat="1" ht="12.75" customHeight="1" x14ac:dyDescent="0.25">
      <c r="A11" s="328" t="s">
        <v>1182</v>
      </c>
      <c r="B11" s="329">
        <v>46210</v>
      </c>
      <c r="C11" s="330" t="s">
        <v>1183</v>
      </c>
      <c r="D11" s="331"/>
      <c r="E11" s="331">
        <f t="shared" si="0"/>
        <v>22700</v>
      </c>
      <c r="F11" s="338">
        <v>9200</v>
      </c>
      <c r="G11" s="332">
        <f t="shared" si="1"/>
        <v>15800</v>
      </c>
      <c r="H11" s="332">
        <f t="shared" si="2"/>
        <v>6900</v>
      </c>
      <c r="I11" s="333" t="s">
        <v>1285</v>
      </c>
    </row>
    <row r="12" spans="1:9" s="223" customFormat="1" ht="12.75" customHeight="1" x14ac:dyDescent="0.25">
      <c r="A12" s="230" t="s">
        <v>1331</v>
      </c>
      <c r="B12" s="177">
        <v>46225</v>
      </c>
      <c r="C12" s="231" t="s">
        <v>1286</v>
      </c>
      <c r="D12" s="232">
        <v>0</v>
      </c>
      <c r="E12" s="233">
        <f t="shared" si="0"/>
        <v>22700</v>
      </c>
      <c r="F12" s="238"/>
      <c r="G12" s="234">
        <f t="shared" si="1"/>
        <v>15800</v>
      </c>
      <c r="H12" s="234">
        <f t="shared" si="2"/>
        <v>6900</v>
      </c>
      <c r="I12" s="235"/>
    </row>
    <row r="13" spans="1:9" s="223" customFormat="1" ht="12.75" customHeight="1" x14ac:dyDescent="0.25">
      <c r="A13" s="230" t="s">
        <v>1486</v>
      </c>
      <c r="B13" s="177">
        <v>46258</v>
      </c>
      <c r="C13" s="231" t="s">
        <v>1487</v>
      </c>
      <c r="D13" s="233"/>
      <c r="E13" s="233">
        <f t="shared" si="0"/>
        <v>22700</v>
      </c>
      <c r="F13" s="237">
        <v>552</v>
      </c>
      <c r="G13" s="234">
        <f t="shared" si="1"/>
        <v>16352</v>
      </c>
      <c r="H13" s="234">
        <f t="shared" si="2"/>
        <v>6348</v>
      </c>
      <c r="I13" s="235"/>
    </row>
    <row r="14" spans="1:9" s="223" customFormat="1" ht="12.75" customHeight="1" x14ac:dyDescent="0.25">
      <c r="A14" s="230"/>
      <c r="B14" s="177"/>
      <c r="C14" s="231"/>
      <c r="D14" s="233"/>
      <c r="E14" s="233">
        <f t="shared" si="0"/>
        <v>22700</v>
      </c>
      <c r="F14" s="234"/>
      <c r="G14" s="234">
        <f t="shared" si="1"/>
        <v>16352</v>
      </c>
      <c r="H14" s="234">
        <f t="shared" si="2"/>
        <v>6348</v>
      </c>
      <c r="I14" s="235"/>
    </row>
    <row r="15" spans="1:9" s="223" customFormat="1" ht="12.75" customHeight="1" x14ac:dyDescent="0.25">
      <c r="A15" s="230"/>
      <c r="B15" s="177"/>
      <c r="C15" s="231"/>
      <c r="D15" s="233"/>
      <c r="E15" s="233">
        <f t="shared" si="0"/>
        <v>22700</v>
      </c>
      <c r="F15" s="238"/>
      <c r="G15" s="234">
        <f t="shared" si="1"/>
        <v>16352</v>
      </c>
      <c r="H15" s="234">
        <f t="shared" si="2"/>
        <v>6348</v>
      </c>
      <c r="I15" s="235"/>
    </row>
    <row r="16" spans="1:9" s="223" customFormat="1" ht="12.75" customHeight="1" x14ac:dyDescent="0.25">
      <c r="A16" s="230"/>
      <c r="B16" s="177"/>
      <c r="C16" s="231"/>
      <c r="D16" s="233"/>
      <c r="E16" s="233">
        <f t="shared" si="0"/>
        <v>22700</v>
      </c>
      <c r="F16" s="238"/>
      <c r="G16" s="234">
        <f t="shared" si="1"/>
        <v>16352</v>
      </c>
      <c r="H16" s="234">
        <f t="shared" si="2"/>
        <v>6348</v>
      </c>
      <c r="I16" s="235"/>
    </row>
    <row r="17" spans="1:9" s="223" customFormat="1" ht="12.75" customHeight="1" x14ac:dyDescent="0.25">
      <c r="A17" s="230"/>
      <c r="B17" s="177"/>
      <c r="C17" s="231"/>
      <c r="D17" s="233"/>
      <c r="E17" s="233">
        <f t="shared" si="0"/>
        <v>22700</v>
      </c>
      <c r="F17" s="238"/>
      <c r="G17" s="234">
        <f t="shared" si="1"/>
        <v>16352</v>
      </c>
      <c r="H17" s="234">
        <f t="shared" si="2"/>
        <v>6348</v>
      </c>
      <c r="I17" s="235"/>
    </row>
    <row r="18" spans="1:9" s="223" customFormat="1" ht="12.75" customHeight="1" x14ac:dyDescent="0.25">
      <c r="A18" s="230"/>
      <c r="B18" s="177"/>
      <c r="C18" s="231"/>
      <c r="D18" s="233"/>
      <c r="E18" s="233">
        <f t="shared" si="0"/>
        <v>22700</v>
      </c>
      <c r="F18" s="238"/>
      <c r="G18" s="234">
        <f t="shared" si="1"/>
        <v>16352</v>
      </c>
      <c r="H18" s="234">
        <f t="shared" si="2"/>
        <v>6348</v>
      </c>
      <c r="I18" s="235"/>
    </row>
    <row r="19" spans="1:9" s="223" customFormat="1" ht="12.75" customHeight="1" x14ac:dyDescent="0.25">
      <c r="A19" s="230"/>
      <c r="B19" s="177"/>
      <c r="C19" s="231"/>
      <c r="D19" s="233"/>
      <c r="E19" s="233">
        <f t="shared" si="0"/>
        <v>22700</v>
      </c>
      <c r="F19" s="234"/>
      <c r="G19" s="234">
        <f t="shared" si="1"/>
        <v>16352</v>
      </c>
      <c r="H19" s="234">
        <f t="shared" si="2"/>
        <v>6348</v>
      </c>
      <c r="I19" s="235"/>
    </row>
    <row r="20" spans="1:9" s="223" customFormat="1" ht="12.75" customHeight="1" x14ac:dyDescent="0.25">
      <c r="A20" s="230"/>
      <c r="B20" s="177"/>
      <c r="C20" s="231"/>
      <c r="D20" s="233"/>
      <c r="E20" s="233">
        <f t="shared" si="0"/>
        <v>22700</v>
      </c>
      <c r="F20" s="234"/>
      <c r="G20" s="234">
        <f t="shared" si="1"/>
        <v>16352</v>
      </c>
      <c r="H20" s="234">
        <f t="shared" si="2"/>
        <v>6348</v>
      </c>
      <c r="I20" s="235"/>
    </row>
    <row r="21" spans="1:9" s="223" customFormat="1" ht="12.75" customHeight="1" x14ac:dyDescent="0.25">
      <c r="A21" s="230"/>
      <c r="B21" s="177"/>
      <c r="C21" s="239"/>
      <c r="D21" s="233"/>
      <c r="E21" s="233">
        <f t="shared" si="0"/>
        <v>22700</v>
      </c>
      <c r="F21" s="234"/>
      <c r="G21" s="234">
        <f t="shared" si="1"/>
        <v>16352</v>
      </c>
      <c r="H21" s="234">
        <f t="shared" si="2"/>
        <v>6348</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22700</v>
      </c>
      <c r="E23" s="245"/>
      <c r="F23" s="245">
        <f>SUM(F9:F22)</f>
        <v>16352</v>
      </c>
      <c r="G23" s="245"/>
      <c r="H23" s="245">
        <f>D23-F23</f>
        <v>6348</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t="s">
        <v>726</v>
      </c>
      <c r="D26" s="234">
        <v>6600</v>
      </c>
      <c r="E26" s="234"/>
      <c r="F26" s="234">
        <v>6600</v>
      </c>
      <c r="G26" s="234"/>
      <c r="H26" s="234">
        <f>D26-F26</f>
        <v>0</v>
      </c>
      <c r="I26" s="235"/>
    </row>
    <row r="27" spans="1:9" s="223" customFormat="1" ht="12.75" customHeight="1" x14ac:dyDescent="0.25">
      <c r="A27" s="230"/>
      <c r="B27" s="231"/>
      <c r="C27" s="240" t="s">
        <v>121</v>
      </c>
      <c r="D27" s="234">
        <v>7600</v>
      </c>
      <c r="E27" s="234"/>
      <c r="F27" s="234">
        <v>7600</v>
      </c>
      <c r="G27" s="234"/>
      <c r="H27" s="234">
        <f>D27-F27</f>
        <v>0</v>
      </c>
      <c r="I27" s="235"/>
    </row>
    <row r="28" spans="1:9" s="223" customFormat="1" ht="12.75" customHeight="1" x14ac:dyDescent="0.25">
      <c r="A28" s="230"/>
      <c r="B28" s="231"/>
      <c r="C28" s="253" t="s">
        <v>727</v>
      </c>
      <c r="D28" s="254">
        <v>1600</v>
      </c>
      <c r="E28" s="254"/>
      <c r="F28" s="254">
        <v>1600</v>
      </c>
      <c r="G28" s="254"/>
      <c r="H28" s="234">
        <f>D28-F28</f>
        <v>0</v>
      </c>
      <c r="I28" s="235"/>
    </row>
    <row r="29" spans="1:9" s="223" customFormat="1" ht="12.75" customHeight="1" x14ac:dyDescent="0.25">
      <c r="A29" s="230"/>
      <c r="B29" s="231"/>
      <c r="C29" s="253" t="s">
        <v>122</v>
      </c>
      <c r="D29" s="254">
        <v>6900</v>
      </c>
      <c r="E29" s="254"/>
      <c r="F29" s="254">
        <f>552</f>
        <v>552</v>
      </c>
      <c r="G29" s="254"/>
      <c r="H29" s="234">
        <f>D29-F29</f>
        <v>6348</v>
      </c>
      <c r="I29" s="235"/>
    </row>
    <row r="30" spans="1:9" s="223" customFormat="1" ht="12.75" customHeight="1" thickBot="1" x14ac:dyDescent="0.3">
      <c r="A30" s="230"/>
      <c r="B30" s="231"/>
      <c r="C30" s="255" t="s">
        <v>67</v>
      </c>
      <c r="D30" s="256">
        <f>SUM(D26:D29)</f>
        <v>22700</v>
      </c>
      <c r="E30" s="257"/>
      <c r="F30" s="256">
        <f>SUM(F26:F29)</f>
        <v>16352</v>
      </c>
      <c r="G30" s="257"/>
      <c r="H30" s="256">
        <f>SUM(H26:H29)</f>
        <v>6348</v>
      </c>
      <c r="I30" s="235"/>
    </row>
    <row r="31" spans="1:9" s="223" customFormat="1" ht="12.75" customHeight="1" thickTop="1" x14ac:dyDescent="0.25"/>
  </sheetData>
  <conditionalFormatting sqref="I8:I10 I12:I23">
    <cfRule type="cellIs" dxfId="11"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D19E6-DF1B-4ECC-AF90-004545CC85ED}">
  <sheetPr>
    <pageSetUpPr fitToPage="1"/>
  </sheetPr>
  <dimension ref="A1:I24"/>
  <sheetViews>
    <sheetView zoomScaleNormal="100" workbookViewId="0">
      <selection activeCell="A13" sqref="A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6.4257812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#9521.00'!B1</f>
        <v>DPS D1 1333 Ohio Roof Replacement</v>
      </c>
      <c r="B1" s="3"/>
      <c r="C1" s="4"/>
      <c r="D1" s="4"/>
      <c r="E1" s="4"/>
      <c r="F1" s="28"/>
      <c r="G1" s="28"/>
      <c r="H1" s="29"/>
      <c r="I1" s="29"/>
    </row>
    <row r="2" spans="1:9" ht="15.75" x14ac:dyDescent="0.25">
      <c r="A2" s="6" t="str">
        <f>'RECAP #9521.00'!B2</f>
        <v>Project # 9521.00</v>
      </c>
      <c r="B2" s="5"/>
      <c r="C2" s="4"/>
      <c r="D2" s="4"/>
      <c r="E2" s="4"/>
      <c r="F2" s="28"/>
      <c r="G2" s="28"/>
      <c r="H2" s="29"/>
      <c r="I2" s="29"/>
    </row>
    <row r="3" spans="1:9" ht="15.75" x14ac:dyDescent="0.25">
      <c r="A3" s="7" t="str">
        <f>'RECAP #9521.00'!B3</f>
        <v>Program code 952100</v>
      </c>
      <c r="B3" s="5"/>
      <c r="C3" s="4"/>
      <c r="D3" s="8" t="str">
        <f>'RECAP #9521.00'!E3</f>
        <v>Major Program  4E02</v>
      </c>
      <c r="E3" s="4"/>
      <c r="F3" s="28"/>
      <c r="G3" s="28"/>
      <c r="H3" s="29"/>
      <c r="I3" s="29"/>
    </row>
    <row r="4" spans="1:9" ht="15.75" x14ac:dyDescent="0.25">
      <c r="A4" s="30" t="s">
        <v>846</v>
      </c>
      <c r="B4" s="31"/>
      <c r="C4" s="32"/>
      <c r="D4" s="33" t="s">
        <v>847</v>
      </c>
      <c r="E4" s="28"/>
      <c r="F4" s="28"/>
      <c r="G4" s="28"/>
      <c r="H4" s="29"/>
      <c r="I4" s="29"/>
    </row>
    <row r="5" spans="1:9" ht="15.75" x14ac:dyDescent="0.25">
      <c r="A5" s="34" t="s">
        <v>321</v>
      </c>
      <c r="B5" s="35"/>
      <c r="C5" s="36"/>
      <c r="D5" s="37" t="s">
        <v>1115</v>
      </c>
      <c r="E5" s="38"/>
      <c r="F5" s="39"/>
      <c r="G5" s="39"/>
      <c r="H5" s="35"/>
      <c r="I5" s="29"/>
    </row>
    <row r="6" spans="1:9" ht="15.75" x14ac:dyDescent="0.25">
      <c r="A6" s="11" t="str">
        <f>'RECAP #9521.00'!B6</f>
        <v>Project Manager - Brandon A</v>
      </c>
      <c r="B6" s="11"/>
      <c r="C6" s="40"/>
      <c r="D6" s="41" t="s">
        <v>386</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339" t="s">
        <v>1116</v>
      </c>
      <c r="B9" s="329">
        <v>46198</v>
      </c>
      <c r="C9" s="330" t="s">
        <v>109</v>
      </c>
      <c r="D9" s="345">
        <v>534000</v>
      </c>
      <c r="E9" s="331">
        <f>D9</f>
        <v>534000</v>
      </c>
      <c r="F9" s="332"/>
      <c r="G9" s="332"/>
      <c r="H9" s="332">
        <f>E9</f>
        <v>534000</v>
      </c>
      <c r="I9" s="333" t="s">
        <v>1285</v>
      </c>
    </row>
    <row r="10" spans="1:9" s="223" customFormat="1" ht="12.75" customHeight="1" x14ac:dyDescent="0.25">
      <c r="A10" s="230" t="s">
        <v>1377</v>
      </c>
      <c r="B10" s="177">
        <v>46231</v>
      </c>
      <c r="C10" s="231" t="s">
        <v>1286</v>
      </c>
      <c r="D10" s="232">
        <v>0</v>
      </c>
      <c r="E10" s="233">
        <f t="shared" ref="E10:E21" si="0">E9+D10</f>
        <v>534000</v>
      </c>
      <c r="F10" s="238"/>
      <c r="G10" s="234">
        <f t="shared" ref="G10:G21" si="1">G9+F10</f>
        <v>0</v>
      </c>
      <c r="H10" s="234">
        <f t="shared" ref="H10:H21" si="2">H9-F10+D10</f>
        <v>534000</v>
      </c>
      <c r="I10" s="235"/>
    </row>
    <row r="11" spans="1:9" s="223" customFormat="1" ht="12.75" customHeight="1" x14ac:dyDescent="0.25">
      <c r="A11" s="230"/>
      <c r="B11" s="177"/>
      <c r="C11" s="231"/>
      <c r="D11" s="233"/>
      <c r="E11" s="233">
        <f t="shared" si="0"/>
        <v>534000</v>
      </c>
      <c r="F11" s="238"/>
      <c r="G11" s="234">
        <f t="shared" si="1"/>
        <v>0</v>
      </c>
      <c r="H11" s="234">
        <f t="shared" si="2"/>
        <v>534000</v>
      </c>
      <c r="I11" s="235"/>
    </row>
    <row r="12" spans="1:9" s="223" customFormat="1" ht="12.75" customHeight="1" x14ac:dyDescent="0.25">
      <c r="A12" s="230"/>
      <c r="B12" s="177"/>
      <c r="C12" s="231"/>
      <c r="D12" s="233"/>
      <c r="E12" s="233">
        <f t="shared" si="0"/>
        <v>534000</v>
      </c>
      <c r="F12" s="238"/>
      <c r="G12" s="234">
        <f t="shared" si="1"/>
        <v>0</v>
      </c>
      <c r="H12" s="234">
        <f t="shared" si="2"/>
        <v>534000</v>
      </c>
      <c r="I12" s="235"/>
    </row>
    <row r="13" spans="1:9" s="223" customFormat="1" ht="12.75" customHeight="1" x14ac:dyDescent="0.25">
      <c r="A13" s="230"/>
      <c r="B13" s="177"/>
      <c r="C13" s="231"/>
      <c r="D13" s="233"/>
      <c r="E13" s="233">
        <f t="shared" si="0"/>
        <v>534000</v>
      </c>
      <c r="F13" s="238"/>
      <c r="G13" s="234">
        <f t="shared" si="1"/>
        <v>0</v>
      </c>
      <c r="H13" s="234">
        <f t="shared" si="2"/>
        <v>534000</v>
      </c>
      <c r="I13" s="235"/>
    </row>
    <row r="14" spans="1:9" s="223" customFormat="1" ht="12.75" customHeight="1" x14ac:dyDescent="0.25">
      <c r="A14" s="230"/>
      <c r="B14" s="177"/>
      <c r="C14" s="231"/>
      <c r="D14" s="233"/>
      <c r="E14" s="233">
        <f t="shared" si="0"/>
        <v>534000</v>
      </c>
      <c r="F14" s="234"/>
      <c r="G14" s="234">
        <f t="shared" si="1"/>
        <v>0</v>
      </c>
      <c r="H14" s="234">
        <f t="shared" si="2"/>
        <v>534000</v>
      </c>
      <c r="I14" s="235"/>
    </row>
    <row r="15" spans="1:9" s="223" customFormat="1" ht="12.75" customHeight="1" x14ac:dyDescent="0.25">
      <c r="A15" s="230"/>
      <c r="B15" s="177"/>
      <c r="C15" s="231"/>
      <c r="D15" s="233"/>
      <c r="E15" s="233">
        <f t="shared" si="0"/>
        <v>534000</v>
      </c>
      <c r="F15" s="238"/>
      <c r="G15" s="234">
        <f t="shared" si="1"/>
        <v>0</v>
      </c>
      <c r="H15" s="234">
        <f t="shared" si="2"/>
        <v>534000</v>
      </c>
      <c r="I15" s="235"/>
    </row>
    <row r="16" spans="1:9" s="223" customFormat="1" ht="12.75" customHeight="1" x14ac:dyDescent="0.25">
      <c r="A16" s="230"/>
      <c r="B16" s="177"/>
      <c r="C16" s="231"/>
      <c r="D16" s="233"/>
      <c r="E16" s="233">
        <f t="shared" si="0"/>
        <v>534000</v>
      </c>
      <c r="F16" s="238"/>
      <c r="G16" s="234">
        <f t="shared" si="1"/>
        <v>0</v>
      </c>
      <c r="H16" s="234">
        <f t="shared" si="2"/>
        <v>534000</v>
      </c>
      <c r="I16" s="235"/>
    </row>
    <row r="17" spans="1:9" s="223" customFormat="1" ht="12.75" customHeight="1" x14ac:dyDescent="0.25">
      <c r="A17" s="230"/>
      <c r="B17" s="177"/>
      <c r="C17" s="231"/>
      <c r="D17" s="233"/>
      <c r="E17" s="233">
        <f t="shared" si="0"/>
        <v>534000</v>
      </c>
      <c r="F17" s="238"/>
      <c r="G17" s="234">
        <f t="shared" si="1"/>
        <v>0</v>
      </c>
      <c r="H17" s="234">
        <f t="shared" si="2"/>
        <v>534000</v>
      </c>
      <c r="I17" s="235"/>
    </row>
    <row r="18" spans="1:9" s="223" customFormat="1" ht="12.75" customHeight="1" x14ac:dyDescent="0.25">
      <c r="A18" s="230"/>
      <c r="B18" s="177"/>
      <c r="C18" s="231"/>
      <c r="D18" s="233"/>
      <c r="E18" s="233">
        <f t="shared" si="0"/>
        <v>534000</v>
      </c>
      <c r="F18" s="238"/>
      <c r="G18" s="234">
        <f t="shared" si="1"/>
        <v>0</v>
      </c>
      <c r="H18" s="234">
        <f t="shared" si="2"/>
        <v>534000</v>
      </c>
      <c r="I18" s="235"/>
    </row>
    <row r="19" spans="1:9" s="223" customFormat="1" ht="12.75" customHeight="1" x14ac:dyDescent="0.25">
      <c r="A19" s="230"/>
      <c r="B19" s="177"/>
      <c r="C19" s="231"/>
      <c r="D19" s="233"/>
      <c r="E19" s="233">
        <f t="shared" si="0"/>
        <v>534000</v>
      </c>
      <c r="F19" s="234"/>
      <c r="G19" s="234">
        <f t="shared" si="1"/>
        <v>0</v>
      </c>
      <c r="H19" s="234">
        <f t="shared" si="2"/>
        <v>534000</v>
      </c>
      <c r="I19" s="235"/>
    </row>
    <row r="20" spans="1:9" s="223" customFormat="1" ht="12.75" customHeight="1" x14ac:dyDescent="0.25">
      <c r="A20" s="230"/>
      <c r="B20" s="177"/>
      <c r="C20" s="231"/>
      <c r="D20" s="233"/>
      <c r="E20" s="233">
        <f t="shared" si="0"/>
        <v>534000</v>
      </c>
      <c r="F20" s="234"/>
      <c r="G20" s="234">
        <f t="shared" si="1"/>
        <v>0</v>
      </c>
      <c r="H20" s="234">
        <f t="shared" si="2"/>
        <v>534000</v>
      </c>
      <c r="I20" s="235"/>
    </row>
    <row r="21" spans="1:9" s="223" customFormat="1" ht="12.75" customHeight="1" x14ac:dyDescent="0.25">
      <c r="A21" s="230"/>
      <c r="B21" s="177"/>
      <c r="C21" s="239"/>
      <c r="D21" s="233"/>
      <c r="E21" s="233">
        <f t="shared" si="0"/>
        <v>534000</v>
      </c>
      <c r="F21" s="234"/>
      <c r="G21" s="234">
        <f t="shared" si="1"/>
        <v>0</v>
      </c>
      <c r="H21" s="234">
        <f t="shared" si="2"/>
        <v>534000</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534000</v>
      </c>
      <c r="E23" s="245"/>
      <c r="F23" s="245">
        <f>SUM(F9:F22)</f>
        <v>0</v>
      </c>
      <c r="G23" s="245"/>
      <c r="H23" s="245">
        <f>D23-F23</f>
        <v>534000</v>
      </c>
      <c r="I23" s="235"/>
    </row>
    <row r="24" spans="1:9" s="223" customFormat="1" ht="12.75" customHeight="1" thickTop="1" x14ac:dyDescent="0.25">
      <c r="A24" s="230"/>
      <c r="B24" s="231"/>
      <c r="C24" s="240"/>
      <c r="D24" s="234"/>
      <c r="E24" s="234"/>
      <c r="F24" s="234"/>
      <c r="G24" s="234"/>
      <c r="H24" s="234"/>
      <c r="I24" s="235"/>
    </row>
  </sheetData>
  <conditionalFormatting sqref="I8 I10:I23">
    <cfRule type="cellIs" dxfId="10"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5C489-B0FD-4A85-B49D-E98452FFBC77}">
  <sheetPr>
    <tabColor rgb="FF0070C0"/>
    <pageSetUpPr fitToPage="1"/>
  </sheetPr>
  <dimension ref="A1:I32"/>
  <sheetViews>
    <sheetView zoomScaleNormal="100" workbookViewId="0">
      <selection activeCell="L24" sqref="L24"/>
    </sheetView>
  </sheetViews>
  <sheetFormatPr defaultColWidth="11.42578125" defaultRowHeight="15" customHeight="1" x14ac:dyDescent="0.25"/>
  <cols>
    <col min="1" max="1" width="24.5703125" style="274" customWidth="1"/>
    <col min="2" max="2" width="9.42578125" style="274" customWidth="1"/>
    <col min="3" max="3" width="25" style="274" bestFit="1" customWidth="1"/>
    <col min="4" max="4" width="14.42578125" style="274" customWidth="1"/>
    <col min="5" max="5" width="13.5703125" style="274" customWidth="1"/>
    <col min="6" max="6" width="12.42578125" style="274" customWidth="1"/>
    <col min="7" max="7" width="10.5703125" style="274" customWidth="1"/>
    <col min="8" max="8" width="11.28515625" style="274" bestFit="1" customWidth="1"/>
    <col min="9" max="9" width="8.140625" style="274" customWidth="1"/>
    <col min="10" max="256" width="11.42578125" style="274"/>
    <col min="257" max="264" width="11.42578125" style="274" customWidth="1"/>
    <col min="265" max="512" width="11.42578125" style="274"/>
    <col min="513" max="520" width="11.42578125" style="274" customWidth="1"/>
    <col min="521" max="768" width="11.42578125" style="274"/>
    <col min="769" max="776" width="11.42578125" style="274" customWidth="1"/>
    <col min="777" max="1024" width="11.42578125" style="274"/>
    <col min="1025" max="1032" width="11.42578125" style="274" customWidth="1"/>
    <col min="1033" max="1280" width="11.42578125" style="274"/>
    <col min="1281" max="1288" width="11.42578125" style="274" customWidth="1"/>
    <col min="1289" max="1536" width="11.42578125" style="274"/>
    <col min="1537" max="1544" width="11.42578125" style="274" customWidth="1"/>
    <col min="1545" max="1792" width="11.42578125" style="274"/>
    <col min="1793" max="1800" width="11.42578125" style="274" customWidth="1"/>
    <col min="1801" max="2048" width="11.42578125" style="274"/>
    <col min="2049" max="2056" width="11.42578125" style="274" customWidth="1"/>
    <col min="2057" max="2304" width="11.42578125" style="274"/>
    <col min="2305" max="2312" width="11.42578125" style="274" customWidth="1"/>
    <col min="2313" max="2560" width="11.42578125" style="274"/>
    <col min="2561" max="2568" width="11.42578125" style="274" customWidth="1"/>
    <col min="2569" max="2816" width="11.42578125" style="274"/>
    <col min="2817" max="2824" width="11.42578125" style="274" customWidth="1"/>
    <col min="2825" max="3072" width="11.42578125" style="274"/>
    <col min="3073" max="3080" width="11.42578125" style="274" customWidth="1"/>
    <col min="3081" max="3328" width="11.42578125" style="274"/>
    <col min="3329" max="3336" width="11.42578125" style="274" customWidth="1"/>
    <col min="3337" max="3584" width="11.42578125" style="274"/>
    <col min="3585" max="3592" width="11.42578125" style="274" customWidth="1"/>
    <col min="3593" max="3840" width="11.42578125" style="274"/>
    <col min="3841" max="3848" width="11.42578125" style="274" customWidth="1"/>
    <col min="3849" max="4096" width="11.42578125" style="274"/>
    <col min="4097" max="4104" width="11.42578125" style="274" customWidth="1"/>
    <col min="4105" max="4352" width="11.42578125" style="274"/>
    <col min="4353" max="4360" width="11.42578125" style="274" customWidth="1"/>
    <col min="4361" max="4608" width="11.42578125" style="274"/>
    <col min="4609" max="4616" width="11.42578125" style="274" customWidth="1"/>
    <col min="4617" max="4864" width="11.42578125" style="274"/>
    <col min="4865" max="4872" width="11.42578125" style="274" customWidth="1"/>
    <col min="4873" max="5120" width="11.42578125" style="274"/>
    <col min="5121" max="5128" width="11.42578125" style="274" customWidth="1"/>
    <col min="5129" max="5376" width="11.42578125" style="274"/>
    <col min="5377" max="5384" width="11.42578125" style="274" customWidth="1"/>
    <col min="5385" max="5632" width="11.42578125" style="274"/>
    <col min="5633" max="5640" width="11.42578125" style="274" customWidth="1"/>
    <col min="5641" max="5888" width="11.42578125" style="274"/>
    <col min="5889" max="5896" width="11.42578125" style="274" customWidth="1"/>
    <col min="5897" max="6144" width="11.42578125" style="274"/>
    <col min="6145" max="6152" width="11.42578125" style="274" customWidth="1"/>
    <col min="6153" max="6400" width="11.42578125" style="274"/>
    <col min="6401" max="6408" width="11.42578125" style="274" customWidth="1"/>
    <col min="6409" max="6656" width="11.42578125" style="274"/>
    <col min="6657" max="6664" width="11.42578125" style="274" customWidth="1"/>
    <col min="6665" max="6912" width="11.42578125" style="274"/>
    <col min="6913" max="6920" width="11.42578125" style="274" customWidth="1"/>
    <col min="6921" max="7168" width="11.42578125" style="274"/>
    <col min="7169" max="7176" width="11.42578125" style="274" customWidth="1"/>
    <col min="7177" max="7424" width="11.42578125" style="274"/>
    <col min="7425" max="7432" width="11.42578125" style="274" customWidth="1"/>
    <col min="7433" max="7680" width="11.42578125" style="274"/>
    <col min="7681" max="7688" width="11.42578125" style="274" customWidth="1"/>
    <col min="7689" max="7936" width="11.42578125" style="274"/>
    <col min="7937" max="7944" width="11.42578125" style="274" customWidth="1"/>
    <col min="7945" max="8192" width="11.42578125" style="274"/>
    <col min="8193" max="8200" width="11.42578125" style="274" customWidth="1"/>
    <col min="8201" max="8448" width="11.42578125" style="274"/>
    <col min="8449" max="8456" width="11.42578125" style="274" customWidth="1"/>
    <col min="8457" max="8704" width="11.42578125" style="274"/>
    <col min="8705" max="8712" width="11.42578125" style="274" customWidth="1"/>
    <col min="8713" max="8960" width="11.42578125" style="274"/>
    <col min="8961" max="8968" width="11.42578125" style="274" customWidth="1"/>
    <col min="8969" max="9216" width="11.42578125" style="274"/>
    <col min="9217" max="9224" width="11.42578125" style="274" customWidth="1"/>
    <col min="9225" max="9472" width="11.42578125" style="274"/>
    <col min="9473" max="9480" width="11.42578125" style="274" customWidth="1"/>
    <col min="9481" max="9728" width="11.42578125" style="274"/>
    <col min="9729" max="9736" width="11.42578125" style="274" customWidth="1"/>
    <col min="9737" max="9984" width="11.42578125" style="274"/>
    <col min="9985" max="9992" width="11.42578125" style="274" customWidth="1"/>
    <col min="9993" max="10240" width="11.42578125" style="274"/>
    <col min="10241" max="10248" width="11.42578125" style="274" customWidth="1"/>
    <col min="10249" max="10496" width="11.42578125" style="274"/>
    <col min="10497" max="10504" width="11.42578125" style="274" customWidth="1"/>
    <col min="10505" max="10752" width="11.42578125" style="274"/>
    <col min="10753" max="10760" width="11.42578125" style="274" customWidth="1"/>
    <col min="10761" max="11008" width="11.42578125" style="274"/>
    <col min="11009" max="11016" width="11.42578125" style="274" customWidth="1"/>
    <col min="11017" max="11264" width="11.42578125" style="274"/>
    <col min="11265" max="11272" width="11.42578125" style="274" customWidth="1"/>
    <col min="11273" max="11520" width="11.42578125" style="274"/>
    <col min="11521" max="11528" width="11.42578125" style="274" customWidth="1"/>
    <col min="11529" max="11776" width="11.42578125" style="274"/>
    <col min="11777" max="11784" width="11.42578125" style="274" customWidth="1"/>
    <col min="11785" max="12032" width="11.42578125" style="274"/>
    <col min="12033" max="12040" width="11.42578125" style="274" customWidth="1"/>
    <col min="12041" max="12288" width="11.42578125" style="274"/>
    <col min="12289" max="12296" width="11.42578125" style="274" customWidth="1"/>
    <col min="12297" max="12544" width="11.42578125" style="274"/>
    <col min="12545" max="12552" width="11.42578125" style="274" customWidth="1"/>
    <col min="12553" max="12800" width="11.42578125" style="274"/>
    <col min="12801" max="12808" width="11.42578125" style="274" customWidth="1"/>
    <col min="12809" max="13056" width="11.42578125" style="274"/>
    <col min="13057" max="13064" width="11.42578125" style="274" customWidth="1"/>
    <col min="13065" max="13312" width="11.42578125" style="274"/>
    <col min="13313" max="13320" width="11.42578125" style="274" customWidth="1"/>
    <col min="13321" max="13568" width="11.42578125" style="274"/>
    <col min="13569" max="13576" width="11.42578125" style="274" customWidth="1"/>
    <col min="13577" max="13824" width="11.42578125" style="274"/>
    <col min="13825" max="13832" width="11.42578125" style="274" customWidth="1"/>
    <col min="13833" max="14080" width="11.42578125" style="274"/>
    <col min="14081" max="14088" width="11.42578125" style="274" customWidth="1"/>
    <col min="14089" max="14336" width="11.42578125" style="274"/>
    <col min="14337" max="14344" width="11.42578125" style="274" customWidth="1"/>
    <col min="14345" max="14592" width="11.42578125" style="274"/>
    <col min="14593" max="14600" width="11.42578125" style="274" customWidth="1"/>
    <col min="14601" max="14848" width="11.42578125" style="274"/>
    <col min="14849" max="14856" width="11.42578125" style="274" customWidth="1"/>
    <col min="14857" max="15104" width="11.42578125" style="274"/>
    <col min="15105" max="15112" width="11.42578125" style="274" customWidth="1"/>
    <col min="15113" max="15360" width="11.42578125" style="274"/>
    <col min="15361" max="15368" width="11.42578125" style="274" customWidth="1"/>
    <col min="15369" max="15616" width="11.42578125" style="274"/>
    <col min="15617" max="15624" width="11.42578125" style="274" customWidth="1"/>
    <col min="15625" max="15872" width="11.42578125" style="274"/>
    <col min="15873" max="15880" width="11.42578125" style="274" customWidth="1"/>
    <col min="15881" max="16128" width="11.42578125" style="274"/>
    <col min="16129" max="16136" width="11.42578125" style="274" customWidth="1"/>
    <col min="16137" max="16384" width="11.42578125" style="274"/>
  </cols>
  <sheetData>
    <row r="1" spans="1:9" ht="24.75" customHeight="1" x14ac:dyDescent="0.25">
      <c r="A1" s="30" t="str">
        <f>'RECAP #9521.00'!B1</f>
        <v>DPS D1 1333 Ohio Roof Replacement</v>
      </c>
      <c r="B1" s="30"/>
      <c r="C1" s="153"/>
      <c r="D1" s="153"/>
      <c r="E1" s="153"/>
      <c r="F1" s="156"/>
      <c r="G1" s="156"/>
      <c r="H1" s="179"/>
      <c r="I1" s="179"/>
    </row>
    <row r="2" spans="1:9" ht="15.75" x14ac:dyDescent="0.25">
      <c r="A2" s="31" t="str">
        <f>'RECAP #9521.00'!B2</f>
        <v>Project # 9521.00</v>
      </c>
      <c r="B2" s="150"/>
      <c r="C2" s="153"/>
      <c r="D2" s="153"/>
      <c r="E2" s="153"/>
      <c r="F2" s="156"/>
      <c r="G2" s="156"/>
      <c r="H2" s="179"/>
      <c r="I2" s="179"/>
    </row>
    <row r="3" spans="1:9" ht="15.75" x14ac:dyDescent="0.25">
      <c r="A3" s="154" t="str">
        <f>'RECAP #9521.00'!B3</f>
        <v>Program code 952100</v>
      </c>
      <c r="B3" s="150"/>
      <c r="C3" s="153"/>
      <c r="D3" s="155" t="str">
        <f>'RECAP #9521.00'!E3</f>
        <v>Major Program  4E02</v>
      </c>
      <c r="E3" s="153"/>
      <c r="F3" s="156"/>
      <c r="G3" s="156"/>
      <c r="H3" s="179"/>
      <c r="I3" s="179"/>
    </row>
    <row r="4" spans="1:9" ht="15.75" x14ac:dyDescent="0.25">
      <c r="A4" s="30" t="s">
        <v>849</v>
      </c>
      <c r="B4" s="31"/>
      <c r="C4" s="179"/>
      <c r="D4" s="180" t="s">
        <v>351</v>
      </c>
      <c r="E4" s="156"/>
      <c r="F4" s="156"/>
      <c r="G4" s="156"/>
      <c r="H4" s="179"/>
      <c r="I4" s="179"/>
    </row>
    <row r="5" spans="1:9" ht="15.75" x14ac:dyDescent="0.25">
      <c r="A5" s="181" t="s">
        <v>104</v>
      </c>
      <c r="B5" s="179"/>
      <c r="C5" s="182"/>
      <c r="D5" s="37" t="s">
        <v>352</v>
      </c>
      <c r="E5" s="42"/>
      <c r="F5" s="156"/>
      <c r="G5" s="156"/>
      <c r="H5" s="179"/>
      <c r="I5" s="179"/>
    </row>
    <row r="6" spans="1:9" ht="15.75" x14ac:dyDescent="0.25">
      <c r="A6" s="31" t="str">
        <f>'RECAP #9521.00'!B6</f>
        <v>Project Manager - Brandon A</v>
      </c>
      <c r="B6" s="31"/>
      <c r="C6" s="183"/>
      <c r="D6" s="184" t="s">
        <v>107</v>
      </c>
      <c r="E6" s="42"/>
      <c r="F6" s="43"/>
      <c r="G6" s="156"/>
      <c r="H6" s="179"/>
      <c r="I6" s="179"/>
    </row>
    <row r="7" spans="1:9" ht="15.75" x14ac:dyDescent="0.25">
      <c r="A7" s="179"/>
      <c r="B7" s="185"/>
      <c r="C7" s="185"/>
      <c r="D7" s="179"/>
      <c r="E7" s="43"/>
      <c r="F7" s="43"/>
      <c r="G7" s="156"/>
      <c r="H7" s="179"/>
      <c r="I7" s="179" t="s">
        <v>2</v>
      </c>
    </row>
    <row r="8" spans="1:9" ht="32.25" thickBot="1" x14ac:dyDescent="0.3">
      <c r="A8" s="186" t="s">
        <v>16</v>
      </c>
      <c r="B8" s="187" t="s">
        <v>17</v>
      </c>
      <c r="C8" s="188" t="s">
        <v>18</v>
      </c>
      <c r="D8" s="189" t="s">
        <v>19</v>
      </c>
      <c r="E8" s="189" t="s">
        <v>20</v>
      </c>
      <c r="F8" s="189" t="s">
        <v>21</v>
      </c>
      <c r="G8" s="189" t="s">
        <v>22</v>
      </c>
      <c r="H8" s="189" t="s">
        <v>23</v>
      </c>
      <c r="I8" s="179"/>
    </row>
    <row r="9" spans="1:9" s="282" customFormat="1" ht="12.75" customHeight="1" x14ac:dyDescent="0.25">
      <c r="A9" s="368" t="s">
        <v>1193</v>
      </c>
      <c r="B9" s="369">
        <v>46212</v>
      </c>
      <c r="C9" s="370" t="s">
        <v>109</v>
      </c>
      <c r="D9" s="371">
        <v>60330.82</v>
      </c>
      <c r="E9" s="372">
        <f>D9</f>
        <v>60330.82</v>
      </c>
      <c r="F9" s="373"/>
      <c r="G9" s="373"/>
      <c r="H9" s="373">
        <f>E9</f>
        <v>60330.82</v>
      </c>
      <c r="I9" s="364" t="s">
        <v>1285</v>
      </c>
    </row>
    <row r="10" spans="1:9" s="282" customFormat="1" ht="12.75" customHeight="1" x14ac:dyDescent="0.25">
      <c r="A10" s="275" t="s">
        <v>1379</v>
      </c>
      <c r="B10" s="276">
        <v>46231</v>
      </c>
      <c r="C10" s="277" t="s">
        <v>1286</v>
      </c>
      <c r="D10" s="278">
        <v>0</v>
      </c>
      <c r="E10" s="279">
        <f t="shared" ref="E10:E21" si="0">E9+D10</f>
        <v>60330.82</v>
      </c>
      <c r="F10" s="284"/>
      <c r="G10" s="280">
        <f t="shared" ref="G10:G21" si="1">G9+F10</f>
        <v>0</v>
      </c>
      <c r="H10" s="280">
        <f t="shared" ref="H10:H21" si="2">H9-F10+D10</f>
        <v>60330.82</v>
      </c>
      <c r="I10" s="281"/>
    </row>
    <row r="11" spans="1:9" s="282" customFormat="1" ht="12.75" customHeight="1" x14ac:dyDescent="0.25">
      <c r="A11" s="275" t="s">
        <v>1416</v>
      </c>
      <c r="B11" s="276">
        <v>46246</v>
      </c>
      <c r="C11" s="277" t="s">
        <v>1418</v>
      </c>
      <c r="D11" s="279"/>
      <c r="E11" s="279">
        <f t="shared" si="0"/>
        <v>60330.82</v>
      </c>
      <c r="F11" s="284">
        <v>2365.2800000000002</v>
      </c>
      <c r="G11" s="280">
        <f t="shared" si="1"/>
        <v>2365.2800000000002</v>
      </c>
      <c r="H11" s="280">
        <f t="shared" si="2"/>
        <v>57965.54</v>
      </c>
      <c r="I11" s="281"/>
    </row>
    <row r="12" spans="1:9" s="282" customFormat="1" ht="12.75" customHeight="1" x14ac:dyDescent="0.25">
      <c r="A12" s="275" t="s">
        <v>1506</v>
      </c>
      <c r="B12" s="276">
        <v>46268</v>
      </c>
      <c r="C12" s="277" t="s">
        <v>1507</v>
      </c>
      <c r="D12" s="285">
        <v>-54089.75</v>
      </c>
      <c r="E12" s="279">
        <f t="shared" si="0"/>
        <v>6241.07</v>
      </c>
      <c r="F12" s="284">
        <v>3875.79</v>
      </c>
      <c r="G12" s="280">
        <f t="shared" si="1"/>
        <v>6241.07</v>
      </c>
      <c r="H12" s="280">
        <f t="shared" si="2"/>
        <v>0</v>
      </c>
      <c r="I12" s="281"/>
    </row>
    <row r="13" spans="1:9" s="282" customFormat="1" ht="12.75" customHeight="1" x14ac:dyDescent="0.25">
      <c r="A13" s="275"/>
      <c r="B13" s="276"/>
      <c r="C13" s="277"/>
      <c r="D13" s="279"/>
      <c r="E13" s="279">
        <f t="shared" si="0"/>
        <v>6241.07</v>
      </c>
      <c r="F13" s="284"/>
      <c r="G13" s="280">
        <f t="shared" si="1"/>
        <v>6241.07</v>
      </c>
      <c r="H13" s="280">
        <f t="shared" si="2"/>
        <v>0</v>
      </c>
      <c r="I13" s="281"/>
    </row>
    <row r="14" spans="1:9" s="282" customFormat="1" ht="12.75" customHeight="1" x14ac:dyDescent="0.25">
      <c r="A14" s="275"/>
      <c r="B14" s="276"/>
      <c r="C14" s="277"/>
      <c r="D14" s="279"/>
      <c r="E14" s="279">
        <f t="shared" si="0"/>
        <v>6241.07</v>
      </c>
      <c r="F14" s="280"/>
      <c r="G14" s="280">
        <f t="shared" si="1"/>
        <v>6241.07</v>
      </c>
      <c r="H14" s="280">
        <f t="shared" si="2"/>
        <v>0</v>
      </c>
      <c r="I14" s="281"/>
    </row>
    <row r="15" spans="1:9" s="282" customFormat="1" ht="12.75" customHeight="1" x14ac:dyDescent="0.25">
      <c r="A15" s="275"/>
      <c r="B15" s="276"/>
      <c r="C15" s="277"/>
      <c r="D15" s="279"/>
      <c r="E15" s="279">
        <f t="shared" si="0"/>
        <v>6241.07</v>
      </c>
      <c r="F15" s="284"/>
      <c r="G15" s="280">
        <f t="shared" si="1"/>
        <v>6241.07</v>
      </c>
      <c r="H15" s="280">
        <f t="shared" si="2"/>
        <v>0</v>
      </c>
      <c r="I15" s="281"/>
    </row>
    <row r="16" spans="1:9" s="282" customFormat="1" ht="12.75" customHeight="1" x14ac:dyDescent="0.25">
      <c r="A16" s="275"/>
      <c r="B16" s="276"/>
      <c r="C16" s="277"/>
      <c r="D16" s="279"/>
      <c r="E16" s="279">
        <f t="shared" si="0"/>
        <v>6241.07</v>
      </c>
      <c r="F16" s="284"/>
      <c r="G16" s="280">
        <f t="shared" si="1"/>
        <v>6241.07</v>
      </c>
      <c r="H16" s="280">
        <f t="shared" si="2"/>
        <v>0</v>
      </c>
      <c r="I16" s="281"/>
    </row>
    <row r="17" spans="1:9" s="282" customFormat="1" ht="12.75" customHeight="1" x14ac:dyDescent="0.25">
      <c r="A17" s="275"/>
      <c r="B17" s="276"/>
      <c r="C17" s="277"/>
      <c r="D17" s="279"/>
      <c r="E17" s="279">
        <f t="shared" si="0"/>
        <v>6241.07</v>
      </c>
      <c r="F17" s="284"/>
      <c r="G17" s="280">
        <f t="shared" si="1"/>
        <v>6241.07</v>
      </c>
      <c r="H17" s="280">
        <f t="shared" si="2"/>
        <v>0</v>
      </c>
      <c r="I17" s="281"/>
    </row>
    <row r="18" spans="1:9" s="282" customFormat="1" ht="12.75" customHeight="1" x14ac:dyDescent="0.25">
      <c r="A18" s="275"/>
      <c r="B18" s="276"/>
      <c r="C18" s="277"/>
      <c r="D18" s="279"/>
      <c r="E18" s="279">
        <f t="shared" si="0"/>
        <v>6241.07</v>
      </c>
      <c r="F18" s="284"/>
      <c r="G18" s="280">
        <f t="shared" si="1"/>
        <v>6241.07</v>
      </c>
      <c r="H18" s="280">
        <f t="shared" si="2"/>
        <v>0</v>
      </c>
      <c r="I18" s="281"/>
    </row>
    <row r="19" spans="1:9" s="282" customFormat="1" ht="12.75" customHeight="1" x14ac:dyDescent="0.25">
      <c r="A19" s="275"/>
      <c r="B19" s="276"/>
      <c r="C19" s="277"/>
      <c r="D19" s="279"/>
      <c r="E19" s="279">
        <f t="shared" si="0"/>
        <v>6241.07</v>
      </c>
      <c r="F19" s="280"/>
      <c r="G19" s="280">
        <f t="shared" si="1"/>
        <v>6241.07</v>
      </c>
      <c r="H19" s="280">
        <f t="shared" si="2"/>
        <v>0</v>
      </c>
      <c r="I19" s="281"/>
    </row>
    <row r="20" spans="1:9" s="282" customFormat="1" ht="12.75" customHeight="1" x14ac:dyDescent="0.25">
      <c r="A20" s="275"/>
      <c r="B20" s="276"/>
      <c r="C20" s="277"/>
      <c r="D20" s="279"/>
      <c r="E20" s="279">
        <f t="shared" si="0"/>
        <v>6241.07</v>
      </c>
      <c r="F20" s="280"/>
      <c r="G20" s="280">
        <f t="shared" si="1"/>
        <v>6241.07</v>
      </c>
      <c r="H20" s="280">
        <f t="shared" si="2"/>
        <v>0</v>
      </c>
      <c r="I20" s="281"/>
    </row>
    <row r="21" spans="1:9" s="282" customFormat="1" ht="12.75" customHeight="1" x14ac:dyDescent="0.25">
      <c r="A21" s="275"/>
      <c r="B21" s="276"/>
      <c r="C21" s="286"/>
      <c r="D21" s="279"/>
      <c r="E21" s="279">
        <f t="shared" si="0"/>
        <v>6241.07</v>
      </c>
      <c r="F21" s="280"/>
      <c r="G21" s="280">
        <f t="shared" si="1"/>
        <v>6241.07</v>
      </c>
      <c r="H21" s="280">
        <f t="shared" si="2"/>
        <v>0</v>
      </c>
      <c r="I21" s="281"/>
    </row>
    <row r="22" spans="1:9" s="282" customFormat="1" ht="12.75" customHeight="1" x14ac:dyDescent="0.25">
      <c r="A22" s="275"/>
      <c r="B22" s="277"/>
      <c r="C22" s="287"/>
      <c r="D22" s="280"/>
      <c r="E22" s="280"/>
      <c r="F22" s="280"/>
      <c r="G22" s="280"/>
      <c r="H22" s="280"/>
      <c r="I22" s="281"/>
    </row>
    <row r="23" spans="1:9" s="282" customFormat="1" ht="12.75" customHeight="1" thickBot="1" x14ac:dyDescent="0.3">
      <c r="A23" s="275"/>
      <c r="B23" s="288"/>
      <c r="C23" s="289" t="s">
        <v>24</v>
      </c>
      <c r="D23" s="290">
        <f>SUM(D9:D22)</f>
        <v>6241.07</v>
      </c>
      <c r="E23" s="290"/>
      <c r="F23" s="290">
        <f>SUM(F9:F22)</f>
        <v>6241.07</v>
      </c>
      <c r="G23" s="290"/>
      <c r="H23" s="290">
        <f>D23-F23</f>
        <v>0</v>
      </c>
      <c r="I23" s="281" t="s">
        <v>444</v>
      </c>
    </row>
    <row r="24" spans="1:9" s="282" customFormat="1" ht="12.75" customHeight="1" thickTop="1" x14ac:dyDescent="0.25">
      <c r="A24" s="275"/>
      <c r="B24" s="277"/>
      <c r="C24" s="287"/>
      <c r="D24" s="280"/>
      <c r="E24" s="280"/>
      <c r="F24" s="280"/>
      <c r="G24" s="280"/>
      <c r="H24" s="280"/>
      <c r="I24" s="281"/>
    </row>
    <row r="25" spans="1:9" s="282" customFormat="1" ht="12.75" customHeight="1" x14ac:dyDescent="0.25">
      <c r="A25" s="275"/>
      <c r="B25" s="277"/>
      <c r="C25" s="287"/>
      <c r="D25" s="280"/>
      <c r="E25" s="280"/>
      <c r="F25" s="280"/>
      <c r="G25" s="280"/>
      <c r="H25" s="280"/>
      <c r="I25" s="281"/>
    </row>
    <row r="26" spans="1:9" s="282" customFormat="1" ht="12.75" customHeight="1" x14ac:dyDescent="0.25">
      <c r="A26" s="275"/>
      <c r="B26" s="277"/>
      <c r="C26" s="287" t="s">
        <v>110</v>
      </c>
      <c r="D26" s="292">
        <f>32580.82-26353.75</f>
        <v>6227.07</v>
      </c>
      <c r="E26" s="292"/>
      <c r="F26" s="292">
        <f>2351.28+3875.79</f>
        <v>6227.07</v>
      </c>
      <c r="G26" s="292"/>
      <c r="H26" s="292">
        <f>D26-F26</f>
        <v>0</v>
      </c>
      <c r="I26" s="281"/>
    </row>
    <row r="27" spans="1:9" s="282" customFormat="1" ht="12.75" customHeight="1" x14ac:dyDescent="0.25">
      <c r="A27" s="275"/>
      <c r="B27" s="277"/>
      <c r="C27" s="287" t="s">
        <v>111</v>
      </c>
      <c r="D27" s="292">
        <f>1050-1036</f>
        <v>14</v>
      </c>
      <c r="E27" s="292"/>
      <c r="F27" s="292">
        <f>14</f>
        <v>14</v>
      </c>
      <c r="G27" s="292"/>
      <c r="H27" s="292">
        <f t="shared" ref="H27:H28" si="3">D27-F27</f>
        <v>0</v>
      </c>
      <c r="I27" s="281"/>
    </row>
    <row r="28" spans="1:9" s="282" customFormat="1" ht="12.75" customHeight="1" x14ac:dyDescent="0.25">
      <c r="A28" s="275"/>
      <c r="B28" s="277"/>
      <c r="C28" s="287" t="s">
        <v>637</v>
      </c>
      <c r="D28" s="292">
        <f>26700-26700</f>
        <v>0</v>
      </c>
      <c r="E28" s="292"/>
      <c r="F28" s="292"/>
      <c r="G28" s="292"/>
      <c r="H28" s="292">
        <f t="shared" si="3"/>
        <v>0</v>
      </c>
      <c r="I28" s="281"/>
    </row>
    <row r="29" spans="1:9" s="282" customFormat="1" ht="12.75" customHeight="1" thickBot="1" x14ac:dyDescent="0.3">
      <c r="A29" s="275"/>
      <c r="B29" s="277"/>
      <c r="C29" s="293" t="s">
        <v>67</v>
      </c>
      <c r="D29" s="290">
        <f>SUM(D26:D28)</f>
        <v>6241.07</v>
      </c>
      <c r="E29" s="294"/>
      <c r="F29" s="290">
        <f>SUM(F26:F28)</f>
        <v>6241.07</v>
      </c>
      <c r="G29" s="294"/>
      <c r="H29" s="290">
        <f>SUM(H26:H28)</f>
        <v>0</v>
      </c>
      <c r="I29" s="281"/>
    </row>
    <row r="30" spans="1:9" s="282" customFormat="1" ht="12.75" customHeight="1" thickTop="1" x14ac:dyDescent="0.25"/>
    <row r="32" spans="1:9" ht="15" customHeight="1" x14ac:dyDescent="0.25">
      <c r="A32" s="274" t="s">
        <v>1417</v>
      </c>
    </row>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63306-B91C-418E-AE95-5B0400FEE4FA}">
  <sheetPr>
    <pageSetUpPr fitToPage="1"/>
  </sheetPr>
  <dimension ref="A1:I30"/>
  <sheetViews>
    <sheetView zoomScaleNormal="100" workbookViewId="0">
      <selection activeCell="A14" sqref="A14"/>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6.4257812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#9521.00'!B1</f>
        <v>DPS D1 1333 Ohio Roof Replacement</v>
      </c>
      <c r="B1" s="3"/>
      <c r="C1" s="4"/>
      <c r="D1" s="4"/>
      <c r="E1" s="4"/>
      <c r="F1" s="28"/>
      <c r="G1" s="28"/>
      <c r="H1" s="29"/>
      <c r="I1" s="29"/>
    </row>
    <row r="2" spans="1:9" ht="15.75" x14ac:dyDescent="0.25">
      <c r="A2" s="6" t="str">
        <f>'RECAP #9521.00'!B2</f>
        <v>Project # 9521.00</v>
      </c>
      <c r="B2" s="5"/>
      <c r="C2" s="4"/>
      <c r="D2" s="4"/>
      <c r="E2" s="4"/>
      <c r="F2" s="28"/>
      <c r="G2" s="28"/>
      <c r="H2" s="29"/>
      <c r="I2" s="29"/>
    </row>
    <row r="3" spans="1:9" ht="15.75" x14ac:dyDescent="0.25">
      <c r="A3" s="7" t="str">
        <f>'RECAP #9521.00'!B3</f>
        <v>Program code 952100</v>
      </c>
      <c r="B3" s="5"/>
      <c r="C3" s="4"/>
      <c r="D3" s="8" t="str">
        <f>'RECAP #9521.00'!E3</f>
        <v>Major Program  4E02</v>
      </c>
      <c r="E3" s="4"/>
      <c r="F3" s="28"/>
      <c r="G3" s="28"/>
      <c r="H3" s="29"/>
      <c r="I3" s="29"/>
    </row>
    <row r="4" spans="1:9" ht="15.75" x14ac:dyDescent="0.25">
      <c r="A4" s="30" t="s">
        <v>253</v>
      </c>
      <c r="B4" s="31"/>
      <c r="C4" s="32"/>
      <c r="D4" s="33" t="s">
        <v>254</v>
      </c>
      <c r="E4" s="28"/>
      <c r="F4" s="28"/>
      <c r="G4" s="28"/>
      <c r="H4" s="29"/>
      <c r="I4" s="29"/>
    </row>
    <row r="5" spans="1:9" ht="15.75" x14ac:dyDescent="0.25">
      <c r="A5" s="34" t="s">
        <v>321</v>
      </c>
      <c r="B5" s="35"/>
      <c r="C5" s="36"/>
      <c r="D5" s="37" t="s">
        <v>1558</v>
      </c>
      <c r="E5" s="38"/>
      <c r="F5" s="39"/>
      <c r="G5" s="39"/>
      <c r="H5" s="35"/>
      <c r="I5" s="29"/>
    </row>
    <row r="6" spans="1:9" ht="15.75" x14ac:dyDescent="0.25">
      <c r="A6" s="11" t="str">
        <f>'RECAP #9521.00'!B6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1559</v>
      </c>
      <c r="B9" s="177">
        <v>46281</v>
      </c>
      <c r="C9" s="231" t="s">
        <v>109</v>
      </c>
      <c r="D9" s="232">
        <v>60845.4</v>
      </c>
      <c r="E9" s="233">
        <f>D9</f>
        <v>60845.4</v>
      </c>
      <c r="F9" s="234"/>
      <c r="G9" s="234"/>
      <c r="H9" s="234">
        <f>E9</f>
        <v>60845.4</v>
      </c>
      <c r="I9" s="298"/>
    </row>
    <row r="10" spans="1:9" s="223" customFormat="1" ht="12.75" customHeight="1" x14ac:dyDescent="0.25">
      <c r="A10" s="230"/>
      <c r="B10" s="177"/>
      <c r="C10" s="231"/>
      <c r="D10" s="232"/>
      <c r="E10" s="233">
        <f t="shared" ref="E10:E21" si="0">E9+D10</f>
        <v>60845.4</v>
      </c>
      <c r="F10" s="238"/>
      <c r="G10" s="234">
        <f t="shared" ref="G10:G21" si="1">G9+F10</f>
        <v>0</v>
      </c>
      <c r="H10" s="234">
        <f t="shared" ref="H10:H21" si="2">H9-F10+D10</f>
        <v>60845.4</v>
      </c>
      <c r="I10" s="235"/>
    </row>
    <row r="11" spans="1:9" s="223" customFormat="1" ht="12.75" customHeight="1" x14ac:dyDescent="0.25">
      <c r="A11" s="230"/>
      <c r="B11" s="177"/>
      <c r="C11" s="231"/>
      <c r="D11" s="233"/>
      <c r="E11" s="233">
        <f t="shared" si="0"/>
        <v>60845.4</v>
      </c>
      <c r="F11" s="238"/>
      <c r="G11" s="234">
        <f t="shared" si="1"/>
        <v>0</v>
      </c>
      <c r="H11" s="234">
        <f t="shared" si="2"/>
        <v>60845.4</v>
      </c>
      <c r="I11" s="235"/>
    </row>
    <row r="12" spans="1:9" s="223" customFormat="1" ht="12.75" customHeight="1" x14ac:dyDescent="0.25">
      <c r="A12" s="230"/>
      <c r="B12" s="177"/>
      <c r="C12" s="231"/>
      <c r="D12" s="233"/>
      <c r="E12" s="233">
        <f t="shared" si="0"/>
        <v>60845.4</v>
      </c>
      <c r="F12" s="238"/>
      <c r="G12" s="234">
        <f t="shared" si="1"/>
        <v>0</v>
      </c>
      <c r="H12" s="234">
        <f t="shared" si="2"/>
        <v>60845.4</v>
      </c>
      <c r="I12" s="235"/>
    </row>
    <row r="13" spans="1:9" s="223" customFormat="1" ht="12.75" customHeight="1" x14ac:dyDescent="0.25">
      <c r="A13" s="230"/>
      <c r="B13" s="177"/>
      <c r="C13" s="231"/>
      <c r="D13" s="233"/>
      <c r="E13" s="233">
        <f t="shared" si="0"/>
        <v>60845.4</v>
      </c>
      <c r="F13" s="238"/>
      <c r="G13" s="234">
        <f t="shared" si="1"/>
        <v>0</v>
      </c>
      <c r="H13" s="234">
        <f t="shared" si="2"/>
        <v>60845.4</v>
      </c>
      <c r="I13" s="235"/>
    </row>
    <row r="14" spans="1:9" s="223" customFormat="1" ht="12.75" customHeight="1" x14ac:dyDescent="0.25">
      <c r="A14" s="230"/>
      <c r="B14" s="177"/>
      <c r="C14" s="231"/>
      <c r="D14" s="233"/>
      <c r="E14" s="233">
        <f t="shared" si="0"/>
        <v>60845.4</v>
      </c>
      <c r="F14" s="234"/>
      <c r="G14" s="234">
        <f t="shared" si="1"/>
        <v>0</v>
      </c>
      <c r="H14" s="234">
        <f t="shared" si="2"/>
        <v>60845.4</v>
      </c>
      <c r="I14" s="235"/>
    </row>
    <row r="15" spans="1:9" s="223" customFormat="1" ht="12.75" customHeight="1" x14ac:dyDescent="0.25">
      <c r="A15" s="230"/>
      <c r="B15" s="177"/>
      <c r="C15" s="231"/>
      <c r="D15" s="233"/>
      <c r="E15" s="233">
        <f t="shared" si="0"/>
        <v>60845.4</v>
      </c>
      <c r="F15" s="238"/>
      <c r="G15" s="234">
        <f t="shared" si="1"/>
        <v>0</v>
      </c>
      <c r="H15" s="234">
        <f t="shared" si="2"/>
        <v>60845.4</v>
      </c>
      <c r="I15" s="235"/>
    </row>
    <row r="16" spans="1:9" s="223" customFormat="1" ht="12.75" customHeight="1" x14ac:dyDescent="0.25">
      <c r="A16" s="230"/>
      <c r="B16" s="177"/>
      <c r="C16" s="231"/>
      <c r="D16" s="233"/>
      <c r="E16" s="233">
        <f t="shared" si="0"/>
        <v>60845.4</v>
      </c>
      <c r="F16" s="238"/>
      <c r="G16" s="234">
        <f t="shared" si="1"/>
        <v>0</v>
      </c>
      <c r="H16" s="234">
        <f t="shared" si="2"/>
        <v>60845.4</v>
      </c>
      <c r="I16" s="235"/>
    </row>
    <row r="17" spans="1:9" s="223" customFormat="1" ht="12.75" customHeight="1" x14ac:dyDescent="0.25">
      <c r="A17" s="230"/>
      <c r="B17" s="177"/>
      <c r="C17" s="231"/>
      <c r="D17" s="233"/>
      <c r="E17" s="233">
        <f t="shared" si="0"/>
        <v>60845.4</v>
      </c>
      <c r="F17" s="238"/>
      <c r="G17" s="234">
        <f t="shared" si="1"/>
        <v>0</v>
      </c>
      <c r="H17" s="234">
        <f t="shared" si="2"/>
        <v>60845.4</v>
      </c>
      <c r="I17" s="235"/>
    </row>
    <row r="18" spans="1:9" s="223" customFormat="1" ht="12.75" customHeight="1" x14ac:dyDescent="0.25">
      <c r="A18" s="230"/>
      <c r="B18" s="177"/>
      <c r="C18" s="231"/>
      <c r="D18" s="233"/>
      <c r="E18" s="233">
        <f t="shared" si="0"/>
        <v>60845.4</v>
      </c>
      <c r="F18" s="238"/>
      <c r="G18" s="234">
        <f t="shared" si="1"/>
        <v>0</v>
      </c>
      <c r="H18" s="234">
        <f t="shared" si="2"/>
        <v>60845.4</v>
      </c>
      <c r="I18" s="235"/>
    </row>
    <row r="19" spans="1:9" s="223" customFormat="1" ht="12.75" customHeight="1" x14ac:dyDescent="0.25">
      <c r="A19" s="230"/>
      <c r="B19" s="177"/>
      <c r="C19" s="231"/>
      <c r="D19" s="233"/>
      <c r="E19" s="233">
        <f t="shared" si="0"/>
        <v>60845.4</v>
      </c>
      <c r="F19" s="234"/>
      <c r="G19" s="234">
        <f t="shared" si="1"/>
        <v>0</v>
      </c>
      <c r="H19" s="234">
        <f t="shared" si="2"/>
        <v>60845.4</v>
      </c>
      <c r="I19" s="235"/>
    </row>
    <row r="20" spans="1:9" s="223" customFormat="1" ht="12.75" customHeight="1" x14ac:dyDescent="0.25">
      <c r="A20" s="230"/>
      <c r="B20" s="177"/>
      <c r="C20" s="231"/>
      <c r="D20" s="233"/>
      <c r="E20" s="233">
        <f t="shared" si="0"/>
        <v>60845.4</v>
      </c>
      <c r="F20" s="234"/>
      <c r="G20" s="234">
        <f t="shared" si="1"/>
        <v>0</v>
      </c>
      <c r="H20" s="234">
        <f t="shared" si="2"/>
        <v>60845.4</v>
      </c>
      <c r="I20" s="235"/>
    </row>
    <row r="21" spans="1:9" s="223" customFormat="1" ht="12.75" customHeight="1" x14ac:dyDescent="0.25">
      <c r="A21" s="230"/>
      <c r="B21" s="177"/>
      <c r="C21" s="239"/>
      <c r="D21" s="233"/>
      <c r="E21" s="233">
        <f t="shared" si="0"/>
        <v>60845.4</v>
      </c>
      <c r="F21" s="234"/>
      <c r="G21" s="234">
        <f t="shared" si="1"/>
        <v>0</v>
      </c>
      <c r="H21" s="234">
        <f t="shared" si="2"/>
        <v>60845.4</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60845.4</v>
      </c>
      <c r="E23" s="245"/>
      <c r="F23" s="245">
        <f>SUM(F9:F22)</f>
        <v>0</v>
      </c>
      <c r="G23" s="245"/>
      <c r="H23" s="245">
        <f>D23-F23</f>
        <v>60845.4</v>
      </c>
      <c r="I23" s="235"/>
    </row>
    <row r="24" spans="1:9" s="223" customFormat="1" ht="12.75" customHeight="1" thickTop="1" x14ac:dyDescent="0.25">
      <c r="A24" s="230"/>
      <c r="B24" s="231"/>
      <c r="C24" s="240"/>
      <c r="D24" s="234"/>
      <c r="E24" s="234"/>
      <c r="F24" s="234"/>
      <c r="G24" s="234"/>
      <c r="H24" s="234"/>
      <c r="I24" s="235"/>
    </row>
    <row r="26" spans="1:9" ht="15" customHeight="1" x14ac:dyDescent="0.25">
      <c r="C26" s="240" t="s">
        <v>110</v>
      </c>
      <c r="D26" s="234">
        <v>34007.9</v>
      </c>
      <c r="E26" s="234"/>
      <c r="F26" s="234"/>
      <c r="G26" s="234"/>
      <c r="H26" s="234">
        <f>D26-F26</f>
        <v>34007.9</v>
      </c>
    </row>
    <row r="27" spans="1:9" ht="15" customHeight="1" x14ac:dyDescent="0.25">
      <c r="C27" s="253" t="s">
        <v>111</v>
      </c>
      <c r="D27" s="254">
        <v>137.5</v>
      </c>
      <c r="E27" s="254"/>
      <c r="F27" s="254"/>
      <c r="G27" s="254"/>
      <c r="H27" s="234">
        <f>D27-F27</f>
        <v>137.5</v>
      </c>
    </row>
    <row r="28" spans="1:9" ht="15" customHeight="1" x14ac:dyDescent="0.25">
      <c r="C28" s="253" t="s">
        <v>637</v>
      </c>
      <c r="D28" s="254">
        <v>26700</v>
      </c>
      <c r="E28" s="254"/>
      <c r="F28" s="254"/>
      <c r="G28" s="254"/>
      <c r="H28" s="234">
        <f>D28-F28</f>
        <v>26700</v>
      </c>
    </row>
    <row r="29" spans="1:9" ht="15" customHeight="1" thickBot="1" x14ac:dyDescent="0.3">
      <c r="C29" s="255" t="s">
        <v>67</v>
      </c>
      <c r="D29" s="256">
        <f>SUM(D25:D28)</f>
        <v>60845.4</v>
      </c>
      <c r="E29" s="257"/>
      <c r="F29" s="256">
        <f>SUM(F25:F28)</f>
        <v>0</v>
      </c>
      <c r="G29" s="257"/>
      <c r="H29" s="256">
        <f>SUM(H25:H28)</f>
        <v>60845.4</v>
      </c>
    </row>
    <row r="30" spans="1:9" ht="15" customHeight="1" thickTop="1" x14ac:dyDescent="0.25"/>
  </sheetData>
  <conditionalFormatting sqref="I8 I10:I23">
    <cfRule type="cellIs" dxfId="9"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E9993-AED1-4282-988E-E19CD07387C3}">
  <sheetPr>
    <pageSetUpPr fitToPage="1"/>
  </sheetPr>
  <dimension ref="A1:G16"/>
  <sheetViews>
    <sheetView zoomScaleNormal="100" workbookViewId="0">
      <selection activeCell="C21" sqref="C21"/>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497</v>
      </c>
      <c r="C1" s="3"/>
      <c r="D1" s="4"/>
      <c r="E1" s="4"/>
      <c r="F1" s="4"/>
      <c r="G1" s="4"/>
    </row>
    <row r="2" spans="1:7" ht="15.75" x14ac:dyDescent="0.25">
      <c r="A2" s="1"/>
      <c r="B2" s="6" t="s">
        <v>509</v>
      </c>
      <c r="C2" s="5"/>
      <c r="D2" s="4"/>
      <c r="E2" s="4"/>
      <c r="F2" s="4"/>
      <c r="G2" s="4"/>
    </row>
    <row r="3" spans="1:7" ht="15.75" x14ac:dyDescent="0.25">
      <c r="A3" s="1"/>
      <c r="B3" s="7" t="s">
        <v>510</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195</v>
      </c>
      <c r="C6" s="12"/>
      <c r="D6" s="13" t="s">
        <v>2</v>
      </c>
      <c r="E6" s="4"/>
      <c r="F6" s="4"/>
      <c r="G6" s="4"/>
    </row>
    <row r="7" spans="1:7" ht="39.75" customHeight="1" thickBot="1" x14ac:dyDescent="0.3">
      <c r="A7" s="1"/>
      <c r="B7" s="14" t="s">
        <v>2</v>
      </c>
      <c r="C7" s="15" t="s">
        <v>3</v>
      </c>
      <c r="D7" s="16" t="s">
        <v>4</v>
      </c>
      <c r="E7" s="17" t="s">
        <v>5</v>
      </c>
      <c r="F7" s="18" t="s">
        <v>6</v>
      </c>
      <c r="G7" s="18" t="s">
        <v>7</v>
      </c>
    </row>
    <row r="8" spans="1:7" ht="28.35" customHeight="1" x14ac:dyDescent="0.25">
      <c r="A8" s="1"/>
      <c r="B8" s="1" t="s">
        <v>8</v>
      </c>
      <c r="C8" s="19">
        <f>FINANCIAL!G40</f>
        <v>250000</v>
      </c>
      <c r="D8" s="20"/>
      <c r="E8" s="20"/>
      <c r="F8" s="20"/>
      <c r="G8" s="21"/>
    </row>
    <row r="9" spans="1:7" s="223" customFormat="1" ht="12.75" customHeight="1" x14ac:dyDescent="0.25">
      <c r="A9" s="246"/>
      <c r="B9" s="247"/>
      <c r="C9" s="267"/>
      <c r="D9" s="249"/>
      <c r="E9" s="249"/>
      <c r="F9" s="249"/>
      <c r="G9" s="250"/>
    </row>
    <row r="10" spans="1:7" s="223" customFormat="1" ht="12.75" customHeight="1" x14ac:dyDescent="0.25">
      <c r="A10" s="246"/>
      <c r="B10" s="247" t="s">
        <v>253</v>
      </c>
      <c r="C10" s="248"/>
      <c r="D10" s="251">
        <f>'#9524.00 McGough Construction'!D23</f>
        <v>18911.310000000001</v>
      </c>
      <c r="E10" s="251">
        <f>'#9524.00 McGough Construction'!F23</f>
        <v>8179.119999999999</v>
      </c>
      <c r="F10" s="251">
        <f>'#9524.00 McGough Construction'!H23</f>
        <v>10732.190000000002</v>
      </c>
      <c r="G10" s="250"/>
    </row>
    <row r="11" spans="1:7" s="223" customFormat="1" ht="12.75" customHeight="1" x14ac:dyDescent="0.25">
      <c r="A11" s="246"/>
      <c r="B11" s="247" t="s">
        <v>10</v>
      </c>
      <c r="C11" s="248"/>
      <c r="D11" s="251">
        <f>'#9524.00 PM TIME'!E33</f>
        <v>10000</v>
      </c>
      <c r="E11" s="251">
        <f>'#9524.00 PM TIME'!G33</f>
        <v>3062.5200000000009</v>
      </c>
      <c r="F11" s="251">
        <f>'#9524.00 PM TIME'!I33</f>
        <v>6937.48</v>
      </c>
      <c r="G11" s="250"/>
    </row>
    <row r="12" spans="1:7" s="223" customFormat="1" ht="12.75" customHeight="1" x14ac:dyDescent="0.25">
      <c r="A12" s="246"/>
      <c r="B12" s="247" t="s">
        <v>11</v>
      </c>
      <c r="C12" s="249"/>
      <c r="D12" s="252">
        <f>'#9524.00 Misc '!G22</f>
        <v>0</v>
      </c>
      <c r="E12" s="252">
        <f>'#9524.00 Misc '!G22</f>
        <v>0</v>
      </c>
      <c r="F12" s="251">
        <f>D12-E12</f>
        <v>0</v>
      </c>
      <c r="G12" s="250"/>
    </row>
    <row r="13" spans="1:7" s="223" customFormat="1" ht="12.75" customHeight="1" x14ac:dyDescent="0.25">
      <c r="A13" s="246"/>
      <c r="B13" s="247" t="s">
        <v>407</v>
      </c>
      <c r="C13" s="249"/>
      <c r="D13" s="252">
        <f>'#9524.00 Shive Hattery'!D23</f>
        <v>42000</v>
      </c>
      <c r="E13" s="252">
        <f>'#9524.00 Shive Hattery'!F23</f>
        <v>18000</v>
      </c>
      <c r="F13" s="251">
        <f>'#9524.00 Shive Hattery'!H23</f>
        <v>24000</v>
      </c>
      <c r="G13" s="250"/>
    </row>
    <row r="14" spans="1:7" s="223" customFormat="1" ht="12.75" customHeight="1" x14ac:dyDescent="0.25">
      <c r="A14" s="246"/>
      <c r="B14" s="247"/>
      <c r="C14" s="249"/>
      <c r="D14" s="252"/>
      <c r="E14" s="252"/>
      <c r="F14" s="251"/>
      <c r="G14" s="250"/>
    </row>
    <row r="15" spans="1:7" ht="24" customHeight="1" thickBot="1" x14ac:dyDescent="0.3">
      <c r="A15" s="25"/>
      <c r="B15" s="26" t="s">
        <v>12</v>
      </c>
      <c r="C15" s="27">
        <f>SUM(C8:C14)</f>
        <v>250000</v>
      </c>
      <c r="D15" s="27">
        <f>SUM(D8:D14)</f>
        <v>70911.31</v>
      </c>
      <c r="E15" s="27">
        <f>SUM(E8:E14)</f>
        <v>29241.64</v>
      </c>
      <c r="F15" s="27">
        <f>SUM(D15-E15)</f>
        <v>41669.67</v>
      </c>
      <c r="G15" s="27">
        <f>C8-D15</f>
        <v>179088.69</v>
      </c>
    </row>
    <row r="16"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77A5C-C237-4F77-9D47-671182DE7BB7}">
  <sheetPr>
    <pageSetUpPr fitToPage="1"/>
  </sheetPr>
  <dimension ref="A1:I29"/>
  <sheetViews>
    <sheetView zoomScaleNormal="100" workbookViewId="0">
      <selection activeCell="F13" sqref="F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2851562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#9524.00'!B1</f>
        <v>DOC ASP SallyPort Tunnel &amp; Living Unit B Tunnel Repair</v>
      </c>
      <c r="B1" s="3"/>
      <c r="C1" s="4"/>
      <c r="D1" s="4"/>
      <c r="E1" s="4"/>
      <c r="F1" s="28"/>
      <c r="G1" s="28"/>
      <c r="H1" s="29"/>
      <c r="I1" s="29"/>
    </row>
    <row r="2" spans="1:9" ht="15.75" x14ac:dyDescent="0.25">
      <c r="A2" s="6" t="str">
        <f>'RECAP #9524.00'!B2</f>
        <v>Project # 9524.00</v>
      </c>
      <c r="B2" s="5"/>
      <c r="C2" s="4"/>
      <c r="D2" s="4"/>
      <c r="E2" s="4"/>
      <c r="F2" s="28"/>
      <c r="G2" s="28"/>
      <c r="H2" s="29"/>
      <c r="I2" s="29"/>
    </row>
    <row r="3" spans="1:9" ht="15.75" x14ac:dyDescent="0.25">
      <c r="A3" s="7" t="str">
        <f>'RECAP #9524.00'!B3</f>
        <v>Program code 952400</v>
      </c>
      <c r="B3" s="5"/>
      <c r="C3" s="4"/>
      <c r="D3" s="8" t="str">
        <f>'RECAP #9524.00'!E3</f>
        <v>Major Program 4E01</v>
      </c>
      <c r="E3" s="4"/>
      <c r="F3" s="28"/>
      <c r="G3" s="28"/>
      <c r="H3" s="29"/>
      <c r="I3" s="29"/>
    </row>
    <row r="4" spans="1:9" ht="15.75" x14ac:dyDescent="0.25">
      <c r="A4" s="30" t="s">
        <v>253</v>
      </c>
      <c r="B4" s="31"/>
      <c r="C4" s="32"/>
      <c r="D4" s="33" t="s">
        <v>254</v>
      </c>
      <c r="E4" s="28"/>
      <c r="F4" s="28"/>
      <c r="G4" s="28"/>
      <c r="H4" s="29"/>
      <c r="I4" s="29"/>
    </row>
    <row r="5" spans="1:9" ht="15.75" x14ac:dyDescent="0.25">
      <c r="A5" s="34" t="s">
        <v>104</v>
      </c>
      <c r="B5" s="35"/>
      <c r="C5" s="36"/>
      <c r="D5" s="37" t="s">
        <v>255</v>
      </c>
      <c r="E5" s="38"/>
      <c r="F5" s="39"/>
      <c r="G5" s="39"/>
      <c r="H5" s="35"/>
      <c r="I5" s="29"/>
    </row>
    <row r="6" spans="1:9" ht="15.75" x14ac:dyDescent="0.25">
      <c r="A6" s="11" t="str">
        <f>'RECAP #9524.00'!B6</f>
        <v>Project Manager - Brandon A.</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1101</v>
      </c>
      <c r="B9" s="177">
        <v>46196</v>
      </c>
      <c r="C9" s="231" t="s">
        <v>109</v>
      </c>
      <c r="D9" s="232">
        <v>18911.310000000001</v>
      </c>
      <c r="E9" s="233">
        <f>D9</f>
        <v>18911.310000000001</v>
      </c>
      <c r="F9" s="234"/>
      <c r="G9" s="234"/>
      <c r="H9" s="234">
        <f>E9</f>
        <v>18911.310000000001</v>
      </c>
      <c r="I9" s="298"/>
    </row>
    <row r="10" spans="1:9" s="223" customFormat="1" ht="12.75" customHeight="1" x14ac:dyDescent="0.25">
      <c r="A10" s="328" t="s">
        <v>1211</v>
      </c>
      <c r="B10" s="335">
        <v>46216</v>
      </c>
      <c r="C10" s="330" t="s">
        <v>1212</v>
      </c>
      <c r="D10" s="331"/>
      <c r="E10" s="331">
        <f t="shared" ref="E10:E21" si="0">E9+D10</f>
        <v>18911.310000000001</v>
      </c>
      <c r="F10" s="338">
        <v>4065.85</v>
      </c>
      <c r="G10" s="332">
        <f t="shared" ref="G10:G21" si="1">G9+F10</f>
        <v>4065.85</v>
      </c>
      <c r="H10" s="332">
        <f t="shared" ref="H10:H21" si="2">H9-F10+D10</f>
        <v>14845.460000000001</v>
      </c>
      <c r="I10" s="333" t="s">
        <v>1285</v>
      </c>
    </row>
    <row r="11" spans="1:9" s="223" customFormat="1" ht="12.75" customHeight="1" x14ac:dyDescent="0.25">
      <c r="A11" s="230" t="s">
        <v>1378</v>
      </c>
      <c r="B11" s="177">
        <v>46231</v>
      </c>
      <c r="C11" s="231" t="s">
        <v>1286</v>
      </c>
      <c r="D11" s="232">
        <v>0</v>
      </c>
      <c r="E11" s="233">
        <f t="shared" si="0"/>
        <v>18911.310000000001</v>
      </c>
      <c r="F11" s="238"/>
      <c r="G11" s="234">
        <f t="shared" si="1"/>
        <v>4065.85</v>
      </c>
      <c r="H11" s="234">
        <f t="shared" si="2"/>
        <v>14845.460000000001</v>
      </c>
      <c r="I11" s="235"/>
    </row>
    <row r="12" spans="1:9" s="223" customFormat="1" ht="12.75" customHeight="1" x14ac:dyDescent="0.25">
      <c r="A12" s="230" t="s">
        <v>1472</v>
      </c>
      <c r="B12" s="177">
        <v>46255</v>
      </c>
      <c r="C12" s="231" t="s">
        <v>1473</v>
      </c>
      <c r="D12" s="233"/>
      <c r="E12" s="233">
        <f t="shared" si="0"/>
        <v>18911.310000000001</v>
      </c>
      <c r="F12" s="237">
        <v>781.13</v>
      </c>
      <c r="G12" s="234">
        <f t="shared" si="1"/>
        <v>4846.9799999999996</v>
      </c>
      <c r="H12" s="234">
        <f t="shared" si="2"/>
        <v>14064.330000000002</v>
      </c>
      <c r="I12" s="235"/>
    </row>
    <row r="13" spans="1:9" s="223" customFormat="1" ht="12.75" customHeight="1" x14ac:dyDescent="0.25">
      <c r="A13" s="230" t="s">
        <v>1566</v>
      </c>
      <c r="B13" s="177">
        <v>46282</v>
      </c>
      <c r="C13" s="231" t="s">
        <v>1567</v>
      </c>
      <c r="D13" s="233"/>
      <c r="E13" s="233">
        <f t="shared" si="0"/>
        <v>18911.310000000001</v>
      </c>
      <c r="F13" s="237">
        <v>3332.14</v>
      </c>
      <c r="G13" s="234">
        <f t="shared" si="1"/>
        <v>8179.119999999999</v>
      </c>
      <c r="H13" s="234">
        <f t="shared" si="2"/>
        <v>10732.190000000002</v>
      </c>
      <c r="I13" s="235"/>
    </row>
    <row r="14" spans="1:9" s="223" customFormat="1" ht="12.75" customHeight="1" x14ac:dyDescent="0.25">
      <c r="A14" s="230"/>
      <c r="B14" s="177"/>
      <c r="C14" s="231"/>
      <c r="D14" s="233"/>
      <c r="E14" s="233">
        <f t="shared" si="0"/>
        <v>18911.310000000001</v>
      </c>
      <c r="F14" s="234"/>
      <c r="G14" s="234">
        <f t="shared" si="1"/>
        <v>8179.119999999999</v>
      </c>
      <c r="H14" s="234">
        <f t="shared" si="2"/>
        <v>10732.190000000002</v>
      </c>
      <c r="I14" s="235"/>
    </row>
    <row r="15" spans="1:9" s="223" customFormat="1" ht="12.75" customHeight="1" x14ac:dyDescent="0.25">
      <c r="A15" s="230"/>
      <c r="B15" s="177"/>
      <c r="C15" s="231"/>
      <c r="D15" s="233"/>
      <c r="E15" s="233">
        <f t="shared" si="0"/>
        <v>18911.310000000001</v>
      </c>
      <c r="F15" s="238"/>
      <c r="G15" s="234">
        <f t="shared" si="1"/>
        <v>8179.119999999999</v>
      </c>
      <c r="H15" s="234">
        <f t="shared" si="2"/>
        <v>10732.190000000002</v>
      </c>
      <c r="I15" s="235"/>
    </row>
    <row r="16" spans="1:9" s="223" customFormat="1" ht="12.75" customHeight="1" x14ac:dyDescent="0.25">
      <c r="A16" s="230"/>
      <c r="B16" s="177"/>
      <c r="C16" s="231"/>
      <c r="D16" s="233"/>
      <c r="E16" s="233">
        <f t="shared" si="0"/>
        <v>18911.310000000001</v>
      </c>
      <c r="F16" s="238"/>
      <c r="G16" s="234">
        <f t="shared" si="1"/>
        <v>8179.119999999999</v>
      </c>
      <c r="H16" s="234">
        <f t="shared" si="2"/>
        <v>10732.190000000002</v>
      </c>
      <c r="I16" s="235"/>
    </row>
    <row r="17" spans="1:9" s="223" customFormat="1" ht="12.75" customHeight="1" x14ac:dyDescent="0.25">
      <c r="A17" s="230"/>
      <c r="B17" s="177"/>
      <c r="C17" s="231"/>
      <c r="D17" s="233"/>
      <c r="E17" s="233">
        <f t="shared" si="0"/>
        <v>18911.310000000001</v>
      </c>
      <c r="F17" s="238"/>
      <c r="G17" s="234">
        <f t="shared" si="1"/>
        <v>8179.119999999999</v>
      </c>
      <c r="H17" s="234">
        <f t="shared" si="2"/>
        <v>10732.190000000002</v>
      </c>
      <c r="I17" s="235"/>
    </row>
    <row r="18" spans="1:9" s="223" customFormat="1" ht="12.75" customHeight="1" x14ac:dyDescent="0.25">
      <c r="A18" s="230"/>
      <c r="B18" s="177"/>
      <c r="C18" s="231"/>
      <c r="D18" s="233"/>
      <c r="E18" s="233">
        <f t="shared" si="0"/>
        <v>18911.310000000001</v>
      </c>
      <c r="F18" s="238"/>
      <c r="G18" s="234">
        <f t="shared" si="1"/>
        <v>8179.119999999999</v>
      </c>
      <c r="H18" s="234">
        <f t="shared" si="2"/>
        <v>10732.190000000002</v>
      </c>
      <c r="I18" s="235"/>
    </row>
    <row r="19" spans="1:9" s="223" customFormat="1" ht="12.75" customHeight="1" x14ac:dyDescent="0.25">
      <c r="A19" s="230"/>
      <c r="B19" s="177"/>
      <c r="C19" s="231"/>
      <c r="D19" s="233"/>
      <c r="E19" s="233">
        <f t="shared" si="0"/>
        <v>18911.310000000001</v>
      </c>
      <c r="F19" s="234"/>
      <c r="G19" s="234">
        <f t="shared" si="1"/>
        <v>8179.119999999999</v>
      </c>
      <c r="H19" s="234">
        <f t="shared" si="2"/>
        <v>10732.190000000002</v>
      </c>
      <c r="I19" s="235"/>
    </row>
    <row r="20" spans="1:9" s="223" customFormat="1" ht="12.75" customHeight="1" x14ac:dyDescent="0.25">
      <c r="A20" s="230"/>
      <c r="B20" s="177"/>
      <c r="C20" s="231"/>
      <c r="D20" s="233"/>
      <c r="E20" s="233">
        <f t="shared" si="0"/>
        <v>18911.310000000001</v>
      </c>
      <c r="F20" s="234"/>
      <c r="G20" s="234">
        <f t="shared" si="1"/>
        <v>8179.119999999999</v>
      </c>
      <c r="H20" s="234">
        <f t="shared" si="2"/>
        <v>10732.190000000002</v>
      </c>
      <c r="I20" s="235"/>
    </row>
    <row r="21" spans="1:9" s="223" customFormat="1" ht="12.75" customHeight="1" x14ac:dyDescent="0.25">
      <c r="A21" s="230"/>
      <c r="B21" s="177"/>
      <c r="C21" s="239"/>
      <c r="D21" s="233"/>
      <c r="E21" s="233">
        <f t="shared" si="0"/>
        <v>18911.310000000001</v>
      </c>
      <c r="F21" s="234"/>
      <c r="G21" s="234">
        <f t="shared" si="1"/>
        <v>8179.119999999999</v>
      </c>
      <c r="H21" s="234">
        <f t="shared" si="2"/>
        <v>10732.190000000002</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18911.310000000001</v>
      </c>
      <c r="E23" s="245"/>
      <c r="F23" s="245">
        <f>SUM(F9:F22)</f>
        <v>8179.119999999999</v>
      </c>
      <c r="G23" s="245"/>
      <c r="H23" s="245">
        <f>D23-F23</f>
        <v>10732.190000000002</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18136.310000000001</v>
      </c>
      <c r="E26" s="254"/>
      <c r="F26" s="254">
        <f>3995.85+781.13+3332.14</f>
        <v>8109.119999999999</v>
      </c>
      <c r="G26" s="254"/>
      <c r="H26" s="254">
        <f>D26-F26</f>
        <v>10027.190000000002</v>
      </c>
      <c r="I26" s="235"/>
    </row>
    <row r="27" spans="1:9" s="223" customFormat="1" ht="12.75" customHeight="1" x14ac:dyDescent="0.25">
      <c r="A27" s="230"/>
      <c r="B27" s="231"/>
      <c r="C27" s="253" t="s">
        <v>111</v>
      </c>
      <c r="D27" s="254">
        <v>775</v>
      </c>
      <c r="E27" s="254"/>
      <c r="F27" s="254">
        <f>70</f>
        <v>70</v>
      </c>
      <c r="G27" s="254"/>
      <c r="H27" s="254">
        <f>D27-F27</f>
        <v>705</v>
      </c>
      <c r="I27" s="235"/>
    </row>
    <row r="28" spans="1:9" s="223" customFormat="1" ht="12.75" customHeight="1" thickBot="1" x14ac:dyDescent="0.3">
      <c r="A28" s="230"/>
      <c r="B28" s="231"/>
      <c r="C28" s="255" t="s">
        <v>67</v>
      </c>
      <c r="D28" s="256">
        <f>SUM(D26:D27)</f>
        <v>18911.310000000001</v>
      </c>
      <c r="E28" s="257"/>
      <c r="F28" s="256">
        <f>SUM(F26:F27)</f>
        <v>8179.119999999999</v>
      </c>
      <c r="G28" s="257"/>
      <c r="H28" s="256">
        <f>SUM(H26:H27)</f>
        <v>10732.190000000002</v>
      </c>
      <c r="I28" s="235"/>
    </row>
    <row r="29" spans="1:9" s="223" customFormat="1" ht="12.75" customHeight="1" thickTop="1" x14ac:dyDescent="0.25"/>
  </sheetData>
  <conditionalFormatting sqref="I8 I11:I23">
    <cfRule type="cellIs" dxfId="8" priority="1" operator="greaterThan">
      <formula>$H$23</formula>
    </cfRule>
  </conditionalFormatting>
  <pageMargins left="0.25" right="0.25" top="0.95" bottom="0.75" header="0.09" footer="0.3"/>
  <pageSetup scale="79"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53A11-C2A5-4C4E-8785-D8AAB3EA6D4E}">
  <sheetPr>
    <pageSetUpPr fitToPage="1"/>
  </sheetPr>
  <dimension ref="A1:N35"/>
  <sheetViews>
    <sheetView topLeftCell="A6" zoomScaleNormal="100" workbookViewId="0">
      <selection activeCell="G28" sqref="G28"/>
    </sheetView>
  </sheetViews>
  <sheetFormatPr defaultColWidth="11.42578125" defaultRowHeight="15" customHeight="1" x14ac:dyDescent="0.25"/>
  <cols>
    <col min="1" max="1" width="24.5703125" customWidth="1"/>
    <col min="2" max="3" width="9.42578125" customWidth="1"/>
    <col min="4" max="4" width="41.710937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#9524.00'!B1</f>
        <v>DOC ASP SallyPort Tunnel &amp; Living Unit B Tunnel Repair</v>
      </c>
      <c r="B1" s="3"/>
      <c r="C1" s="3"/>
      <c r="D1" s="4"/>
      <c r="E1" s="4"/>
      <c r="F1" s="4"/>
      <c r="G1" s="28"/>
      <c r="H1" s="28"/>
      <c r="I1" s="29"/>
      <c r="J1" s="29"/>
    </row>
    <row r="2" spans="1:10" ht="15.75" x14ac:dyDescent="0.25">
      <c r="A2" s="6" t="str">
        <f>'RECAP #9524.00'!B2</f>
        <v>Project # 9524.00</v>
      </c>
      <c r="B2" s="5"/>
      <c r="C2" s="5"/>
      <c r="D2" s="4"/>
      <c r="E2" s="4"/>
      <c r="F2" s="4"/>
      <c r="G2" s="28"/>
      <c r="H2" s="28"/>
      <c r="I2" s="29"/>
      <c r="J2" s="29"/>
    </row>
    <row r="3" spans="1:10" ht="15.75" x14ac:dyDescent="0.25">
      <c r="A3" s="7" t="str">
        <f>'RECAP #9524.00'!B3</f>
        <v>Program code 952400</v>
      </c>
      <c r="B3" s="5"/>
      <c r="C3" s="5"/>
      <c r="D3" s="4"/>
      <c r="E3" s="8" t="str">
        <f>'RECAP #9524.00'!E3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522</v>
      </c>
      <c r="F6" s="42"/>
      <c r="G6" s="43"/>
      <c r="H6" s="39"/>
      <c r="I6" s="35"/>
      <c r="J6" s="29"/>
    </row>
    <row r="7" spans="1:10" ht="15.75" x14ac:dyDescent="0.25">
      <c r="A7" s="11" t="str">
        <f>'RECAP #9524.00'!B6</f>
        <v>Project Manager - Brandon A.</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f>5000+5000</f>
        <v>10000</v>
      </c>
      <c r="F9" s="233">
        <f>E9</f>
        <v>10000</v>
      </c>
      <c r="G9" s="234"/>
      <c r="H9" s="234"/>
      <c r="I9" s="234">
        <f>F9</f>
        <v>10000</v>
      </c>
      <c r="J9" s="235"/>
    </row>
    <row r="10" spans="1:10" s="223" customFormat="1" ht="12.75" customHeight="1" x14ac:dyDescent="0.2">
      <c r="A10" s="70" t="s">
        <v>644</v>
      </c>
      <c r="B10" s="50">
        <v>46090</v>
      </c>
      <c r="C10" s="53" t="s">
        <v>261</v>
      </c>
      <c r="D10" s="144" t="s">
        <v>645</v>
      </c>
      <c r="E10" s="233"/>
      <c r="F10" s="233">
        <f t="shared" ref="F10:F31" si="0">F9+E10</f>
        <v>10000</v>
      </c>
      <c r="G10" s="237">
        <v>52.54</v>
      </c>
      <c r="H10" s="234">
        <f t="shared" ref="H10:H31" si="1">H9+G10</f>
        <v>52.54</v>
      </c>
      <c r="I10" s="234">
        <f t="shared" ref="I10:I31" si="2">I9-G10+E10</f>
        <v>9947.4599999999991</v>
      </c>
      <c r="J10" s="235"/>
    </row>
    <row r="11" spans="1:10" s="223" customFormat="1" ht="12.75" customHeight="1" x14ac:dyDescent="0.2">
      <c r="A11" s="70" t="s">
        <v>644</v>
      </c>
      <c r="B11" s="50">
        <v>46090</v>
      </c>
      <c r="C11" s="268">
        <v>9500</v>
      </c>
      <c r="D11" s="66" t="s">
        <v>646</v>
      </c>
      <c r="E11" s="233"/>
      <c r="F11" s="233">
        <f t="shared" si="0"/>
        <v>10000</v>
      </c>
      <c r="G11" s="237">
        <v>610.70000000000005</v>
      </c>
      <c r="H11" s="234">
        <f t="shared" si="1"/>
        <v>663.24</v>
      </c>
      <c r="I11" s="234">
        <f t="shared" si="2"/>
        <v>9336.7599999999984</v>
      </c>
      <c r="J11" s="235"/>
    </row>
    <row r="12" spans="1:10" s="223" customFormat="1" ht="12.75" customHeight="1" x14ac:dyDescent="0.2">
      <c r="A12" s="70" t="s">
        <v>744</v>
      </c>
      <c r="B12" s="50">
        <v>46118</v>
      </c>
      <c r="C12" s="53" t="s">
        <v>261</v>
      </c>
      <c r="D12" s="144" t="s">
        <v>745</v>
      </c>
      <c r="E12" s="233"/>
      <c r="F12" s="233">
        <f t="shared" si="0"/>
        <v>10000</v>
      </c>
      <c r="G12" s="237">
        <v>98.12</v>
      </c>
      <c r="H12" s="234">
        <f t="shared" si="1"/>
        <v>761.36</v>
      </c>
      <c r="I12" s="234">
        <f t="shared" si="2"/>
        <v>9238.6399999999976</v>
      </c>
      <c r="J12" s="235"/>
    </row>
    <row r="13" spans="1:10" s="223" customFormat="1" ht="12.75" customHeight="1" x14ac:dyDescent="0.2">
      <c r="A13" s="70" t="s">
        <v>744</v>
      </c>
      <c r="B13" s="50">
        <v>46118</v>
      </c>
      <c r="C13" s="268">
        <v>9500</v>
      </c>
      <c r="D13" s="66" t="s">
        <v>746</v>
      </c>
      <c r="E13" s="233"/>
      <c r="F13" s="233">
        <f t="shared" si="0"/>
        <v>10000</v>
      </c>
      <c r="G13" s="237">
        <v>797.6</v>
      </c>
      <c r="H13" s="234">
        <f t="shared" si="1"/>
        <v>1558.96</v>
      </c>
      <c r="I13" s="234">
        <f t="shared" si="2"/>
        <v>8441.0399999999972</v>
      </c>
      <c r="J13" s="235"/>
    </row>
    <row r="14" spans="1:10" s="223" customFormat="1" ht="12.75" customHeight="1" x14ac:dyDescent="0.2">
      <c r="A14" s="70" t="s">
        <v>869</v>
      </c>
      <c r="B14" s="50">
        <v>46149</v>
      </c>
      <c r="C14" s="53" t="s">
        <v>261</v>
      </c>
      <c r="D14" s="144" t="s">
        <v>870</v>
      </c>
      <c r="E14" s="233"/>
      <c r="F14" s="233">
        <f t="shared" si="0"/>
        <v>10000</v>
      </c>
      <c r="G14" s="237">
        <v>145.56</v>
      </c>
      <c r="H14" s="234">
        <f t="shared" si="1"/>
        <v>1704.52</v>
      </c>
      <c r="I14" s="234">
        <f t="shared" si="2"/>
        <v>8295.4799999999977</v>
      </c>
      <c r="J14" s="235"/>
    </row>
    <row r="15" spans="1:10" s="223" customFormat="1" ht="12.75" customHeight="1" x14ac:dyDescent="0.2">
      <c r="A15" s="70" t="s">
        <v>869</v>
      </c>
      <c r="B15" s="50">
        <v>46149</v>
      </c>
      <c r="C15" s="268">
        <v>9500</v>
      </c>
      <c r="D15" s="66" t="s">
        <v>871</v>
      </c>
      <c r="E15" s="233"/>
      <c r="F15" s="233">
        <f t="shared" si="0"/>
        <v>10000</v>
      </c>
      <c r="G15" s="237">
        <v>1513.5</v>
      </c>
      <c r="H15" s="234">
        <f t="shared" si="1"/>
        <v>3218.02</v>
      </c>
      <c r="I15" s="234">
        <f t="shared" si="2"/>
        <v>6781.9799999999977</v>
      </c>
      <c r="J15" s="235"/>
    </row>
    <row r="16" spans="1:10" s="223" customFormat="1" ht="12.75" customHeight="1" x14ac:dyDescent="0.2">
      <c r="A16" s="70" t="s">
        <v>984</v>
      </c>
      <c r="B16" s="50">
        <v>46181</v>
      </c>
      <c r="C16" s="53" t="s">
        <v>261</v>
      </c>
      <c r="D16" s="144" t="s">
        <v>985</v>
      </c>
      <c r="E16" s="233"/>
      <c r="F16" s="233">
        <f t="shared" si="0"/>
        <v>10000</v>
      </c>
      <c r="G16" s="237">
        <v>121.98</v>
      </c>
      <c r="H16" s="234">
        <f t="shared" si="1"/>
        <v>3340</v>
      </c>
      <c r="I16" s="234">
        <f t="shared" si="2"/>
        <v>6659.9999999999982</v>
      </c>
      <c r="J16" s="235"/>
    </row>
    <row r="17" spans="1:14" s="223" customFormat="1" ht="12.75" customHeight="1" x14ac:dyDescent="0.2">
      <c r="A17" s="70" t="s">
        <v>984</v>
      </c>
      <c r="B17" s="50">
        <v>46181</v>
      </c>
      <c r="C17" s="268">
        <v>9500</v>
      </c>
      <c r="D17" s="66" t="s">
        <v>986</v>
      </c>
      <c r="E17" s="233"/>
      <c r="F17" s="233">
        <f t="shared" si="0"/>
        <v>10000</v>
      </c>
      <c r="G17" s="237">
        <v>1496.1</v>
      </c>
      <c r="H17" s="234">
        <f t="shared" si="1"/>
        <v>4836.1000000000004</v>
      </c>
      <c r="I17" s="234">
        <f t="shared" si="2"/>
        <v>5163.8999999999978</v>
      </c>
      <c r="J17" s="235"/>
    </row>
    <row r="18" spans="1:14" s="223" customFormat="1" ht="12.75" customHeight="1" x14ac:dyDescent="0.2">
      <c r="A18" s="70" t="s">
        <v>1186</v>
      </c>
      <c r="B18" s="50">
        <v>46211</v>
      </c>
      <c r="C18" s="53" t="s">
        <v>261</v>
      </c>
      <c r="D18" s="144" t="s">
        <v>1187</v>
      </c>
      <c r="E18" s="233"/>
      <c r="F18" s="233">
        <f t="shared" si="0"/>
        <v>10000</v>
      </c>
      <c r="G18" s="237">
        <v>239.93</v>
      </c>
      <c r="H18" s="234">
        <f t="shared" si="1"/>
        <v>5076.0300000000007</v>
      </c>
      <c r="I18" s="234">
        <f t="shared" si="2"/>
        <v>4923.9699999999975</v>
      </c>
      <c r="J18" s="235"/>
    </row>
    <row r="19" spans="1:14" s="223" customFormat="1" ht="12.75" customHeight="1" x14ac:dyDescent="0.2">
      <c r="A19" s="70" t="s">
        <v>1186</v>
      </c>
      <c r="B19" s="50">
        <v>46211</v>
      </c>
      <c r="C19" s="268">
        <v>9500</v>
      </c>
      <c r="D19" s="66" t="s">
        <v>1188</v>
      </c>
      <c r="E19" s="233"/>
      <c r="F19" s="233">
        <f t="shared" si="0"/>
        <v>10000</v>
      </c>
      <c r="G19" s="237">
        <v>2763.5</v>
      </c>
      <c r="H19" s="234">
        <f t="shared" si="1"/>
        <v>7839.5300000000007</v>
      </c>
      <c r="I19" s="234">
        <f t="shared" si="2"/>
        <v>2160.4699999999975</v>
      </c>
      <c r="J19" s="235"/>
    </row>
    <row r="20" spans="1:14" s="223" customFormat="1" ht="12.75" customHeight="1" x14ac:dyDescent="0.2">
      <c r="A20" s="70" t="s">
        <v>1265</v>
      </c>
      <c r="B20" s="50">
        <v>46218</v>
      </c>
      <c r="C20" s="53" t="s">
        <v>261</v>
      </c>
      <c r="D20" s="144" t="s">
        <v>1266</v>
      </c>
      <c r="E20" s="233"/>
      <c r="F20" s="233">
        <f t="shared" si="0"/>
        <v>10000</v>
      </c>
      <c r="G20" s="237">
        <v>96.12</v>
      </c>
      <c r="H20" s="234">
        <f t="shared" si="1"/>
        <v>7935.6500000000005</v>
      </c>
      <c r="I20" s="234">
        <f t="shared" si="2"/>
        <v>2064.3499999999976</v>
      </c>
      <c r="J20" s="235"/>
    </row>
    <row r="21" spans="1:14" s="223" customFormat="1" ht="12.75" customHeight="1" x14ac:dyDescent="0.2">
      <c r="A21" s="70" t="s">
        <v>1426</v>
      </c>
      <c r="B21" s="50">
        <v>46241</v>
      </c>
      <c r="C21" s="268">
        <v>2507</v>
      </c>
      <c r="D21" s="144" t="s">
        <v>1404</v>
      </c>
      <c r="E21" s="233"/>
      <c r="F21" s="233">
        <f t="shared" si="0"/>
        <v>10000</v>
      </c>
      <c r="G21" s="357">
        <v>-366.91</v>
      </c>
      <c r="H21" s="234">
        <f t="shared" si="1"/>
        <v>7568.7400000000007</v>
      </c>
      <c r="I21" s="234">
        <f t="shared" si="2"/>
        <v>2431.2599999999975</v>
      </c>
      <c r="J21" s="235"/>
    </row>
    <row r="22" spans="1:14" s="223" customFormat="1" ht="12.75" customHeight="1" x14ac:dyDescent="0.2">
      <c r="A22" s="70" t="s">
        <v>1426</v>
      </c>
      <c r="B22" s="50">
        <v>46241</v>
      </c>
      <c r="C22" s="268">
        <v>9500</v>
      </c>
      <c r="D22" s="144" t="s">
        <v>1404</v>
      </c>
      <c r="E22" s="233"/>
      <c r="F22" s="233">
        <f t="shared" si="0"/>
        <v>10000</v>
      </c>
      <c r="G22" s="357">
        <v>-6414.2</v>
      </c>
      <c r="H22" s="234">
        <f t="shared" si="1"/>
        <v>1154.5400000000009</v>
      </c>
      <c r="I22" s="234">
        <f t="shared" si="2"/>
        <v>8845.4599999999973</v>
      </c>
      <c r="J22" s="235"/>
    </row>
    <row r="23" spans="1:14" s="223" customFormat="1" ht="12.75" customHeight="1" x14ac:dyDescent="0.2">
      <c r="A23" s="70" t="s">
        <v>1436</v>
      </c>
      <c r="B23" s="365">
        <v>46241</v>
      </c>
      <c r="C23" s="53" t="s">
        <v>261</v>
      </c>
      <c r="D23" s="144" t="s">
        <v>1437</v>
      </c>
      <c r="E23" s="233"/>
      <c r="F23" s="233">
        <f t="shared" si="0"/>
        <v>10000</v>
      </c>
      <c r="G23" s="237">
        <v>222.48</v>
      </c>
      <c r="H23" s="234">
        <f t="shared" si="1"/>
        <v>1377.0200000000009</v>
      </c>
      <c r="I23" s="234">
        <f t="shared" si="2"/>
        <v>8622.9799999999977</v>
      </c>
      <c r="J23" s="235"/>
    </row>
    <row r="24" spans="1:14" s="223" customFormat="1" ht="12.75" customHeight="1" x14ac:dyDescent="0.2">
      <c r="A24" s="70" t="s">
        <v>1436</v>
      </c>
      <c r="B24" s="365">
        <v>46241</v>
      </c>
      <c r="C24" s="268">
        <v>9500</v>
      </c>
      <c r="D24" s="66" t="s">
        <v>1438</v>
      </c>
      <c r="E24" s="233"/>
      <c r="F24" s="233">
        <f t="shared" si="0"/>
        <v>10000</v>
      </c>
      <c r="G24" s="237">
        <v>2391.3000000000002</v>
      </c>
      <c r="H24" s="234">
        <f t="shared" si="1"/>
        <v>3768.3200000000011</v>
      </c>
      <c r="I24" s="234">
        <f t="shared" si="2"/>
        <v>6231.6799999999976</v>
      </c>
      <c r="J24" s="235"/>
    </row>
    <row r="25" spans="1:14" s="223" customFormat="1" ht="12.75" customHeight="1" x14ac:dyDescent="0.2">
      <c r="A25" s="70" t="s">
        <v>1490</v>
      </c>
      <c r="B25" s="50">
        <v>46248</v>
      </c>
      <c r="C25" s="53" t="s">
        <v>261</v>
      </c>
      <c r="D25" s="144" t="s">
        <v>1404</v>
      </c>
      <c r="E25" s="233"/>
      <c r="F25" s="233">
        <f t="shared" si="0"/>
        <v>10000</v>
      </c>
      <c r="G25" s="357">
        <v>-168.88</v>
      </c>
      <c r="H25" s="234">
        <f t="shared" si="1"/>
        <v>3599.440000000001</v>
      </c>
      <c r="I25" s="234">
        <f t="shared" si="2"/>
        <v>6400.5599999999977</v>
      </c>
      <c r="J25" s="235"/>
      <c r="N25" s="237"/>
    </row>
    <row r="26" spans="1:14" s="223" customFormat="1" ht="12.75" customHeight="1" x14ac:dyDescent="0.2">
      <c r="A26" s="70" t="s">
        <v>1490</v>
      </c>
      <c r="B26" s="50">
        <v>46248</v>
      </c>
      <c r="C26" s="268">
        <v>9500</v>
      </c>
      <c r="D26" s="144" t="s">
        <v>1404</v>
      </c>
      <c r="E26" s="233"/>
      <c r="F26" s="233">
        <f t="shared" si="0"/>
        <v>10000</v>
      </c>
      <c r="G26" s="357">
        <v>-1815.7</v>
      </c>
      <c r="H26" s="234">
        <f t="shared" si="1"/>
        <v>1783.7400000000009</v>
      </c>
      <c r="I26" s="234">
        <f t="shared" si="2"/>
        <v>8216.2599999999984</v>
      </c>
      <c r="J26" s="235"/>
      <c r="N26" s="237"/>
    </row>
    <row r="27" spans="1:14" s="223" customFormat="1" ht="12.75" customHeight="1" x14ac:dyDescent="0.2">
      <c r="A27" s="70" t="s">
        <v>1531</v>
      </c>
      <c r="B27" s="50">
        <v>46272</v>
      </c>
      <c r="C27" s="53" t="s">
        <v>261</v>
      </c>
      <c r="D27" s="144" t="s">
        <v>1532</v>
      </c>
      <c r="E27" s="233"/>
      <c r="F27" s="233">
        <f t="shared" si="0"/>
        <v>10000</v>
      </c>
      <c r="G27" s="357">
        <v>118.78</v>
      </c>
      <c r="H27" s="234">
        <f t="shared" si="1"/>
        <v>1902.5200000000009</v>
      </c>
      <c r="I27" s="234">
        <f t="shared" si="2"/>
        <v>8097.4799999999987</v>
      </c>
      <c r="J27" s="235"/>
      <c r="N27" s="237"/>
    </row>
    <row r="28" spans="1:14" s="223" customFormat="1" ht="12.75" customHeight="1" x14ac:dyDescent="0.2">
      <c r="A28" s="70" t="s">
        <v>1531</v>
      </c>
      <c r="B28" s="50">
        <v>46272</v>
      </c>
      <c r="C28" s="268">
        <v>9500</v>
      </c>
      <c r="D28" s="66" t="s">
        <v>1533</v>
      </c>
      <c r="E28" s="233"/>
      <c r="F28" s="233">
        <f t="shared" si="0"/>
        <v>10000</v>
      </c>
      <c r="G28" s="357">
        <v>1160</v>
      </c>
      <c r="H28" s="234">
        <f t="shared" si="1"/>
        <v>3062.5200000000009</v>
      </c>
      <c r="I28" s="234">
        <f t="shared" si="2"/>
        <v>6937.4799999999987</v>
      </c>
      <c r="J28" s="235"/>
      <c r="N28" s="237"/>
    </row>
    <row r="29" spans="1:14" s="223" customFormat="1" ht="12.75" customHeight="1" x14ac:dyDescent="0.2">
      <c r="A29" s="70"/>
      <c r="B29" s="365"/>
      <c r="C29" s="268"/>
      <c r="D29" s="66"/>
      <c r="E29" s="233"/>
      <c r="F29" s="233">
        <f t="shared" si="0"/>
        <v>10000</v>
      </c>
      <c r="G29" s="357"/>
      <c r="H29" s="234">
        <f t="shared" si="1"/>
        <v>3062.5200000000009</v>
      </c>
      <c r="I29" s="234">
        <f t="shared" si="2"/>
        <v>6937.4799999999987</v>
      </c>
      <c r="J29" s="235"/>
      <c r="N29" s="237"/>
    </row>
    <row r="30" spans="1:14" s="223" customFormat="1" ht="12.75" customHeight="1" x14ac:dyDescent="0.2">
      <c r="A30" s="70"/>
      <c r="B30" s="365"/>
      <c r="C30" s="268"/>
      <c r="D30" s="66"/>
      <c r="E30" s="233"/>
      <c r="F30" s="233">
        <f t="shared" si="0"/>
        <v>10000</v>
      </c>
      <c r="G30" s="357"/>
      <c r="H30" s="234">
        <f t="shared" si="1"/>
        <v>3062.5200000000009</v>
      </c>
      <c r="I30" s="234">
        <f t="shared" si="2"/>
        <v>6937.4799999999987</v>
      </c>
      <c r="J30" s="235"/>
      <c r="N30" s="237"/>
    </row>
    <row r="31" spans="1:14" s="223" customFormat="1" ht="12.75" customHeight="1" x14ac:dyDescent="0.2">
      <c r="A31" s="241"/>
      <c r="B31" s="177"/>
      <c r="C31" s="268"/>
      <c r="D31" s="258"/>
      <c r="E31" s="233"/>
      <c r="F31" s="233">
        <f t="shared" si="0"/>
        <v>10000</v>
      </c>
      <c r="G31" s="234"/>
      <c r="H31" s="234">
        <f t="shared" si="1"/>
        <v>3062.5200000000009</v>
      </c>
      <c r="I31" s="234">
        <f t="shared" si="2"/>
        <v>6937.4799999999987</v>
      </c>
      <c r="J31" s="235"/>
    </row>
    <row r="32" spans="1:14" s="223" customFormat="1" ht="12.75" customHeight="1" x14ac:dyDescent="0.25">
      <c r="A32" s="230"/>
      <c r="B32" s="231"/>
      <c r="C32" s="231"/>
      <c r="D32" s="240"/>
      <c r="E32" s="234"/>
      <c r="F32" s="234"/>
      <c r="G32" s="234"/>
      <c r="H32" s="234"/>
      <c r="I32" s="234"/>
      <c r="J32" s="235"/>
    </row>
    <row r="33" spans="1:10" s="223" customFormat="1" ht="12.75" customHeight="1" thickBot="1" x14ac:dyDescent="0.3">
      <c r="A33" s="230"/>
      <c r="B33" s="243"/>
      <c r="C33" s="243"/>
      <c r="D33" s="244" t="s">
        <v>24</v>
      </c>
      <c r="E33" s="245">
        <f>SUM(E9:E32)</f>
        <v>10000</v>
      </c>
      <c r="F33" s="245"/>
      <c r="G33" s="245">
        <f>SUM(G9:G32)</f>
        <v>3062.5200000000009</v>
      </c>
      <c r="H33" s="245"/>
      <c r="I33" s="245">
        <f>E33-G33</f>
        <v>6937.48</v>
      </c>
      <c r="J33" s="235"/>
    </row>
    <row r="34" spans="1:10" s="223" customFormat="1" ht="12.75" customHeight="1" thickTop="1" x14ac:dyDescent="0.25"/>
    <row r="35" spans="1:10" s="223" customFormat="1" ht="12.75" customHeight="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C7CF0-D09D-4D11-A79B-CEFAFC8C785E}">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#9524.00'!B1</f>
        <v>DOC ASP SallyPort Tunnel &amp; Living Unit B Tunnel Repair</v>
      </c>
      <c r="B1" s="3"/>
      <c r="C1" s="3"/>
      <c r="D1" s="3"/>
      <c r="E1" s="4"/>
      <c r="F1" s="4"/>
      <c r="G1" s="4"/>
      <c r="H1" s="28"/>
    </row>
    <row r="2" spans="1:8" ht="15.75" x14ac:dyDescent="0.25">
      <c r="A2" s="6" t="str">
        <f>'RECAP #9524.00'!B2</f>
        <v>Project # 9524.00</v>
      </c>
      <c r="B2" s="5"/>
      <c r="C2" s="5"/>
      <c r="D2" s="5"/>
      <c r="E2" s="4"/>
      <c r="F2" s="4"/>
      <c r="G2" s="4"/>
      <c r="H2" s="28"/>
    </row>
    <row r="3" spans="1:8" ht="15.75" x14ac:dyDescent="0.25">
      <c r="A3" s="7" t="str">
        <f>'RECAP #9524.00'!B3</f>
        <v>Program code 952400</v>
      </c>
      <c r="B3" s="5"/>
      <c r="C3" s="5"/>
      <c r="D3" s="5"/>
      <c r="E3" s="8" t="str">
        <f>'RECAP #9524.00'!E3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95</v>
      </c>
      <c r="F6" s="35"/>
      <c r="G6" s="38"/>
      <c r="H6" s="39"/>
    </row>
    <row r="7" spans="1:8" ht="15.75" x14ac:dyDescent="0.25">
      <c r="A7" s="11" t="str">
        <f>'RECAP #9524.00'!B6</f>
        <v>Project Manager - Brandon A.</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5">
      <c r="A9" s="239"/>
      <c r="B9" s="177"/>
      <c r="C9" s="230"/>
      <c r="D9" s="230"/>
      <c r="E9" s="176"/>
      <c r="F9" s="259"/>
      <c r="G9" s="260"/>
      <c r="H9" s="260">
        <f>G9</f>
        <v>0</v>
      </c>
    </row>
    <row r="10" spans="1:8" s="223" customFormat="1" ht="12.75" customHeight="1" x14ac:dyDescent="0.25">
      <c r="A10" s="241"/>
      <c r="B10" s="177"/>
      <c r="C10" s="240"/>
      <c r="D10" s="240"/>
      <c r="E10" s="258"/>
      <c r="F10" s="252"/>
      <c r="G10" s="260"/>
      <c r="H10" s="260">
        <f>H9+G10</f>
        <v>0</v>
      </c>
    </row>
    <row r="11" spans="1:8" s="223" customFormat="1" ht="12.75" customHeight="1" x14ac:dyDescent="0.25">
      <c r="A11" s="241"/>
      <c r="B11" s="177"/>
      <c r="C11" s="177"/>
      <c r="D11" s="177"/>
      <c r="E11" s="258"/>
      <c r="F11" s="252"/>
      <c r="G11" s="260"/>
      <c r="H11" s="260">
        <f t="shared" ref="H11:H20" si="0">H10+G11</f>
        <v>0</v>
      </c>
    </row>
    <row r="12" spans="1:8" s="223" customFormat="1" ht="12.75" customHeight="1" x14ac:dyDescent="0.25">
      <c r="A12" s="241" t="s">
        <v>2</v>
      </c>
      <c r="B12" s="177" t="s">
        <v>2</v>
      </c>
      <c r="C12" s="177"/>
      <c r="D12" s="177"/>
      <c r="E12" s="258" t="s">
        <v>2</v>
      </c>
      <c r="F12" s="252"/>
      <c r="G12" s="260"/>
      <c r="H12" s="260">
        <f t="shared" si="0"/>
        <v>0</v>
      </c>
    </row>
    <row r="13" spans="1:8" s="223" customFormat="1" ht="12.75" customHeight="1" x14ac:dyDescent="0.25">
      <c r="A13" s="241" t="s">
        <v>2</v>
      </c>
      <c r="B13" s="177" t="s">
        <v>2</v>
      </c>
      <c r="C13" s="177"/>
      <c r="D13" s="177"/>
      <c r="E13" s="258" t="s">
        <v>2</v>
      </c>
      <c r="F13" s="252"/>
      <c r="G13" s="260"/>
      <c r="H13" s="260">
        <f t="shared" si="0"/>
        <v>0</v>
      </c>
    </row>
    <row r="14" spans="1:8" s="223" customFormat="1" ht="12.75" customHeight="1" x14ac:dyDescent="0.25">
      <c r="A14" s="241"/>
      <c r="B14" s="177"/>
      <c r="C14" s="177"/>
      <c r="D14" s="177"/>
      <c r="E14" s="258"/>
      <c r="F14" s="252"/>
      <c r="G14" s="260"/>
      <c r="H14" s="260">
        <f t="shared" si="0"/>
        <v>0</v>
      </c>
    </row>
    <row r="15" spans="1:8" s="223" customFormat="1" ht="12.75" customHeight="1" x14ac:dyDescent="0.25">
      <c r="A15" s="241"/>
      <c r="B15" s="177"/>
      <c r="C15" s="177"/>
      <c r="D15" s="177"/>
      <c r="E15" s="261"/>
      <c r="F15" s="252"/>
      <c r="G15" s="260"/>
      <c r="H15" s="260">
        <f t="shared" si="0"/>
        <v>0</v>
      </c>
    </row>
    <row r="16" spans="1:8" s="223" customFormat="1" ht="12.75" customHeight="1" x14ac:dyDescent="0.25">
      <c r="A16" s="241"/>
      <c r="B16" s="177"/>
      <c r="C16" s="177"/>
      <c r="D16" s="177"/>
      <c r="E16" s="258"/>
      <c r="F16" s="252"/>
      <c r="G16" s="260"/>
      <c r="H16" s="260">
        <f t="shared" si="0"/>
        <v>0</v>
      </c>
    </row>
    <row r="17" spans="1:8" s="223" customFormat="1" ht="12.75" customHeight="1" x14ac:dyDescent="0.25">
      <c r="A17" s="230"/>
      <c r="B17" s="177"/>
      <c r="C17" s="177"/>
      <c r="D17" s="177"/>
      <c r="E17" s="258"/>
      <c r="F17" s="252"/>
      <c r="G17" s="260"/>
      <c r="H17" s="260">
        <f t="shared" si="0"/>
        <v>0</v>
      </c>
    </row>
    <row r="18" spans="1:8" s="223" customFormat="1" ht="12.75" customHeight="1" x14ac:dyDescent="0.25">
      <c r="A18" s="230"/>
      <c r="B18" s="177"/>
      <c r="C18" s="177"/>
      <c r="D18" s="177"/>
      <c r="E18" s="258"/>
      <c r="F18" s="252"/>
      <c r="G18" s="260"/>
      <c r="H18" s="260">
        <f t="shared" si="0"/>
        <v>0</v>
      </c>
    </row>
    <row r="19" spans="1:8" s="223" customFormat="1" ht="12.75" customHeight="1" x14ac:dyDescent="0.25">
      <c r="A19" s="230"/>
      <c r="B19" s="177"/>
      <c r="C19" s="177"/>
      <c r="D19" s="177"/>
      <c r="E19" s="258"/>
      <c r="F19" s="252"/>
      <c r="G19" s="260"/>
      <c r="H19" s="260">
        <f t="shared" si="0"/>
        <v>0</v>
      </c>
    </row>
    <row r="20" spans="1:8" s="223" customFormat="1" ht="12.75" customHeight="1" x14ac:dyDescent="0.25">
      <c r="A20" s="230"/>
      <c r="B20" s="177"/>
      <c r="C20" s="177"/>
      <c r="D20" s="177"/>
      <c r="E20" s="258"/>
      <c r="F20" s="252"/>
      <c r="G20" s="260"/>
      <c r="H20" s="260">
        <f t="shared" si="0"/>
        <v>0</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0</v>
      </c>
      <c r="H22" s="265"/>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35F35-488F-40EA-90C5-8B31BEC89FD9}">
  <sheetPr>
    <pageSetUpPr fitToPage="1"/>
  </sheetPr>
  <dimension ref="A1:I31"/>
  <sheetViews>
    <sheetView zoomScaleNormal="100" workbookViewId="0">
      <selection activeCell="F10" sqref="F10"/>
    </sheetView>
  </sheetViews>
  <sheetFormatPr defaultColWidth="11.42578125" defaultRowHeight="15" customHeight="1" x14ac:dyDescent="0.25"/>
  <cols>
    <col min="1" max="1" width="24.5703125" customWidth="1"/>
    <col min="2" max="2" width="9.42578125" customWidth="1"/>
    <col min="3" max="3" width="27.5703125" customWidth="1"/>
    <col min="4" max="4" width="14.42578125" customWidth="1"/>
    <col min="5" max="5" width="13.5703125" customWidth="1"/>
    <col min="6" max="6" width="12.42578125" customWidth="1"/>
    <col min="7" max="7" width="10.5703125" customWidth="1"/>
    <col min="8" max="8" width="13.28515625"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#9524.00'!B1</f>
        <v>DOC ASP SallyPort Tunnel &amp; Living Unit B Tunnel Repair</v>
      </c>
      <c r="B1" s="3"/>
      <c r="C1" s="4"/>
      <c r="D1" s="4"/>
      <c r="E1" s="4"/>
      <c r="F1" s="28"/>
      <c r="G1" s="28"/>
      <c r="H1" s="29"/>
      <c r="I1" s="29"/>
    </row>
    <row r="2" spans="1:9" ht="15.75" x14ac:dyDescent="0.25">
      <c r="A2" s="6" t="str">
        <f>'RECAP #9524.00'!B2</f>
        <v>Project # 9524.00</v>
      </c>
      <c r="B2" s="5"/>
      <c r="C2" s="4"/>
      <c r="D2" s="4"/>
      <c r="E2" s="4"/>
      <c r="F2" s="28"/>
      <c r="G2" s="28"/>
      <c r="H2" s="29"/>
      <c r="I2" s="29"/>
    </row>
    <row r="3" spans="1:9" ht="15.75" x14ac:dyDescent="0.25">
      <c r="A3" s="7" t="str">
        <f>'RECAP #9524.00'!B3</f>
        <v>Program code 952400</v>
      </c>
      <c r="B3" s="5"/>
      <c r="C3" s="4"/>
      <c r="D3" s="8" t="str">
        <f>'RECAP #9524.00'!E3</f>
        <v>Major Program 4E01</v>
      </c>
      <c r="E3" s="4"/>
      <c r="F3" s="28"/>
      <c r="G3" s="28"/>
      <c r="H3" s="29"/>
      <c r="I3" s="29"/>
    </row>
    <row r="4" spans="1:9" ht="15.75" x14ac:dyDescent="0.25">
      <c r="A4" s="30" t="s">
        <v>407</v>
      </c>
      <c r="B4" s="31"/>
      <c r="C4" s="32"/>
      <c r="D4" s="33" t="s">
        <v>408</v>
      </c>
      <c r="E4" s="28"/>
      <c r="F4" s="28"/>
      <c r="G4" s="28"/>
      <c r="H4" s="29"/>
      <c r="I4" s="29"/>
    </row>
    <row r="5" spans="1:9" ht="15.75" x14ac:dyDescent="0.25">
      <c r="A5" s="34" t="s">
        <v>115</v>
      </c>
      <c r="B5" s="35"/>
      <c r="C5" s="36"/>
      <c r="D5" s="37" t="s">
        <v>1362</v>
      </c>
      <c r="E5" s="38"/>
      <c r="F5" s="39"/>
      <c r="G5" s="39"/>
      <c r="H5" s="35"/>
      <c r="I5" s="29"/>
    </row>
    <row r="6" spans="1:9" ht="15.75" x14ac:dyDescent="0.25">
      <c r="A6" s="11" t="str">
        <f>'RECAP #9524.00'!B6</f>
        <v>Project Manager - Brandon A.</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1363</v>
      </c>
      <c r="B9" s="177">
        <v>46230</v>
      </c>
      <c r="C9" s="231" t="s">
        <v>109</v>
      </c>
      <c r="D9" s="232">
        <v>42000</v>
      </c>
      <c r="E9" s="233">
        <f>D9</f>
        <v>42000</v>
      </c>
      <c r="F9" s="234"/>
      <c r="G9" s="234"/>
      <c r="H9" s="234">
        <f>E9</f>
        <v>42000</v>
      </c>
      <c r="I9" s="235"/>
    </row>
    <row r="10" spans="1:9" s="223" customFormat="1" ht="12.75" customHeight="1" x14ac:dyDescent="0.25">
      <c r="A10" s="230" t="s">
        <v>1572</v>
      </c>
      <c r="B10" s="236">
        <v>46282</v>
      </c>
      <c r="C10" s="231" t="s">
        <v>1573</v>
      </c>
      <c r="D10" s="233"/>
      <c r="E10" s="233">
        <f t="shared" ref="E10:E21" si="0">E9+D10</f>
        <v>42000</v>
      </c>
      <c r="F10" s="357">
        <v>18000</v>
      </c>
      <c r="G10" s="234">
        <f t="shared" ref="G10:G21" si="1">G9+F10</f>
        <v>18000</v>
      </c>
      <c r="H10" s="234">
        <f t="shared" ref="H10:H21" si="2">H9-F10+D10</f>
        <v>24000</v>
      </c>
      <c r="I10" s="235"/>
    </row>
    <row r="11" spans="1:9" s="223" customFormat="1" ht="12.75" customHeight="1" x14ac:dyDescent="0.25">
      <c r="A11" s="230"/>
      <c r="B11" s="177"/>
      <c r="C11" s="231"/>
      <c r="D11" s="233"/>
      <c r="E11" s="233">
        <f t="shared" si="0"/>
        <v>42000</v>
      </c>
      <c r="F11" s="238"/>
      <c r="G11" s="234">
        <f t="shared" si="1"/>
        <v>18000</v>
      </c>
      <c r="H11" s="234">
        <f t="shared" si="2"/>
        <v>24000</v>
      </c>
      <c r="I11" s="235"/>
    </row>
    <row r="12" spans="1:9" s="223" customFormat="1" ht="12.75" customHeight="1" x14ac:dyDescent="0.25">
      <c r="A12" s="230"/>
      <c r="B12" s="177"/>
      <c r="C12" s="231"/>
      <c r="D12" s="233"/>
      <c r="E12" s="233">
        <f t="shared" si="0"/>
        <v>42000</v>
      </c>
      <c r="F12" s="238"/>
      <c r="G12" s="234">
        <f t="shared" si="1"/>
        <v>18000</v>
      </c>
      <c r="H12" s="234">
        <f t="shared" si="2"/>
        <v>24000</v>
      </c>
      <c r="I12" s="235"/>
    </row>
    <row r="13" spans="1:9" s="223" customFormat="1" ht="12.75" customHeight="1" x14ac:dyDescent="0.25">
      <c r="A13" s="230"/>
      <c r="B13" s="177"/>
      <c r="C13" s="231"/>
      <c r="D13" s="233"/>
      <c r="E13" s="233">
        <f t="shared" si="0"/>
        <v>42000</v>
      </c>
      <c r="F13" s="238"/>
      <c r="G13" s="234">
        <f t="shared" si="1"/>
        <v>18000</v>
      </c>
      <c r="H13" s="234">
        <f t="shared" si="2"/>
        <v>24000</v>
      </c>
      <c r="I13" s="235"/>
    </row>
    <row r="14" spans="1:9" s="223" customFormat="1" ht="12.75" customHeight="1" x14ac:dyDescent="0.25">
      <c r="A14" s="230"/>
      <c r="B14" s="177"/>
      <c r="C14" s="231"/>
      <c r="D14" s="233"/>
      <c r="E14" s="233">
        <f t="shared" si="0"/>
        <v>42000</v>
      </c>
      <c r="F14" s="234"/>
      <c r="G14" s="234">
        <f t="shared" si="1"/>
        <v>18000</v>
      </c>
      <c r="H14" s="234">
        <f t="shared" si="2"/>
        <v>24000</v>
      </c>
      <c r="I14" s="235"/>
    </row>
    <row r="15" spans="1:9" s="223" customFormat="1" ht="12.75" customHeight="1" x14ac:dyDescent="0.25">
      <c r="A15" s="230"/>
      <c r="B15" s="177"/>
      <c r="C15" s="231"/>
      <c r="D15" s="233"/>
      <c r="E15" s="233">
        <f t="shared" si="0"/>
        <v>42000</v>
      </c>
      <c r="F15" s="238"/>
      <c r="G15" s="234">
        <f t="shared" si="1"/>
        <v>18000</v>
      </c>
      <c r="H15" s="234">
        <f t="shared" si="2"/>
        <v>24000</v>
      </c>
      <c r="I15" s="235"/>
    </row>
    <row r="16" spans="1:9" s="223" customFormat="1" ht="12.75" customHeight="1" x14ac:dyDescent="0.25">
      <c r="A16" s="230"/>
      <c r="B16" s="177"/>
      <c r="C16" s="231"/>
      <c r="D16" s="233"/>
      <c r="E16" s="233">
        <f t="shared" si="0"/>
        <v>42000</v>
      </c>
      <c r="F16" s="238"/>
      <c r="G16" s="234">
        <f t="shared" si="1"/>
        <v>18000</v>
      </c>
      <c r="H16" s="234">
        <f t="shared" si="2"/>
        <v>24000</v>
      </c>
      <c r="I16" s="235"/>
    </row>
    <row r="17" spans="1:9" s="223" customFormat="1" ht="12.75" customHeight="1" x14ac:dyDescent="0.25">
      <c r="A17" s="230"/>
      <c r="B17" s="177"/>
      <c r="C17" s="231"/>
      <c r="D17" s="233"/>
      <c r="E17" s="233">
        <f t="shared" si="0"/>
        <v>42000</v>
      </c>
      <c r="F17" s="238"/>
      <c r="G17" s="234">
        <f t="shared" si="1"/>
        <v>18000</v>
      </c>
      <c r="H17" s="234">
        <f t="shared" si="2"/>
        <v>24000</v>
      </c>
      <c r="I17" s="235"/>
    </row>
    <row r="18" spans="1:9" s="223" customFormat="1" ht="12.75" customHeight="1" x14ac:dyDescent="0.25">
      <c r="A18" s="230"/>
      <c r="B18" s="177"/>
      <c r="C18" s="231"/>
      <c r="D18" s="233"/>
      <c r="E18" s="233">
        <f t="shared" si="0"/>
        <v>42000</v>
      </c>
      <c r="F18" s="238"/>
      <c r="G18" s="234">
        <f t="shared" si="1"/>
        <v>18000</v>
      </c>
      <c r="H18" s="234">
        <f t="shared" si="2"/>
        <v>24000</v>
      </c>
      <c r="I18" s="235"/>
    </row>
    <row r="19" spans="1:9" s="223" customFormat="1" ht="12.75" customHeight="1" x14ac:dyDescent="0.25">
      <c r="A19" s="230"/>
      <c r="B19" s="177"/>
      <c r="C19" s="231"/>
      <c r="D19" s="233"/>
      <c r="E19" s="233">
        <f t="shared" si="0"/>
        <v>42000</v>
      </c>
      <c r="F19" s="234"/>
      <c r="G19" s="234">
        <f t="shared" si="1"/>
        <v>18000</v>
      </c>
      <c r="H19" s="234">
        <f t="shared" si="2"/>
        <v>24000</v>
      </c>
      <c r="I19" s="235"/>
    </row>
    <row r="20" spans="1:9" s="223" customFormat="1" ht="12.75" customHeight="1" x14ac:dyDescent="0.25">
      <c r="A20" s="230"/>
      <c r="B20" s="177"/>
      <c r="C20" s="231"/>
      <c r="D20" s="233"/>
      <c r="E20" s="233">
        <f t="shared" si="0"/>
        <v>42000</v>
      </c>
      <c r="F20" s="234"/>
      <c r="G20" s="234">
        <f t="shared" si="1"/>
        <v>18000</v>
      </c>
      <c r="H20" s="234">
        <f t="shared" si="2"/>
        <v>24000</v>
      </c>
      <c r="I20" s="235"/>
    </row>
    <row r="21" spans="1:9" s="223" customFormat="1" ht="12.75" customHeight="1" x14ac:dyDescent="0.25">
      <c r="A21" s="230"/>
      <c r="B21" s="177"/>
      <c r="C21" s="239"/>
      <c r="D21" s="233"/>
      <c r="E21" s="233">
        <f t="shared" si="0"/>
        <v>42000</v>
      </c>
      <c r="F21" s="234"/>
      <c r="G21" s="234">
        <f t="shared" si="1"/>
        <v>18000</v>
      </c>
      <c r="H21" s="234">
        <f t="shared" si="2"/>
        <v>24000</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42000</v>
      </c>
      <c r="E23" s="245"/>
      <c r="F23" s="245">
        <f>SUM(F9:F22)</f>
        <v>18000</v>
      </c>
      <c r="G23" s="245"/>
      <c r="H23" s="245">
        <f>D23-F23</f>
        <v>24000</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t="s">
        <v>1364</v>
      </c>
      <c r="D26" s="234">
        <v>18000</v>
      </c>
      <c r="E26" s="234"/>
      <c r="F26" s="234">
        <f>18000</f>
        <v>18000</v>
      </c>
      <c r="G26" s="234"/>
      <c r="H26" s="234">
        <f>D26-F26</f>
        <v>0</v>
      </c>
      <c r="I26" s="235"/>
    </row>
    <row r="27" spans="1:9" s="223" customFormat="1" ht="12.75" customHeight="1" x14ac:dyDescent="0.25">
      <c r="A27" s="230"/>
      <c r="B27" s="231"/>
      <c r="C27" s="240" t="s">
        <v>399</v>
      </c>
      <c r="D27" s="234">
        <v>13000</v>
      </c>
      <c r="E27" s="234"/>
      <c r="F27" s="234"/>
      <c r="G27" s="234"/>
      <c r="H27" s="234">
        <f t="shared" ref="H27:H29" si="3">D27-F27</f>
        <v>13000</v>
      </c>
      <c r="I27" s="235"/>
    </row>
    <row r="28" spans="1:9" s="223" customFormat="1" ht="12.75" customHeight="1" x14ac:dyDescent="0.25">
      <c r="A28" s="230"/>
      <c r="B28" s="231"/>
      <c r="C28" s="253" t="s">
        <v>400</v>
      </c>
      <c r="D28" s="254">
        <v>1000</v>
      </c>
      <c r="E28" s="254"/>
      <c r="F28" s="254"/>
      <c r="G28" s="254"/>
      <c r="H28" s="234">
        <f t="shared" si="3"/>
        <v>1000</v>
      </c>
      <c r="I28" s="235"/>
    </row>
    <row r="29" spans="1:9" s="223" customFormat="1" ht="12.75" customHeight="1" x14ac:dyDescent="0.25">
      <c r="A29" s="230"/>
      <c r="B29" s="231"/>
      <c r="C29" s="253" t="s">
        <v>1365</v>
      </c>
      <c r="D29" s="254">
        <v>10000</v>
      </c>
      <c r="E29" s="254"/>
      <c r="F29" s="254"/>
      <c r="G29" s="254"/>
      <c r="H29" s="234">
        <f t="shared" si="3"/>
        <v>10000</v>
      </c>
      <c r="I29" s="235"/>
    </row>
    <row r="30" spans="1:9" s="223" customFormat="1" ht="12.75" customHeight="1" thickBot="1" x14ac:dyDescent="0.3">
      <c r="A30" s="230"/>
      <c r="B30" s="231"/>
      <c r="C30" s="255" t="s">
        <v>67</v>
      </c>
      <c r="D30" s="256">
        <f>SUM(D26:D29)</f>
        <v>42000</v>
      </c>
      <c r="E30" s="257"/>
      <c r="F30" s="256">
        <f>SUM(F26:F29)</f>
        <v>18000</v>
      </c>
      <c r="G30" s="257"/>
      <c r="H30" s="256">
        <f>SUM(H26:H29)</f>
        <v>24000</v>
      </c>
      <c r="I30" s="235"/>
    </row>
    <row r="31" spans="1:9" s="223" customFormat="1" ht="12.75" customHeight="1" thickTop="1" x14ac:dyDescent="0.25"/>
  </sheetData>
  <conditionalFormatting sqref="I8:I23">
    <cfRule type="cellIs" dxfId="7" priority="1" operator="greaterThan">
      <formula>$H$23</formula>
    </cfRule>
  </conditionalFormatting>
  <pageMargins left="0.25" right="0.25" top="0.95" bottom="0.75" header="0.09" footer="0.3"/>
  <pageSetup scale="7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FE674-9FF2-4CA1-AD19-6485C5B5D054}">
  <sheetPr>
    <pageSetUpPr fitToPage="1"/>
  </sheetPr>
  <dimension ref="A1:G16"/>
  <sheetViews>
    <sheetView zoomScaleNormal="100" workbookViewId="0">
      <selection activeCell="C22" sqref="C22"/>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498</v>
      </c>
      <c r="C1" s="3"/>
      <c r="D1" s="4"/>
      <c r="E1" s="4"/>
      <c r="F1" s="4"/>
      <c r="G1" s="4"/>
    </row>
    <row r="2" spans="1:7" ht="15.75" x14ac:dyDescent="0.25">
      <c r="A2" s="1"/>
      <c r="B2" s="6" t="s">
        <v>511</v>
      </c>
      <c r="C2" s="5"/>
      <c r="D2" s="4"/>
      <c r="E2" s="4"/>
      <c r="F2" s="4"/>
      <c r="G2" s="4"/>
    </row>
    <row r="3" spans="1:7" ht="15.75" x14ac:dyDescent="0.25">
      <c r="A3" s="1"/>
      <c r="B3" s="7" t="s">
        <v>512</v>
      </c>
      <c r="C3" s="5"/>
      <c r="D3" s="4"/>
      <c r="E3" s="8" t="s">
        <v>82</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462</v>
      </c>
      <c r="C6" s="12"/>
      <c r="D6" s="13" t="s">
        <v>2</v>
      </c>
      <c r="E6" s="4"/>
      <c r="F6" s="4"/>
      <c r="G6" s="4"/>
    </row>
    <row r="7" spans="1:7" ht="36.75" customHeight="1" thickBot="1" x14ac:dyDescent="0.3">
      <c r="A7" s="1"/>
      <c r="B7" s="14" t="s">
        <v>2</v>
      </c>
      <c r="C7" s="15" t="s">
        <v>3</v>
      </c>
      <c r="D7" s="16" t="s">
        <v>4</v>
      </c>
      <c r="E7" s="17" t="s">
        <v>5</v>
      </c>
      <c r="F7" s="18" t="s">
        <v>6</v>
      </c>
      <c r="G7" s="18" t="s">
        <v>7</v>
      </c>
    </row>
    <row r="8" spans="1:7" ht="28.35" customHeight="1" x14ac:dyDescent="0.25">
      <c r="A8" s="1"/>
      <c r="B8" s="1" t="s">
        <v>8</v>
      </c>
      <c r="C8" s="19">
        <f>FINANCIAL!G41</f>
        <v>500000</v>
      </c>
      <c r="D8" s="20"/>
      <c r="E8" s="20"/>
      <c r="F8" s="20"/>
      <c r="G8" s="21"/>
    </row>
    <row r="9" spans="1:7" s="223" customFormat="1" ht="12.75" customHeight="1" x14ac:dyDescent="0.25">
      <c r="A9" s="246"/>
      <c r="B9" s="247"/>
      <c r="C9" s="267"/>
      <c r="D9" s="249"/>
      <c r="E9" s="249"/>
      <c r="F9" s="249"/>
      <c r="G9" s="250"/>
    </row>
    <row r="10" spans="1:7" s="223" customFormat="1" ht="12.75" customHeight="1" x14ac:dyDescent="0.25">
      <c r="A10" s="246"/>
      <c r="B10" s="247" t="s">
        <v>103</v>
      </c>
      <c r="C10" s="248"/>
      <c r="D10" s="251">
        <f>'#9527.00 DCI Group'!D23</f>
        <v>30675.759999999998</v>
      </c>
      <c r="E10" s="251">
        <f>'#9527.00 DCI Group'!F23</f>
        <v>13144.050000000001</v>
      </c>
      <c r="F10" s="251">
        <f>'#9527.00 DCI Group'!H23</f>
        <v>17531.71</v>
      </c>
      <c r="G10" s="250"/>
    </row>
    <row r="11" spans="1:7" s="223" customFormat="1" ht="12.75" customHeight="1" x14ac:dyDescent="0.25">
      <c r="A11" s="246"/>
      <c r="B11" s="247" t="s">
        <v>10</v>
      </c>
      <c r="C11" s="248"/>
      <c r="D11" s="251">
        <f>'#9527.00 PM TIME'!E29</f>
        <v>10000</v>
      </c>
      <c r="E11" s="251">
        <f>'#9527.00 PM TIME'!G29</f>
        <v>5109.0200000000004</v>
      </c>
      <c r="F11" s="251">
        <f>'#9527.00 PM TIME'!I29</f>
        <v>4890.9799999999996</v>
      </c>
      <c r="G11" s="250"/>
    </row>
    <row r="12" spans="1:7" s="223" customFormat="1" ht="12.75" customHeight="1" x14ac:dyDescent="0.25">
      <c r="A12" s="246"/>
      <c r="B12" s="247" t="s">
        <v>11</v>
      </c>
      <c r="C12" s="249"/>
      <c r="D12" s="252">
        <f>'#9527.00 Misc'!G22</f>
        <v>0</v>
      </c>
      <c r="E12" s="252">
        <f>'#9527.00 Misc'!G22</f>
        <v>0</v>
      </c>
      <c r="F12" s="251">
        <f>D12-E12</f>
        <v>0</v>
      </c>
      <c r="G12" s="250"/>
    </row>
    <row r="13" spans="1:7" s="223" customFormat="1" ht="12.75" customHeight="1" x14ac:dyDescent="0.25">
      <c r="A13" s="246"/>
      <c r="B13" s="247" t="s">
        <v>894</v>
      </c>
      <c r="C13" s="249"/>
      <c r="D13" s="252">
        <f>'#9527.00 CMBA Architects'!D23</f>
        <v>58810</v>
      </c>
      <c r="E13" s="252">
        <f>'#9527.00 CMBA Architects'!F23</f>
        <v>39710</v>
      </c>
      <c r="F13" s="251">
        <f>'#9527.00 CMBA Architects'!H23</f>
        <v>19100</v>
      </c>
      <c r="G13" s="250"/>
    </row>
    <row r="14" spans="1:7" s="223" customFormat="1" ht="12.75" customHeight="1" x14ac:dyDescent="0.25">
      <c r="A14" s="246"/>
      <c r="B14" s="247"/>
      <c r="C14" s="249"/>
      <c r="D14" s="252"/>
      <c r="E14" s="252"/>
      <c r="F14" s="251"/>
      <c r="G14" s="250"/>
    </row>
    <row r="15" spans="1:7" ht="24" customHeight="1" thickBot="1" x14ac:dyDescent="0.3">
      <c r="A15" s="25"/>
      <c r="B15" s="26" t="s">
        <v>12</v>
      </c>
      <c r="C15" s="27">
        <f>SUM(C8:C14)</f>
        <v>500000</v>
      </c>
      <c r="D15" s="27">
        <f>SUM(D8:D14)</f>
        <v>99485.759999999995</v>
      </c>
      <c r="E15" s="27">
        <f>SUM(E8:E14)</f>
        <v>57963.07</v>
      </c>
      <c r="F15" s="27">
        <f>SUM(D15-E15)</f>
        <v>41522.689999999995</v>
      </c>
      <c r="G15" s="27">
        <f>C8-D15</f>
        <v>400514.24</v>
      </c>
    </row>
    <row r="16"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48951-272E-4645-BE58-4D45EC0DA551}">
  <sheetPr>
    <pageSetUpPr fitToPage="1"/>
  </sheetPr>
  <dimension ref="A1:I29"/>
  <sheetViews>
    <sheetView zoomScaleNormal="100" workbookViewId="0">
      <selection activeCell="F15" sqref="F1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#9527.00'!B1</f>
        <v>HHS CHMHI Four Corners Elevator Replacement</v>
      </c>
      <c r="B1" s="3"/>
      <c r="C1" s="4"/>
      <c r="D1" s="4"/>
      <c r="E1" s="4"/>
      <c r="F1" s="28"/>
      <c r="G1" s="28"/>
      <c r="H1" s="29"/>
      <c r="I1" s="29"/>
    </row>
    <row r="2" spans="1:9" ht="15.75" x14ac:dyDescent="0.25">
      <c r="A2" s="6" t="str">
        <f>'RECAP #9527.00'!B2</f>
        <v>Project # 9527.00</v>
      </c>
      <c r="B2" s="5"/>
      <c r="C2" s="4"/>
      <c r="D2" s="4"/>
      <c r="E2" s="4"/>
      <c r="F2" s="28"/>
      <c r="G2" s="28"/>
      <c r="H2" s="29"/>
      <c r="I2" s="29"/>
    </row>
    <row r="3" spans="1:9" ht="15.75" x14ac:dyDescent="0.25">
      <c r="A3" s="7" t="str">
        <f>'RECAP #9527.00'!B3</f>
        <v>Program code 952700</v>
      </c>
      <c r="B3" s="5"/>
      <c r="C3" s="4"/>
      <c r="D3" s="8" t="str">
        <f>'RECAP #9527.00'!E3</f>
        <v>Major Program 4D03</v>
      </c>
      <c r="E3" s="4"/>
      <c r="F3" s="28"/>
      <c r="G3" s="28"/>
      <c r="H3" s="29"/>
      <c r="I3" s="29"/>
    </row>
    <row r="4" spans="1:9" ht="15.75" x14ac:dyDescent="0.25">
      <c r="A4" s="30" t="s">
        <v>103</v>
      </c>
      <c r="B4" s="31"/>
      <c r="C4" s="32"/>
      <c r="D4" s="33" t="s">
        <v>105</v>
      </c>
      <c r="E4" s="28"/>
      <c r="F4" s="28"/>
      <c r="G4" s="28"/>
      <c r="H4" s="29"/>
      <c r="I4" s="29"/>
    </row>
    <row r="5" spans="1:9" ht="15.75" x14ac:dyDescent="0.25">
      <c r="A5" s="34" t="s">
        <v>104</v>
      </c>
      <c r="B5" s="35"/>
      <c r="C5" s="36"/>
      <c r="D5" s="37" t="s">
        <v>106</v>
      </c>
      <c r="E5" s="38"/>
      <c r="F5" s="39"/>
      <c r="G5" s="39"/>
      <c r="H5" s="35"/>
      <c r="I5" s="29"/>
    </row>
    <row r="6" spans="1:9" ht="15.75" x14ac:dyDescent="0.25">
      <c r="A6" s="11" t="str">
        <f>'RECAP #9527.00'!B6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922</v>
      </c>
      <c r="B9" s="177">
        <v>46136</v>
      </c>
      <c r="C9" s="231" t="s">
        <v>109</v>
      </c>
      <c r="D9" s="232">
        <v>30675.759999999998</v>
      </c>
      <c r="E9" s="233">
        <f>D9</f>
        <v>30675.759999999998</v>
      </c>
      <c r="F9" s="234"/>
      <c r="G9" s="234"/>
      <c r="H9" s="234">
        <f>E9</f>
        <v>30675.759999999998</v>
      </c>
      <c r="I9" s="235"/>
    </row>
    <row r="10" spans="1:9" s="223" customFormat="1" ht="12.75" customHeight="1" x14ac:dyDescent="0.25">
      <c r="A10" s="230" t="s">
        <v>923</v>
      </c>
      <c r="B10" s="236">
        <v>46164</v>
      </c>
      <c r="C10" s="231" t="s">
        <v>921</v>
      </c>
      <c r="D10" s="233"/>
      <c r="E10" s="233">
        <f t="shared" ref="E10:E21" si="0">E9+D10</f>
        <v>30675.759999999998</v>
      </c>
      <c r="F10" s="237">
        <v>2598.2800000000002</v>
      </c>
      <c r="G10" s="234">
        <f t="shared" ref="G10:G21" si="1">G9+F10</f>
        <v>2598.2800000000002</v>
      </c>
      <c r="H10" s="234">
        <f t="shared" ref="H10:H21" si="2">H9-F10+D10</f>
        <v>28077.48</v>
      </c>
      <c r="I10" s="235"/>
    </row>
    <row r="11" spans="1:9" s="223" customFormat="1" ht="12.75" customHeight="1" x14ac:dyDescent="0.25">
      <c r="A11" s="230" t="s">
        <v>1061</v>
      </c>
      <c r="B11" s="177">
        <v>46191</v>
      </c>
      <c r="C11" s="231" t="s">
        <v>1062</v>
      </c>
      <c r="D11" s="233"/>
      <c r="E11" s="233">
        <f t="shared" si="0"/>
        <v>30675.759999999998</v>
      </c>
      <c r="F11" s="237">
        <v>1043.6400000000001</v>
      </c>
      <c r="G11" s="234">
        <f t="shared" si="1"/>
        <v>3641.92</v>
      </c>
      <c r="H11" s="234">
        <f t="shared" si="2"/>
        <v>27033.84</v>
      </c>
      <c r="I11" s="235"/>
    </row>
    <row r="12" spans="1:9" s="223" customFormat="1" ht="12.75" customHeight="1" x14ac:dyDescent="0.25">
      <c r="A12" s="328" t="s">
        <v>1198</v>
      </c>
      <c r="B12" s="329">
        <v>46213</v>
      </c>
      <c r="C12" s="330" t="s">
        <v>1199</v>
      </c>
      <c r="D12" s="331"/>
      <c r="E12" s="331">
        <f t="shared" si="0"/>
        <v>30675.759999999998</v>
      </c>
      <c r="F12" s="338">
        <v>1031.77</v>
      </c>
      <c r="G12" s="332">
        <f t="shared" si="1"/>
        <v>4673.6900000000005</v>
      </c>
      <c r="H12" s="332">
        <f t="shared" si="2"/>
        <v>26002.07</v>
      </c>
      <c r="I12" s="333" t="s">
        <v>1285</v>
      </c>
    </row>
    <row r="13" spans="1:9" s="223" customFormat="1" ht="12.75" customHeight="1" x14ac:dyDescent="0.25">
      <c r="A13" s="230" t="s">
        <v>1332</v>
      </c>
      <c r="B13" s="177">
        <v>46225</v>
      </c>
      <c r="C13" s="231" t="s">
        <v>1286</v>
      </c>
      <c r="D13" s="232">
        <v>0</v>
      </c>
      <c r="E13" s="233">
        <f t="shared" si="0"/>
        <v>30675.759999999998</v>
      </c>
      <c r="F13" s="238"/>
      <c r="G13" s="234">
        <f t="shared" si="1"/>
        <v>4673.6900000000005</v>
      </c>
      <c r="H13" s="234">
        <f t="shared" si="2"/>
        <v>26002.07</v>
      </c>
      <c r="I13" s="235"/>
    </row>
    <row r="14" spans="1:9" s="223" customFormat="1" ht="12.75" customHeight="1" x14ac:dyDescent="0.25">
      <c r="A14" s="230" t="s">
        <v>1409</v>
      </c>
      <c r="B14" s="177">
        <v>46241</v>
      </c>
      <c r="C14" s="231" t="s">
        <v>1410</v>
      </c>
      <c r="D14" s="233"/>
      <c r="E14" s="233">
        <f t="shared" si="0"/>
        <v>30675.759999999998</v>
      </c>
      <c r="F14" s="237">
        <v>3004.61</v>
      </c>
      <c r="G14" s="234">
        <f t="shared" si="1"/>
        <v>7678.3000000000011</v>
      </c>
      <c r="H14" s="234">
        <f t="shared" si="2"/>
        <v>22997.46</v>
      </c>
      <c r="I14" s="235"/>
    </row>
    <row r="15" spans="1:9" s="223" customFormat="1" ht="12.75" customHeight="1" x14ac:dyDescent="0.25">
      <c r="A15" s="230" t="s">
        <v>1576</v>
      </c>
      <c r="B15" s="177">
        <v>46286</v>
      </c>
      <c r="C15" s="231" t="s">
        <v>1577</v>
      </c>
      <c r="D15" s="233"/>
      <c r="E15" s="233">
        <f t="shared" si="0"/>
        <v>30675.759999999998</v>
      </c>
      <c r="F15" s="237">
        <v>5465.75</v>
      </c>
      <c r="G15" s="234">
        <f t="shared" si="1"/>
        <v>13144.050000000001</v>
      </c>
      <c r="H15" s="234">
        <f t="shared" si="2"/>
        <v>17531.71</v>
      </c>
      <c r="I15" s="235"/>
    </row>
    <row r="16" spans="1:9" s="223" customFormat="1" ht="12.75" customHeight="1" x14ac:dyDescent="0.25">
      <c r="A16" s="230"/>
      <c r="B16" s="177"/>
      <c r="C16" s="231"/>
      <c r="D16" s="233"/>
      <c r="E16" s="233">
        <f t="shared" si="0"/>
        <v>30675.759999999998</v>
      </c>
      <c r="F16" s="238"/>
      <c r="G16" s="234">
        <f t="shared" si="1"/>
        <v>13144.050000000001</v>
      </c>
      <c r="H16" s="234">
        <f t="shared" si="2"/>
        <v>17531.71</v>
      </c>
      <c r="I16" s="235"/>
    </row>
    <row r="17" spans="1:9" s="223" customFormat="1" ht="12.75" customHeight="1" x14ac:dyDescent="0.25">
      <c r="A17" s="230"/>
      <c r="B17" s="177"/>
      <c r="C17" s="231"/>
      <c r="D17" s="233"/>
      <c r="E17" s="233">
        <f t="shared" si="0"/>
        <v>30675.759999999998</v>
      </c>
      <c r="F17" s="238"/>
      <c r="G17" s="234">
        <f t="shared" si="1"/>
        <v>13144.050000000001</v>
      </c>
      <c r="H17" s="234">
        <f t="shared" si="2"/>
        <v>17531.71</v>
      </c>
      <c r="I17" s="235"/>
    </row>
    <row r="18" spans="1:9" s="223" customFormat="1" ht="12.75" customHeight="1" x14ac:dyDescent="0.25">
      <c r="A18" s="230"/>
      <c r="B18" s="177"/>
      <c r="C18" s="231"/>
      <c r="D18" s="233"/>
      <c r="E18" s="233">
        <f t="shared" si="0"/>
        <v>30675.759999999998</v>
      </c>
      <c r="F18" s="238"/>
      <c r="G18" s="234">
        <f t="shared" si="1"/>
        <v>13144.050000000001</v>
      </c>
      <c r="H18" s="234">
        <f t="shared" si="2"/>
        <v>17531.71</v>
      </c>
      <c r="I18" s="235"/>
    </row>
    <row r="19" spans="1:9" s="223" customFormat="1" ht="12.75" customHeight="1" x14ac:dyDescent="0.25">
      <c r="A19" s="230"/>
      <c r="B19" s="177"/>
      <c r="C19" s="231"/>
      <c r="D19" s="233"/>
      <c r="E19" s="233">
        <f t="shared" si="0"/>
        <v>30675.759999999998</v>
      </c>
      <c r="F19" s="234"/>
      <c r="G19" s="234">
        <f t="shared" si="1"/>
        <v>13144.050000000001</v>
      </c>
      <c r="H19" s="234">
        <f t="shared" si="2"/>
        <v>17531.71</v>
      </c>
      <c r="I19" s="235"/>
    </row>
    <row r="20" spans="1:9" s="223" customFormat="1" ht="12.75" customHeight="1" x14ac:dyDescent="0.25">
      <c r="A20" s="230"/>
      <c r="B20" s="177"/>
      <c r="C20" s="231"/>
      <c r="D20" s="233"/>
      <c r="E20" s="233">
        <f t="shared" si="0"/>
        <v>30675.759999999998</v>
      </c>
      <c r="F20" s="234"/>
      <c r="G20" s="234">
        <f t="shared" si="1"/>
        <v>13144.050000000001</v>
      </c>
      <c r="H20" s="234">
        <f t="shared" si="2"/>
        <v>17531.71</v>
      </c>
      <c r="I20" s="235"/>
    </row>
    <row r="21" spans="1:9" s="223" customFormat="1" ht="12.75" customHeight="1" x14ac:dyDescent="0.25">
      <c r="A21" s="230"/>
      <c r="B21" s="177"/>
      <c r="C21" s="239"/>
      <c r="D21" s="233"/>
      <c r="E21" s="233">
        <f t="shared" si="0"/>
        <v>30675.759999999998</v>
      </c>
      <c r="F21" s="234"/>
      <c r="G21" s="234">
        <f t="shared" si="1"/>
        <v>13144.050000000001</v>
      </c>
      <c r="H21" s="234">
        <f t="shared" si="2"/>
        <v>17531.71</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30675.759999999998</v>
      </c>
      <c r="E23" s="245"/>
      <c r="F23" s="245">
        <f>SUM(F9:F22)</f>
        <v>13144.050000000001</v>
      </c>
      <c r="G23" s="245"/>
      <c r="H23" s="245">
        <f>D23-F23</f>
        <v>17531.71</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29175.759999999998</v>
      </c>
      <c r="E26" s="254"/>
      <c r="F26" s="254">
        <f>2474.28+1043.64+1031.77+3004.61+5465.75</f>
        <v>13020.050000000001</v>
      </c>
      <c r="G26" s="254"/>
      <c r="H26" s="254">
        <f>D26-F26</f>
        <v>16155.709999999997</v>
      </c>
      <c r="I26" s="235"/>
    </row>
    <row r="27" spans="1:9" s="223" customFormat="1" ht="12.75" customHeight="1" x14ac:dyDescent="0.25">
      <c r="A27" s="230"/>
      <c r="B27" s="231"/>
      <c r="C27" s="253" t="s">
        <v>111</v>
      </c>
      <c r="D27" s="254">
        <v>1500</v>
      </c>
      <c r="E27" s="254"/>
      <c r="F27" s="254">
        <f>124</f>
        <v>124</v>
      </c>
      <c r="G27" s="254"/>
      <c r="H27" s="254">
        <f>D27-F27</f>
        <v>1376</v>
      </c>
      <c r="I27" s="235"/>
    </row>
    <row r="28" spans="1:9" s="223" customFormat="1" ht="12.75" customHeight="1" thickBot="1" x14ac:dyDescent="0.3">
      <c r="A28" s="230"/>
      <c r="B28" s="231"/>
      <c r="C28" s="255" t="s">
        <v>67</v>
      </c>
      <c r="D28" s="256">
        <f>SUM(D26:D27)</f>
        <v>30675.759999999998</v>
      </c>
      <c r="E28" s="257"/>
      <c r="F28" s="256">
        <f>SUM(F26:F27)</f>
        <v>13144.050000000001</v>
      </c>
      <c r="G28" s="257"/>
      <c r="H28" s="256">
        <f>SUM(H26:H27)</f>
        <v>17531.71</v>
      </c>
      <c r="I28" s="235"/>
    </row>
    <row r="29" spans="1:9" s="223" customFormat="1" ht="12.75" customHeight="1" thickTop="1" x14ac:dyDescent="0.25"/>
  </sheetData>
  <conditionalFormatting sqref="I8:I11 I13:I23">
    <cfRule type="cellIs" dxfId="6"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58F0C-A9BD-4663-A2E4-A9B46E516968}">
  <sheetPr>
    <pageSetUpPr fitToPage="1"/>
  </sheetPr>
  <dimension ref="A1:J31"/>
  <sheetViews>
    <sheetView zoomScaleNormal="100" workbookViewId="0">
      <selection activeCell="F30" sqref="F30:F31"/>
    </sheetView>
  </sheetViews>
  <sheetFormatPr defaultColWidth="11.42578125" defaultRowHeight="15" customHeight="1" x14ac:dyDescent="0.25"/>
  <cols>
    <col min="1" max="1" width="24.5703125" customWidth="1"/>
    <col min="2" max="3" width="9.42578125" customWidth="1"/>
    <col min="4" max="4" width="41.7109375" customWidth="1"/>
    <col min="5" max="5" width="12.5703125" customWidth="1"/>
    <col min="6" max="6" width="13.5703125" customWidth="1"/>
    <col min="7" max="7" width="12.42578125" customWidth="1"/>
    <col min="8" max="8" width="10.5703125" customWidth="1"/>
    <col min="9" max="9" width="11.285156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#9527.00'!B1</f>
        <v>HHS CHMHI Four Corners Elevator Replacement</v>
      </c>
      <c r="B1" s="3"/>
      <c r="C1" s="3"/>
      <c r="D1" s="4"/>
      <c r="E1" s="4"/>
      <c r="F1" s="4"/>
      <c r="G1" s="28"/>
      <c r="H1" s="28"/>
      <c r="I1" s="29"/>
      <c r="J1" s="29"/>
    </row>
    <row r="2" spans="1:10" ht="15.75" x14ac:dyDescent="0.25">
      <c r="A2" s="6" t="str">
        <f>'RECAP #9527.00'!B2</f>
        <v>Project # 9527.00</v>
      </c>
      <c r="B2" s="5"/>
      <c r="C2" s="5"/>
      <c r="D2" s="4"/>
      <c r="E2" s="4"/>
      <c r="F2" s="4"/>
      <c r="G2" s="28"/>
      <c r="H2" s="28"/>
      <c r="I2" s="29"/>
      <c r="J2" s="29"/>
    </row>
    <row r="3" spans="1:10" ht="15.75" x14ac:dyDescent="0.25">
      <c r="A3" s="7" t="str">
        <f>'RECAP #9527.00'!B3</f>
        <v>Program code 952700</v>
      </c>
      <c r="B3" s="5"/>
      <c r="C3" s="5"/>
      <c r="D3" s="4"/>
      <c r="E3" s="8" t="str">
        <f>'RECAP #9527.00'!E3</f>
        <v>Major Program 4D03</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523</v>
      </c>
      <c r="F6" s="42"/>
      <c r="G6" s="43"/>
      <c r="H6" s="39"/>
      <c r="I6" s="35"/>
      <c r="J6" s="29"/>
    </row>
    <row r="7" spans="1:10" ht="15.75" x14ac:dyDescent="0.25">
      <c r="A7" s="11" t="str">
        <f>'RECAP #9527.00'!B6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v>10000</v>
      </c>
      <c r="F9" s="233">
        <f>E9</f>
        <v>10000</v>
      </c>
      <c r="G9" s="234"/>
      <c r="H9" s="234"/>
      <c r="I9" s="234">
        <f>F9</f>
        <v>10000</v>
      </c>
      <c r="J9" s="235"/>
    </row>
    <row r="10" spans="1:10" s="223" customFormat="1" ht="12.75" customHeight="1" x14ac:dyDescent="0.2">
      <c r="A10" s="70" t="s">
        <v>644</v>
      </c>
      <c r="B10" s="50">
        <v>46090</v>
      </c>
      <c r="C10" s="53" t="s">
        <v>261</v>
      </c>
      <c r="D10" s="144" t="s">
        <v>645</v>
      </c>
      <c r="E10" s="233"/>
      <c r="F10" s="233">
        <f t="shared" ref="F10:F27" si="0">F9+E10</f>
        <v>10000</v>
      </c>
      <c r="G10" s="237">
        <v>37.630000000000003</v>
      </c>
      <c r="H10" s="234">
        <f t="shared" ref="H10:H27" si="1">H9+G10</f>
        <v>37.630000000000003</v>
      </c>
      <c r="I10" s="234">
        <f t="shared" ref="I10:I27" si="2">I9-G10+E10</f>
        <v>9962.3700000000008</v>
      </c>
      <c r="J10" s="235"/>
    </row>
    <row r="11" spans="1:10" s="223" customFormat="1" ht="12.75" customHeight="1" x14ac:dyDescent="0.2">
      <c r="A11" s="70" t="s">
        <v>644</v>
      </c>
      <c r="B11" s="50">
        <v>46090</v>
      </c>
      <c r="C11" s="268">
        <v>9500</v>
      </c>
      <c r="D11" s="66" t="s">
        <v>646</v>
      </c>
      <c r="E11" s="233"/>
      <c r="F11" s="233">
        <f t="shared" si="0"/>
        <v>10000</v>
      </c>
      <c r="G11" s="237">
        <v>431.4</v>
      </c>
      <c r="H11" s="234">
        <f t="shared" si="1"/>
        <v>469.03</v>
      </c>
      <c r="I11" s="234">
        <f t="shared" si="2"/>
        <v>9530.9700000000012</v>
      </c>
      <c r="J11" s="235"/>
    </row>
    <row r="12" spans="1:10" s="223" customFormat="1" ht="12.75" customHeight="1" x14ac:dyDescent="0.2">
      <c r="A12" s="70" t="s">
        <v>744</v>
      </c>
      <c r="B12" s="50">
        <v>46118</v>
      </c>
      <c r="C12" s="53" t="s">
        <v>261</v>
      </c>
      <c r="D12" s="144" t="s">
        <v>745</v>
      </c>
      <c r="E12" s="233"/>
      <c r="F12" s="233">
        <f t="shared" si="0"/>
        <v>10000</v>
      </c>
      <c r="G12" s="237">
        <v>88.19</v>
      </c>
      <c r="H12" s="234">
        <f t="shared" si="1"/>
        <v>557.22</v>
      </c>
      <c r="I12" s="234">
        <f t="shared" si="2"/>
        <v>9442.7800000000007</v>
      </c>
      <c r="J12" s="235"/>
    </row>
    <row r="13" spans="1:10" s="223" customFormat="1" ht="12.75" customHeight="1" x14ac:dyDescent="0.2">
      <c r="A13" s="70" t="s">
        <v>744</v>
      </c>
      <c r="B13" s="50">
        <v>46118</v>
      </c>
      <c r="C13" s="268">
        <v>9500</v>
      </c>
      <c r="D13" s="66" t="s">
        <v>746</v>
      </c>
      <c r="E13" s="233"/>
      <c r="F13" s="233">
        <f t="shared" si="0"/>
        <v>10000</v>
      </c>
      <c r="G13" s="237">
        <v>716.1</v>
      </c>
      <c r="H13" s="234">
        <f t="shared" si="1"/>
        <v>1273.3200000000002</v>
      </c>
      <c r="I13" s="234">
        <f t="shared" si="2"/>
        <v>8726.68</v>
      </c>
      <c r="J13" s="235"/>
    </row>
    <row r="14" spans="1:10" s="223" customFormat="1" ht="12.75" customHeight="1" x14ac:dyDescent="0.2">
      <c r="A14" s="70" t="s">
        <v>869</v>
      </c>
      <c r="B14" s="50">
        <v>46149</v>
      </c>
      <c r="C14" s="53" t="s">
        <v>261</v>
      </c>
      <c r="D14" s="144" t="s">
        <v>870</v>
      </c>
      <c r="E14" s="233"/>
      <c r="F14" s="233">
        <f t="shared" si="0"/>
        <v>10000</v>
      </c>
      <c r="G14" s="237">
        <v>58.77</v>
      </c>
      <c r="H14" s="234">
        <f t="shared" si="1"/>
        <v>1332.0900000000001</v>
      </c>
      <c r="I14" s="234">
        <f t="shared" si="2"/>
        <v>8667.91</v>
      </c>
      <c r="J14" s="235"/>
    </row>
    <row r="15" spans="1:10" s="223" customFormat="1" ht="12.75" customHeight="1" x14ac:dyDescent="0.2">
      <c r="A15" s="70" t="s">
        <v>869</v>
      </c>
      <c r="B15" s="50">
        <v>46149</v>
      </c>
      <c r="C15" s="268">
        <v>9500</v>
      </c>
      <c r="D15" s="66" t="s">
        <v>871</v>
      </c>
      <c r="E15" s="233"/>
      <c r="F15" s="233">
        <f t="shared" si="0"/>
        <v>10000</v>
      </c>
      <c r="G15" s="237">
        <v>612.29999999999995</v>
      </c>
      <c r="H15" s="234">
        <f t="shared" si="1"/>
        <v>1944.39</v>
      </c>
      <c r="I15" s="234">
        <f t="shared" si="2"/>
        <v>8055.61</v>
      </c>
      <c r="J15" s="235"/>
    </row>
    <row r="16" spans="1:10" s="223" customFormat="1" ht="12.75" customHeight="1" x14ac:dyDescent="0.2">
      <c r="A16" s="70" t="s">
        <v>984</v>
      </c>
      <c r="B16" s="50">
        <v>46181</v>
      </c>
      <c r="C16" s="53" t="s">
        <v>261</v>
      </c>
      <c r="D16" s="144" t="s">
        <v>985</v>
      </c>
      <c r="E16" s="233"/>
      <c r="F16" s="233">
        <f t="shared" si="0"/>
        <v>10000</v>
      </c>
      <c r="G16" s="237">
        <v>39.409999999999997</v>
      </c>
      <c r="H16" s="234">
        <f t="shared" si="1"/>
        <v>1983.8000000000002</v>
      </c>
      <c r="I16" s="234">
        <f t="shared" si="2"/>
        <v>8016.2</v>
      </c>
      <c r="J16" s="235"/>
    </row>
    <row r="17" spans="1:10" s="223" customFormat="1" ht="12.75" customHeight="1" x14ac:dyDescent="0.2">
      <c r="A17" s="70" t="s">
        <v>984</v>
      </c>
      <c r="B17" s="50">
        <v>46181</v>
      </c>
      <c r="C17" s="268">
        <v>9500</v>
      </c>
      <c r="D17" s="66" t="s">
        <v>986</v>
      </c>
      <c r="E17" s="233"/>
      <c r="F17" s="233">
        <f t="shared" si="0"/>
        <v>10000</v>
      </c>
      <c r="G17" s="237">
        <v>478.3</v>
      </c>
      <c r="H17" s="234">
        <f t="shared" si="1"/>
        <v>2462.1000000000004</v>
      </c>
      <c r="I17" s="234">
        <f t="shared" si="2"/>
        <v>7537.9</v>
      </c>
      <c r="J17" s="235"/>
    </row>
    <row r="18" spans="1:10" s="223" customFormat="1" ht="12.75" customHeight="1" x14ac:dyDescent="0.2">
      <c r="A18" s="70" t="s">
        <v>1186</v>
      </c>
      <c r="B18" s="50">
        <v>46211</v>
      </c>
      <c r="C18" s="53" t="s">
        <v>261</v>
      </c>
      <c r="D18" s="144" t="s">
        <v>1187</v>
      </c>
      <c r="E18" s="233"/>
      <c r="F18" s="233">
        <f t="shared" si="0"/>
        <v>10000</v>
      </c>
      <c r="G18" s="237">
        <v>73.989999999999995</v>
      </c>
      <c r="H18" s="234">
        <f t="shared" si="1"/>
        <v>2536.09</v>
      </c>
      <c r="I18" s="234">
        <f t="shared" si="2"/>
        <v>7463.91</v>
      </c>
      <c r="J18" s="235"/>
    </row>
    <row r="19" spans="1:10" s="223" customFormat="1" ht="12.75" customHeight="1" x14ac:dyDescent="0.2">
      <c r="A19" s="70" t="s">
        <v>1186</v>
      </c>
      <c r="B19" s="50">
        <v>46211</v>
      </c>
      <c r="C19" s="268">
        <v>9500</v>
      </c>
      <c r="D19" s="66" t="s">
        <v>1188</v>
      </c>
      <c r="E19" s="233"/>
      <c r="F19" s="233">
        <f t="shared" si="0"/>
        <v>10000</v>
      </c>
      <c r="G19" s="237">
        <v>911.6</v>
      </c>
      <c r="H19" s="234">
        <f t="shared" si="1"/>
        <v>3447.69</v>
      </c>
      <c r="I19" s="234">
        <f t="shared" si="2"/>
        <v>6552.3099999999995</v>
      </c>
      <c r="J19" s="235"/>
    </row>
    <row r="20" spans="1:10" s="223" customFormat="1" ht="12.75" customHeight="1" x14ac:dyDescent="0.2">
      <c r="A20" s="70" t="s">
        <v>1265</v>
      </c>
      <c r="B20" s="50">
        <v>46218</v>
      </c>
      <c r="C20" s="53" t="s">
        <v>261</v>
      </c>
      <c r="D20" s="144" t="s">
        <v>1266</v>
      </c>
      <c r="E20" s="233"/>
      <c r="F20" s="233">
        <f t="shared" si="0"/>
        <v>10000</v>
      </c>
      <c r="G20" s="237">
        <v>30.04</v>
      </c>
      <c r="H20" s="234">
        <f t="shared" si="1"/>
        <v>3477.73</v>
      </c>
      <c r="I20" s="234">
        <f t="shared" si="2"/>
        <v>6522.2699999999995</v>
      </c>
      <c r="J20" s="235"/>
    </row>
    <row r="21" spans="1:10" s="223" customFormat="1" ht="12.75" customHeight="1" x14ac:dyDescent="0.2">
      <c r="A21" s="70" t="s">
        <v>1436</v>
      </c>
      <c r="B21" s="365">
        <v>46241</v>
      </c>
      <c r="C21" s="53" t="s">
        <v>261</v>
      </c>
      <c r="D21" s="144" t="s">
        <v>1437</v>
      </c>
      <c r="E21" s="233"/>
      <c r="F21" s="233">
        <f t="shared" si="0"/>
        <v>10000</v>
      </c>
      <c r="G21" s="237">
        <v>46.79</v>
      </c>
      <c r="H21" s="234">
        <f t="shared" si="1"/>
        <v>3524.52</v>
      </c>
      <c r="I21" s="234">
        <f t="shared" si="2"/>
        <v>6475.48</v>
      </c>
      <c r="J21" s="235"/>
    </row>
    <row r="22" spans="1:10" s="223" customFormat="1" ht="12.75" customHeight="1" x14ac:dyDescent="0.2">
      <c r="A22" s="70" t="s">
        <v>1436</v>
      </c>
      <c r="B22" s="365">
        <v>46241</v>
      </c>
      <c r="C22" s="268">
        <v>9500</v>
      </c>
      <c r="D22" s="66" t="s">
        <v>1438</v>
      </c>
      <c r="E22" s="233"/>
      <c r="F22" s="233">
        <f t="shared" si="0"/>
        <v>10000</v>
      </c>
      <c r="G22" s="237">
        <v>500.3</v>
      </c>
      <c r="H22" s="234">
        <f t="shared" si="1"/>
        <v>4024.82</v>
      </c>
      <c r="I22" s="234">
        <f t="shared" si="2"/>
        <v>5975.1799999999994</v>
      </c>
      <c r="J22" s="235"/>
    </row>
    <row r="23" spans="1:10" s="223" customFormat="1" ht="12.75" customHeight="1" x14ac:dyDescent="0.2">
      <c r="A23" s="70" t="s">
        <v>1531</v>
      </c>
      <c r="B23" s="365">
        <v>46272</v>
      </c>
      <c r="C23" s="53" t="s">
        <v>261</v>
      </c>
      <c r="D23" s="144" t="s">
        <v>1532</v>
      </c>
      <c r="E23" s="233"/>
      <c r="F23" s="233">
        <f t="shared" si="0"/>
        <v>10000</v>
      </c>
      <c r="G23" s="237">
        <v>101.2</v>
      </c>
      <c r="H23" s="234">
        <f t="shared" si="1"/>
        <v>4126.0200000000004</v>
      </c>
      <c r="I23" s="234">
        <f t="shared" si="2"/>
        <v>5873.98</v>
      </c>
      <c r="J23" s="235"/>
    </row>
    <row r="24" spans="1:10" s="223" customFormat="1" ht="12.75" customHeight="1" x14ac:dyDescent="0.2">
      <c r="A24" s="70" t="s">
        <v>1531</v>
      </c>
      <c r="B24" s="365">
        <v>46272</v>
      </c>
      <c r="C24" s="268">
        <v>9500</v>
      </c>
      <c r="D24" s="66" t="s">
        <v>1533</v>
      </c>
      <c r="E24" s="233"/>
      <c r="F24" s="233">
        <f t="shared" si="0"/>
        <v>10000</v>
      </c>
      <c r="G24" s="237">
        <v>983</v>
      </c>
      <c r="H24" s="234">
        <f t="shared" si="1"/>
        <v>5109.0200000000004</v>
      </c>
      <c r="I24" s="234">
        <f t="shared" si="2"/>
        <v>4890.9799999999996</v>
      </c>
      <c r="J24" s="235"/>
    </row>
    <row r="25" spans="1:10" s="223" customFormat="1" ht="12.75" customHeight="1" x14ac:dyDescent="0.2">
      <c r="A25" s="70"/>
      <c r="B25" s="365"/>
      <c r="C25" s="268"/>
      <c r="D25" s="66"/>
      <c r="E25" s="233"/>
      <c r="F25" s="233">
        <f t="shared" si="0"/>
        <v>10000</v>
      </c>
      <c r="G25" s="238"/>
      <c r="H25" s="234">
        <f t="shared" si="1"/>
        <v>5109.0200000000004</v>
      </c>
      <c r="I25" s="234">
        <f t="shared" si="2"/>
        <v>4890.9799999999996</v>
      </c>
      <c r="J25" s="235"/>
    </row>
    <row r="26" spans="1:10" s="223" customFormat="1" ht="12.75" customHeight="1" x14ac:dyDescent="0.2">
      <c r="A26" s="70"/>
      <c r="B26" s="365"/>
      <c r="C26" s="268"/>
      <c r="D26" s="66"/>
      <c r="E26" s="233"/>
      <c r="F26" s="233">
        <f t="shared" si="0"/>
        <v>10000</v>
      </c>
      <c r="G26" s="237"/>
      <c r="H26" s="234">
        <f t="shared" si="1"/>
        <v>5109.0200000000004</v>
      </c>
      <c r="I26" s="234">
        <f t="shared" si="2"/>
        <v>4890.9799999999996</v>
      </c>
      <c r="J26" s="235"/>
    </row>
    <row r="27" spans="1:10" s="223" customFormat="1" ht="12.75" customHeight="1" x14ac:dyDescent="0.25">
      <c r="A27" s="241"/>
      <c r="B27" s="177"/>
      <c r="C27" s="177"/>
      <c r="D27" s="258"/>
      <c r="E27" s="233"/>
      <c r="F27" s="233">
        <f t="shared" si="0"/>
        <v>10000</v>
      </c>
      <c r="G27" s="234"/>
      <c r="H27" s="234">
        <f t="shared" si="1"/>
        <v>5109.0200000000004</v>
      </c>
      <c r="I27" s="234">
        <f t="shared" si="2"/>
        <v>4890.9799999999996</v>
      </c>
      <c r="J27" s="235"/>
    </row>
    <row r="28" spans="1:10" s="223" customFormat="1" ht="12.75" customHeight="1" x14ac:dyDescent="0.25">
      <c r="A28" s="230"/>
      <c r="B28" s="231"/>
      <c r="C28" s="231"/>
      <c r="D28" s="240"/>
      <c r="E28" s="234"/>
      <c r="F28" s="234"/>
      <c r="G28" s="234"/>
      <c r="H28" s="234"/>
      <c r="I28" s="234"/>
      <c r="J28" s="235"/>
    </row>
    <row r="29" spans="1:10" s="223" customFormat="1" ht="12.75" customHeight="1" thickBot="1" x14ac:dyDescent="0.3">
      <c r="A29" s="230"/>
      <c r="B29" s="243"/>
      <c r="C29" s="243"/>
      <c r="D29" s="244" t="s">
        <v>24</v>
      </c>
      <c r="E29" s="245">
        <f>SUM(E9:E28)</f>
        <v>10000</v>
      </c>
      <c r="F29" s="245"/>
      <c r="G29" s="245">
        <f>SUM(G9:G28)</f>
        <v>5109.0200000000004</v>
      </c>
      <c r="H29" s="245"/>
      <c r="I29" s="245">
        <f>E29-G29</f>
        <v>4890.9799999999996</v>
      </c>
      <c r="J29" s="235"/>
    </row>
    <row r="30" spans="1:10" s="223" customFormat="1" ht="12.75" customHeight="1" thickTop="1" x14ac:dyDescent="0.25"/>
    <row r="31" spans="1:10" s="223"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2D378-D51F-454F-A411-AEEE074FBF1E}">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#9527.00'!B1</f>
        <v>HHS CHMHI Four Corners Elevator Replacement</v>
      </c>
      <c r="B1" s="3"/>
      <c r="C1" s="3"/>
      <c r="D1" s="3"/>
      <c r="E1" s="4"/>
      <c r="F1" s="4"/>
      <c r="G1" s="4"/>
      <c r="H1" s="28"/>
    </row>
    <row r="2" spans="1:8" ht="15.75" x14ac:dyDescent="0.25">
      <c r="A2" s="6" t="str">
        <f>'RECAP #9527.00'!B2</f>
        <v>Project # 9527.00</v>
      </c>
      <c r="B2" s="5"/>
      <c r="C2" s="5"/>
      <c r="D2" s="5"/>
      <c r="E2" s="4"/>
      <c r="F2" s="4"/>
      <c r="G2" s="4"/>
      <c r="H2" s="28"/>
    </row>
    <row r="3" spans="1:8" ht="15.75" x14ac:dyDescent="0.25">
      <c r="A3" s="7" t="str">
        <f>'RECAP #9527.00'!B3</f>
        <v>Program code 952700</v>
      </c>
      <c r="B3" s="5"/>
      <c r="C3" s="5"/>
      <c r="D3" s="5"/>
      <c r="E3" s="8" t="str">
        <f>'RECAP #9527.00'!E3</f>
        <v>Major Program 4D03</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818</v>
      </c>
      <c r="F6" s="35"/>
      <c r="G6" s="38"/>
      <c r="H6" s="39"/>
    </row>
    <row r="7" spans="1:8" ht="15.75" x14ac:dyDescent="0.25">
      <c r="A7" s="11" t="str">
        <f>'RECAP #9527.00'!B6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5">
      <c r="A9" s="239"/>
      <c r="B9" s="177"/>
      <c r="C9" s="230"/>
      <c r="D9" s="230"/>
      <c r="E9" s="176"/>
      <c r="F9" s="259"/>
      <c r="G9" s="260"/>
      <c r="H9" s="260">
        <f>G9</f>
        <v>0</v>
      </c>
    </row>
    <row r="10" spans="1:8" s="223" customFormat="1" ht="12.75" customHeight="1" x14ac:dyDescent="0.25">
      <c r="A10" s="241"/>
      <c r="B10" s="177"/>
      <c r="C10" s="240"/>
      <c r="D10" s="240"/>
      <c r="E10" s="258"/>
      <c r="F10" s="252"/>
      <c r="G10" s="260"/>
      <c r="H10" s="260">
        <f>H9+G10</f>
        <v>0</v>
      </c>
    </row>
    <row r="11" spans="1:8" s="223" customFormat="1" ht="12.75" customHeight="1" x14ac:dyDescent="0.25">
      <c r="A11" s="241"/>
      <c r="B11" s="177"/>
      <c r="C11" s="177"/>
      <c r="D11" s="177"/>
      <c r="E11" s="258"/>
      <c r="F11" s="252"/>
      <c r="G11" s="260"/>
      <c r="H11" s="260">
        <f t="shared" ref="H11:H20" si="0">H10+G11</f>
        <v>0</v>
      </c>
    </row>
    <row r="12" spans="1:8" s="223" customFormat="1" ht="12.75" customHeight="1" x14ac:dyDescent="0.25">
      <c r="A12" s="241" t="s">
        <v>2</v>
      </c>
      <c r="B12" s="177" t="s">
        <v>2</v>
      </c>
      <c r="C12" s="177"/>
      <c r="D12" s="177"/>
      <c r="E12" s="258" t="s">
        <v>2</v>
      </c>
      <c r="F12" s="252"/>
      <c r="G12" s="260"/>
      <c r="H12" s="260">
        <f t="shared" si="0"/>
        <v>0</v>
      </c>
    </row>
    <row r="13" spans="1:8" s="223" customFormat="1" ht="12.75" customHeight="1" x14ac:dyDescent="0.25">
      <c r="A13" s="241" t="s">
        <v>2</v>
      </c>
      <c r="B13" s="177" t="s">
        <v>2</v>
      </c>
      <c r="C13" s="177"/>
      <c r="D13" s="177"/>
      <c r="E13" s="258" t="s">
        <v>2</v>
      </c>
      <c r="F13" s="252"/>
      <c r="G13" s="260"/>
      <c r="H13" s="260">
        <f t="shared" si="0"/>
        <v>0</v>
      </c>
    </row>
    <row r="14" spans="1:8" s="223" customFormat="1" ht="12.75" customHeight="1" x14ac:dyDescent="0.25">
      <c r="A14" s="241"/>
      <c r="B14" s="177"/>
      <c r="C14" s="177"/>
      <c r="D14" s="177"/>
      <c r="E14" s="258"/>
      <c r="F14" s="252"/>
      <c r="G14" s="260"/>
      <c r="H14" s="260">
        <f t="shared" si="0"/>
        <v>0</v>
      </c>
    </row>
    <row r="15" spans="1:8" s="223" customFormat="1" ht="12.75" customHeight="1" x14ac:dyDescent="0.25">
      <c r="A15" s="241"/>
      <c r="B15" s="177"/>
      <c r="C15" s="177"/>
      <c r="D15" s="177"/>
      <c r="E15" s="261"/>
      <c r="F15" s="252"/>
      <c r="G15" s="260"/>
      <c r="H15" s="260">
        <f t="shared" si="0"/>
        <v>0</v>
      </c>
    </row>
    <row r="16" spans="1:8" s="223" customFormat="1" ht="12.75" customHeight="1" x14ac:dyDescent="0.25">
      <c r="A16" s="241"/>
      <c r="B16" s="177"/>
      <c r="C16" s="177"/>
      <c r="D16" s="177"/>
      <c r="E16" s="258"/>
      <c r="F16" s="252"/>
      <c r="G16" s="260"/>
      <c r="H16" s="260">
        <f t="shared" si="0"/>
        <v>0</v>
      </c>
    </row>
    <row r="17" spans="1:8" s="223" customFormat="1" ht="12.75" customHeight="1" x14ac:dyDescent="0.25">
      <c r="A17" s="230"/>
      <c r="B17" s="177"/>
      <c r="C17" s="177"/>
      <c r="D17" s="177"/>
      <c r="E17" s="258"/>
      <c r="F17" s="252"/>
      <c r="G17" s="260"/>
      <c r="H17" s="260">
        <f t="shared" si="0"/>
        <v>0</v>
      </c>
    </row>
    <row r="18" spans="1:8" s="223" customFormat="1" ht="12.75" customHeight="1" x14ac:dyDescent="0.25">
      <c r="A18" s="230"/>
      <c r="B18" s="177"/>
      <c r="C18" s="177"/>
      <c r="D18" s="177"/>
      <c r="E18" s="258"/>
      <c r="F18" s="252"/>
      <c r="G18" s="260"/>
      <c r="H18" s="260">
        <f t="shared" si="0"/>
        <v>0</v>
      </c>
    </row>
    <row r="19" spans="1:8" s="223" customFormat="1" ht="12.75" customHeight="1" x14ac:dyDescent="0.25">
      <c r="A19" s="230"/>
      <c r="B19" s="177"/>
      <c r="C19" s="177"/>
      <c r="D19" s="177"/>
      <c r="E19" s="258"/>
      <c r="F19" s="252"/>
      <c r="G19" s="260"/>
      <c r="H19" s="260">
        <f t="shared" si="0"/>
        <v>0</v>
      </c>
    </row>
    <row r="20" spans="1:8" s="223" customFormat="1" ht="12.75" customHeight="1" x14ac:dyDescent="0.25">
      <c r="A20" s="230"/>
      <c r="B20" s="177"/>
      <c r="C20" s="177"/>
      <c r="D20" s="177"/>
      <c r="E20" s="258"/>
      <c r="F20" s="252"/>
      <c r="G20" s="260"/>
      <c r="H20" s="260">
        <f t="shared" si="0"/>
        <v>0</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0</v>
      </c>
      <c r="H22" s="265"/>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D1B68-678A-4E0F-85EB-602CAE084B19}">
  <sheetPr>
    <pageSetUpPr fitToPage="1"/>
  </sheetPr>
  <dimension ref="A1:I30"/>
  <sheetViews>
    <sheetView topLeftCell="A2" zoomScaleNormal="100" workbookViewId="0">
      <selection activeCell="N32" sqref="N32"/>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#9527.00'!B1</f>
        <v>HHS CHMHI Four Corners Elevator Replacement</v>
      </c>
      <c r="B1" s="3"/>
      <c r="C1" s="4"/>
      <c r="D1" s="4"/>
      <c r="E1" s="4"/>
      <c r="F1" s="28"/>
      <c r="G1" s="28"/>
      <c r="H1" s="29"/>
      <c r="I1" s="29"/>
    </row>
    <row r="2" spans="1:9" ht="15.75" x14ac:dyDescent="0.25">
      <c r="A2" s="6" t="str">
        <f>'RECAP #9527.00'!B2</f>
        <v>Project # 9527.00</v>
      </c>
      <c r="B2" s="5"/>
      <c r="C2" s="4"/>
      <c r="D2" s="4"/>
      <c r="E2" s="4"/>
      <c r="F2" s="28"/>
      <c r="G2" s="28"/>
      <c r="H2" s="29"/>
      <c r="I2" s="29"/>
    </row>
    <row r="3" spans="1:9" ht="15.75" x14ac:dyDescent="0.25">
      <c r="A3" s="7" t="str">
        <f>'RECAP #9527.00'!B3</f>
        <v>Program code 952700</v>
      </c>
      <c r="B3" s="5"/>
      <c r="C3" s="4"/>
      <c r="D3" s="8" t="str">
        <f>'RECAP #9527.00'!E3</f>
        <v>Major Program 4D03</v>
      </c>
      <c r="E3" s="4"/>
      <c r="F3" s="28"/>
      <c r="G3" s="28"/>
      <c r="H3" s="29"/>
      <c r="I3" s="29"/>
    </row>
    <row r="4" spans="1:9" ht="15.75" x14ac:dyDescent="0.25">
      <c r="A4" s="30" t="s">
        <v>894</v>
      </c>
      <c r="B4" s="31"/>
      <c r="C4" s="32"/>
      <c r="D4" s="33" t="s">
        <v>396</v>
      </c>
      <c r="E4" s="28"/>
      <c r="F4" s="28"/>
      <c r="G4" s="28"/>
      <c r="H4" s="29"/>
      <c r="I4" s="29"/>
    </row>
    <row r="5" spans="1:9" ht="15.75" x14ac:dyDescent="0.25">
      <c r="A5" s="34" t="s">
        <v>115</v>
      </c>
      <c r="B5" s="35"/>
      <c r="C5" s="36"/>
      <c r="D5" s="37" t="s">
        <v>895</v>
      </c>
      <c r="E5" s="38"/>
      <c r="F5" s="39"/>
      <c r="G5" s="39"/>
      <c r="H5" s="35"/>
      <c r="I5" s="29"/>
    </row>
    <row r="6" spans="1:9" ht="15.75" x14ac:dyDescent="0.25">
      <c r="A6" s="11" t="str">
        <f>'RECAP #9527.00'!B6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896</v>
      </c>
      <c r="B9" s="177">
        <v>46162</v>
      </c>
      <c r="C9" s="231" t="s">
        <v>109</v>
      </c>
      <c r="D9" s="232">
        <v>58810</v>
      </c>
      <c r="E9" s="233">
        <f>D9</f>
        <v>58810</v>
      </c>
      <c r="F9" s="234"/>
      <c r="G9" s="234"/>
      <c r="H9" s="234">
        <f>E9</f>
        <v>58810</v>
      </c>
      <c r="I9" s="235"/>
    </row>
    <row r="10" spans="1:9" s="223" customFormat="1" ht="12.75" customHeight="1" x14ac:dyDescent="0.25">
      <c r="A10" s="230" t="s">
        <v>1082</v>
      </c>
      <c r="B10" s="236">
        <v>46192</v>
      </c>
      <c r="C10" s="231" t="s">
        <v>1083</v>
      </c>
      <c r="D10" s="233"/>
      <c r="E10" s="233">
        <f t="shared" ref="E10:E21" si="0">E9+D10</f>
        <v>58810</v>
      </c>
      <c r="F10" s="237">
        <v>3877.5</v>
      </c>
      <c r="G10" s="234">
        <f t="shared" ref="G10:G21" si="1">G9+F10</f>
        <v>3877.5</v>
      </c>
      <c r="H10" s="234">
        <f t="shared" ref="H10:H21" si="2">H9-F10+D10</f>
        <v>54932.5</v>
      </c>
      <c r="I10" s="235"/>
    </row>
    <row r="11" spans="1:9" s="223" customFormat="1" ht="12.75" customHeight="1" x14ac:dyDescent="0.25">
      <c r="A11" s="328" t="s">
        <v>1162</v>
      </c>
      <c r="B11" s="329">
        <v>46209</v>
      </c>
      <c r="C11" s="330" t="s">
        <v>1163</v>
      </c>
      <c r="D11" s="331"/>
      <c r="E11" s="331">
        <f t="shared" si="0"/>
        <v>58810</v>
      </c>
      <c r="F11" s="338">
        <v>14737.5</v>
      </c>
      <c r="G11" s="332">
        <f t="shared" si="1"/>
        <v>18615</v>
      </c>
      <c r="H11" s="332">
        <f t="shared" si="2"/>
        <v>40195</v>
      </c>
      <c r="I11" s="333" t="s">
        <v>1285</v>
      </c>
    </row>
    <row r="12" spans="1:9" s="223" customFormat="1" ht="12.75" customHeight="1" x14ac:dyDescent="0.25">
      <c r="A12" s="230" t="s">
        <v>1333</v>
      </c>
      <c r="B12" s="177">
        <v>46225</v>
      </c>
      <c r="C12" s="231" t="s">
        <v>1286</v>
      </c>
      <c r="D12" s="232">
        <v>0</v>
      </c>
      <c r="E12" s="233">
        <f t="shared" si="0"/>
        <v>58810</v>
      </c>
      <c r="F12" s="238"/>
      <c r="G12" s="234">
        <f t="shared" si="1"/>
        <v>18615</v>
      </c>
      <c r="H12" s="234">
        <f t="shared" si="2"/>
        <v>40195</v>
      </c>
      <c r="I12" s="235"/>
    </row>
    <row r="13" spans="1:9" s="223" customFormat="1" ht="12.75" customHeight="1" x14ac:dyDescent="0.25">
      <c r="A13" s="230" t="s">
        <v>1441</v>
      </c>
      <c r="B13" s="177">
        <v>46251</v>
      </c>
      <c r="C13" s="231" t="s">
        <v>1442</v>
      </c>
      <c r="D13" s="233"/>
      <c r="E13" s="233">
        <f t="shared" si="0"/>
        <v>58810</v>
      </c>
      <c r="F13" s="237">
        <v>13018</v>
      </c>
      <c r="G13" s="234">
        <f t="shared" si="1"/>
        <v>31633</v>
      </c>
      <c r="H13" s="234">
        <f t="shared" si="2"/>
        <v>27177</v>
      </c>
      <c r="I13" s="235"/>
    </row>
    <row r="14" spans="1:9" s="223" customFormat="1" ht="12.75" customHeight="1" x14ac:dyDescent="0.25">
      <c r="A14" s="230" t="s">
        <v>1546</v>
      </c>
      <c r="B14" s="177">
        <v>46279</v>
      </c>
      <c r="C14" s="231" t="s">
        <v>1547</v>
      </c>
      <c r="D14" s="233"/>
      <c r="E14" s="233">
        <f t="shared" si="0"/>
        <v>58810</v>
      </c>
      <c r="F14" s="237">
        <v>8077</v>
      </c>
      <c r="G14" s="234">
        <f t="shared" si="1"/>
        <v>39710</v>
      </c>
      <c r="H14" s="234">
        <f t="shared" si="2"/>
        <v>19100</v>
      </c>
      <c r="I14" s="235"/>
    </row>
    <row r="15" spans="1:9" s="223" customFormat="1" ht="12.75" customHeight="1" x14ac:dyDescent="0.25">
      <c r="A15" s="230"/>
      <c r="B15" s="177"/>
      <c r="C15" s="231"/>
      <c r="D15" s="233"/>
      <c r="E15" s="233">
        <f t="shared" si="0"/>
        <v>58810</v>
      </c>
      <c r="F15" s="238"/>
      <c r="G15" s="234">
        <f t="shared" si="1"/>
        <v>39710</v>
      </c>
      <c r="H15" s="234">
        <f t="shared" si="2"/>
        <v>19100</v>
      </c>
      <c r="I15" s="235"/>
    </row>
    <row r="16" spans="1:9" s="223" customFormat="1" ht="12.75" customHeight="1" x14ac:dyDescent="0.25">
      <c r="A16" s="230"/>
      <c r="B16" s="177"/>
      <c r="C16" s="231"/>
      <c r="D16" s="233"/>
      <c r="E16" s="233">
        <f t="shared" si="0"/>
        <v>58810</v>
      </c>
      <c r="F16" s="238"/>
      <c r="G16" s="234">
        <f t="shared" si="1"/>
        <v>39710</v>
      </c>
      <c r="H16" s="234">
        <f t="shared" si="2"/>
        <v>19100</v>
      </c>
      <c r="I16" s="235"/>
    </row>
    <row r="17" spans="1:9" s="223" customFormat="1" ht="12.75" customHeight="1" x14ac:dyDescent="0.25">
      <c r="A17" s="230"/>
      <c r="B17" s="177"/>
      <c r="C17" s="231"/>
      <c r="D17" s="233"/>
      <c r="E17" s="233">
        <f t="shared" si="0"/>
        <v>58810</v>
      </c>
      <c r="F17" s="238"/>
      <c r="G17" s="234">
        <f t="shared" si="1"/>
        <v>39710</v>
      </c>
      <c r="H17" s="234">
        <f t="shared" si="2"/>
        <v>19100</v>
      </c>
      <c r="I17" s="235"/>
    </row>
    <row r="18" spans="1:9" s="223" customFormat="1" ht="12.75" customHeight="1" x14ac:dyDescent="0.25">
      <c r="A18" s="230"/>
      <c r="B18" s="177"/>
      <c r="C18" s="231"/>
      <c r="D18" s="233"/>
      <c r="E18" s="233">
        <f t="shared" si="0"/>
        <v>58810</v>
      </c>
      <c r="F18" s="238"/>
      <c r="G18" s="234">
        <f t="shared" si="1"/>
        <v>39710</v>
      </c>
      <c r="H18" s="234">
        <f t="shared" si="2"/>
        <v>19100</v>
      </c>
      <c r="I18" s="235"/>
    </row>
    <row r="19" spans="1:9" s="223" customFormat="1" ht="12.75" customHeight="1" x14ac:dyDescent="0.25">
      <c r="A19" s="230"/>
      <c r="B19" s="177"/>
      <c r="C19" s="231"/>
      <c r="D19" s="233"/>
      <c r="E19" s="233">
        <f t="shared" si="0"/>
        <v>58810</v>
      </c>
      <c r="F19" s="234"/>
      <c r="G19" s="234">
        <f t="shared" si="1"/>
        <v>39710</v>
      </c>
      <c r="H19" s="234">
        <f t="shared" si="2"/>
        <v>19100</v>
      </c>
      <c r="I19" s="235"/>
    </row>
    <row r="20" spans="1:9" s="223" customFormat="1" ht="12.75" customHeight="1" x14ac:dyDescent="0.25">
      <c r="A20" s="230"/>
      <c r="B20" s="177"/>
      <c r="C20" s="231"/>
      <c r="D20" s="233"/>
      <c r="E20" s="233">
        <f t="shared" si="0"/>
        <v>58810</v>
      </c>
      <c r="F20" s="234"/>
      <c r="G20" s="234">
        <f t="shared" si="1"/>
        <v>39710</v>
      </c>
      <c r="H20" s="234">
        <f t="shared" si="2"/>
        <v>19100</v>
      </c>
      <c r="I20" s="235"/>
    </row>
    <row r="21" spans="1:9" s="223" customFormat="1" ht="12.75" customHeight="1" x14ac:dyDescent="0.25">
      <c r="A21" s="230"/>
      <c r="B21" s="177"/>
      <c r="C21" s="239"/>
      <c r="D21" s="233"/>
      <c r="E21" s="233">
        <f t="shared" si="0"/>
        <v>58810</v>
      </c>
      <c r="F21" s="234"/>
      <c r="G21" s="234">
        <f t="shared" si="1"/>
        <v>39710</v>
      </c>
      <c r="H21" s="234">
        <f t="shared" si="2"/>
        <v>19100</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58810</v>
      </c>
      <c r="E23" s="245"/>
      <c r="F23" s="245">
        <f>SUM(F9:F22)</f>
        <v>39710</v>
      </c>
      <c r="G23" s="245"/>
      <c r="H23" s="245">
        <f>D23-F23</f>
        <v>19100</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121</v>
      </c>
      <c r="D26" s="254">
        <v>37230</v>
      </c>
      <c r="E26" s="254"/>
      <c r="F26" s="254">
        <f>3877.5+14737.5+13018+5597</f>
        <v>37230</v>
      </c>
      <c r="G26" s="254"/>
      <c r="H26" s="254">
        <f>D26-F26</f>
        <v>0</v>
      </c>
      <c r="I26" s="235"/>
    </row>
    <row r="27" spans="1:9" s="223" customFormat="1" ht="12.75" customHeight="1" x14ac:dyDescent="0.25">
      <c r="A27" s="230"/>
      <c r="B27" s="231"/>
      <c r="C27" s="253" t="s">
        <v>300</v>
      </c>
      <c r="D27" s="254">
        <v>6200</v>
      </c>
      <c r="E27" s="254"/>
      <c r="F27" s="254">
        <f>2480</f>
        <v>2480</v>
      </c>
      <c r="G27" s="254"/>
      <c r="H27" s="254">
        <f>D27-F27</f>
        <v>3720</v>
      </c>
      <c r="I27" s="235"/>
    </row>
    <row r="28" spans="1:9" s="223" customFormat="1" ht="12.75" customHeight="1" x14ac:dyDescent="0.25">
      <c r="A28" s="230"/>
      <c r="B28" s="231"/>
      <c r="C28" s="253" t="s">
        <v>122</v>
      </c>
      <c r="D28" s="254">
        <v>15380</v>
      </c>
      <c r="E28" s="254"/>
      <c r="F28" s="254"/>
      <c r="G28" s="254"/>
      <c r="H28" s="254">
        <f>D28-F28</f>
        <v>15380</v>
      </c>
      <c r="I28" s="235"/>
    </row>
    <row r="29" spans="1:9" s="223" customFormat="1" ht="12.75" customHeight="1" thickBot="1" x14ac:dyDescent="0.3">
      <c r="A29" s="230"/>
      <c r="B29" s="231"/>
      <c r="C29" s="255" t="s">
        <v>67</v>
      </c>
      <c r="D29" s="256">
        <f>SUM(D26:D28)</f>
        <v>58810</v>
      </c>
      <c r="E29" s="257"/>
      <c r="F29" s="256">
        <f>SUM(F26:F28)</f>
        <v>39710</v>
      </c>
      <c r="G29" s="257"/>
      <c r="H29" s="256">
        <f>SUM(H26:H28)</f>
        <v>19100</v>
      </c>
      <c r="I29" s="235"/>
    </row>
    <row r="30" spans="1:9" s="223" customFormat="1" ht="12.75" customHeight="1" thickTop="1" x14ac:dyDescent="0.25"/>
  </sheetData>
  <conditionalFormatting sqref="I8:I10 I12:I23">
    <cfRule type="cellIs" dxfId="5"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52A64-2EFF-4D3D-A533-182814BFCD28}">
  <sheetPr>
    <pageSetUpPr fitToPage="1"/>
  </sheetPr>
  <dimension ref="A1:G16"/>
  <sheetViews>
    <sheetView topLeftCell="A2" zoomScaleNormal="100" workbookViewId="0">
      <selection activeCell="D21" sqref="D21"/>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502</v>
      </c>
      <c r="C1" s="3"/>
      <c r="D1" s="4"/>
      <c r="E1" s="4"/>
      <c r="F1" s="4"/>
      <c r="G1" s="4"/>
    </row>
    <row r="2" spans="1:7" ht="15.75" x14ac:dyDescent="0.25">
      <c r="A2" s="1"/>
      <c r="B2" s="6" t="s">
        <v>514</v>
      </c>
      <c r="C2" s="5"/>
      <c r="D2" s="4"/>
      <c r="E2" s="4"/>
      <c r="F2" s="4"/>
      <c r="G2" s="4"/>
    </row>
    <row r="3" spans="1:7" ht="15.75" x14ac:dyDescent="0.25">
      <c r="A3" s="1"/>
      <c r="B3" s="7" t="s">
        <v>515</v>
      </c>
      <c r="C3" s="5"/>
      <c r="D3" s="4"/>
      <c r="E3" s="8" t="s">
        <v>516</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462</v>
      </c>
      <c r="C6" s="12"/>
      <c r="D6" s="13" t="s">
        <v>2</v>
      </c>
      <c r="E6" s="4"/>
      <c r="F6" s="4"/>
      <c r="G6" s="4"/>
    </row>
    <row r="7" spans="1:7" ht="33" customHeight="1" thickBot="1" x14ac:dyDescent="0.3">
      <c r="A7" s="1"/>
      <c r="B7" s="14" t="s">
        <v>2</v>
      </c>
      <c r="C7" s="15" t="s">
        <v>3</v>
      </c>
      <c r="D7" s="16" t="s">
        <v>4</v>
      </c>
      <c r="E7" s="17" t="s">
        <v>5</v>
      </c>
      <c r="F7" s="18" t="s">
        <v>6</v>
      </c>
      <c r="G7" s="18" t="s">
        <v>7</v>
      </c>
    </row>
    <row r="8" spans="1:7" ht="28.35" customHeight="1" x14ac:dyDescent="0.25">
      <c r="A8" s="1"/>
      <c r="B8" s="1" t="s">
        <v>8</v>
      </c>
      <c r="C8" s="19">
        <f>FINANCIAL!G42</f>
        <v>800000</v>
      </c>
      <c r="D8" s="20"/>
      <c r="E8" s="20"/>
      <c r="F8" s="20"/>
      <c r="G8" s="21"/>
    </row>
    <row r="9" spans="1:7" s="223" customFormat="1" ht="12.75" customHeight="1" x14ac:dyDescent="0.25">
      <c r="A9" s="246"/>
      <c r="B9" s="247"/>
      <c r="C9" s="267"/>
      <c r="D9" s="249"/>
      <c r="E9" s="249"/>
      <c r="F9" s="249"/>
      <c r="G9" s="250"/>
    </row>
    <row r="10" spans="1:7" s="223" customFormat="1" ht="12.75" customHeight="1" x14ac:dyDescent="0.25">
      <c r="A10" s="246"/>
      <c r="B10" s="247" t="s">
        <v>103</v>
      </c>
      <c r="C10" s="248"/>
      <c r="D10" s="251">
        <f>'#9529.00 DCI Group'!D23</f>
        <v>32405.88</v>
      </c>
      <c r="E10" s="251">
        <f>'#9529.00 DCI Group'!F23</f>
        <v>7049.9599999999991</v>
      </c>
      <c r="F10" s="251">
        <f>'#9529.00 DCI Group'!H23</f>
        <v>25355.920000000002</v>
      </c>
      <c r="G10" s="250"/>
    </row>
    <row r="11" spans="1:7" s="223" customFormat="1" ht="12.75" customHeight="1" x14ac:dyDescent="0.25">
      <c r="A11" s="246"/>
      <c r="B11" s="247" t="s">
        <v>10</v>
      </c>
      <c r="C11" s="248"/>
      <c r="D11" s="251">
        <f>'#9529.00 PM TIME'!E29</f>
        <v>22000</v>
      </c>
      <c r="E11" s="251">
        <f>'#9529.00 PM TIME'!G29</f>
        <v>4324.8599999999997</v>
      </c>
      <c r="F11" s="251">
        <f>'#9529.00 PM TIME'!I29</f>
        <v>17675.14</v>
      </c>
      <c r="G11" s="250"/>
    </row>
    <row r="12" spans="1:7" s="223" customFormat="1" ht="12.75" customHeight="1" x14ac:dyDescent="0.25">
      <c r="A12" s="246"/>
      <c r="B12" s="247" t="s">
        <v>11</v>
      </c>
      <c r="C12" s="249"/>
      <c r="D12" s="252">
        <f>'#9529.00 Misc '!G22</f>
        <v>0</v>
      </c>
      <c r="E12" s="252">
        <f>'#9529.00 Misc '!G22</f>
        <v>0</v>
      </c>
      <c r="F12" s="251">
        <f>D12-E12</f>
        <v>0</v>
      </c>
      <c r="G12" s="250"/>
    </row>
    <row r="13" spans="1:7" s="223" customFormat="1" ht="12.75" customHeight="1" x14ac:dyDescent="0.25">
      <c r="A13" s="246"/>
      <c r="B13" s="247" t="s">
        <v>395</v>
      </c>
      <c r="C13" s="249"/>
      <c r="D13" s="252">
        <f>'#9529.00 CMB Architects'!D23</f>
        <v>76360</v>
      </c>
      <c r="E13" s="252">
        <f>'#9529.00 CMB Architects'!F23</f>
        <v>19304.5</v>
      </c>
      <c r="F13" s="251">
        <f>'#9529.00 CMB Architects'!H23</f>
        <v>57055.5</v>
      </c>
      <c r="G13" s="250"/>
    </row>
    <row r="14" spans="1:7" s="223" customFormat="1" ht="12.75" customHeight="1" x14ac:dyDescent="0.25">
      <c r="A14" s="246"/>
      <c r="B14" s="247"/>
      <c r="C14" s="249"/>
      <c r="D14" s="252"/>
      <c r="E14" s="252"/>
      <c r="F14" s="251"/>
      <c r="G14" s="250"/>
    </row>
    <row r="15" spans="1:7" ht="24" customHeight="1" thickBot="1" x14ac:dyDescent="0.3">
      <c r="A15" s="25"/>
      <c r="B15" s="26" t="s">
        <v>12</v>
      </c>
      <c r="C15" s="27">
        <f>SUM(C8:C14)</f>
        <v>800000</v>
      </c>
      <c r="D15" s="27">
        <f>SUM(D8:D14)</f>
        <v>130765.88</v>
      </c>
      <c r="E15" s="27">
        <f>SUM(E8:E14)</f>
        <v>30679.32</v>
      </c>
      <c r="F15" s="27">
        <f>SUM(D15-E15)</f>
        <v>100086.56</v>
      </c>
      <c r="G15" s="27">
        <f>C8-D15</f>
        <v>669234.12</v>
      </c>
    </row>
    <row r="16"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7CBD1-DC4E-48A7-A946-C87C615A970F}">
  <sheetPr>
    <pageSetUpPr fitToPage="1"/>
  </sheetPr>
  <dimension ref="A1:I29"/>
  <sheetViews>
    <sheetView zoomScaleNormal="100" workbookViewId="0">
      <selection activeCell="A27" sqref="A2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#9529.00'!B1</f>
        <v>HHS CHMHI Wirth Hall Tunnel Repairs</v>
      </c>
      <c r="B1" s="3"/>
      <c r="C1" s="4"/>
      <c r="D1" s="4"/>
      <c r="E1" s="4"/>
      <c r="F1" s="28"/>
      <c r="G1" s="28"/>
      <c r="H1" s="29"/>
      <c r="I1" s="29"/>
    </row>
    <row r="2" spans="1:9" ht="15.75" x14ac:dyDescent="0.25">
      <c r="A2" s="6" t="str">
        <f>'RECAP #9529.00'!B2</f>
        <v>Project # 9529.00</v>
      </c>
      <c r="B2" s="5"/>
      <c r="C2" s="4"/>
      <c r="D2" s="4"/>
      <c r="E2" s="4"/>
      <c r="F2" s="28"/>
      <c r="G2" s="28"/>
      <c r="H2" s="29"/>
      <c r="I2" s="29"/>
    </row>
    <row r="3" spans="1:9" ht="15.75" x14ac:dyDescent="0.25">
      <c r="A3" s="7" t="str">
        <f>'RECAP #9529.00'!B3</f>
        <v>Program code 952900</v>
      </c>
      <c r="B3" s="5"/>
      <c r="C3" s="4"/>
      <c r="D3" s="8" t="str">
        <f>'RECAP #9529.00'!E3</f>
        <v>Major Program 4G01</v>
      </c>
      <c r="E3" s="4"/>
      <c r="F3" s="28"/>
      <c r="G3" s="28"/>
      <c r="H3" s="29"/>
      <c r="I3" s="29"/>
    </row>
    <row r="4" spans="1:9" ht="15.75" x14ac:dyDescent="0.25">
      <c r="A4" s="30" t="s">
        <v>103</v>
      </c>
      <c r="B4" s="31"/>
      <c r="C4" s="32"/>
      <c r="D4" s="33" t="s">
        <v>105</v>
      </c>
      <c r="E4" s="28"/>
      <c r="F4" s="28"/>
      <c r="G4" s="28"/>
      <c r="H4" s="29"/>
      <c r="I4" s="29"/>
    </row>
    <row r="5" spans="1:9" ht="15.75" x14ac:dyDescent="0.25">
      <c r="A5" s="34" t="s">
        <v>104</v>
      </c>
      <c r="B5" s="35"/>
      <c r="C5" s="36"/>
      <c r="D5" s="37" t="s">
        <v>106</v>
      </c>
      <c r="E5" s="38"/>
      <c r="F5" s="39"/>
      <c r="G5" s="39"/>
      <c r="H5" s="35"/>
      <c r="I5" s="29"/>
    </row>
    <row r="6" spans="1:9" ht="15.75" x14ac:dyDescent="0.25">
      <c r="A6" s="11" t="str">
        <f>'RECAP #9529.00'!B6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817</v>
      </c>
      <c r="B9" s="177">
        <v>46136</v>
      </c>
      <c r="C9" s="231" t="s">
        <v>109</v>
      </c>
      <c r="D9" s="232">
        <v>32405.88</v>
      </c>
      <c r="E9" s="233">
        <f>D9</f>
        <v>32405.88</v>
      </c>
      <c r="F9" s="234"/>
      <c r="G9" s="234"/>
      <c r="H9" s="234">
        <f>E9</f>
        <v>32405.88</v>
      </c>
      <c r="I9" s="235"/>
    </row>
    <row r="10" spans="1:9" s="223" customFormat="1" ht="12.75" customHeight="1" x14ac:dyDescent="0.25">
      <c r="A10" s="230" t="s">
        <v>919</v>
      </c>
      <c r="B10" s="236">
        <v>46164</v>
      </c>
      <c r="C10" s="231" t="s">
        <v>920</v>
      </c>
      <c r="D10" s="233"/>
      <c r="E10" s="233">
        <f t="shared" ref="E10:E21" si="0">E9+D10</f>
        <v>32405.88</v>
      </c>
      <c r="F10" s="237">
        <v>2642.99</v>
      </c>
      <c r="G10" s="234">
        <f t="shared" ref="G10:G21" si="1">G9+F10</f>
        <v>2642.99</v>
      </c>
      <c r="H10" s="234">
        <f t="shared" ref="H10:H21" si="2">H9-F10+D10</f>
        <v>29762.89</v>
      </c>
      <c r="I10" s="235"/>
    </row>
    <row r="11" spans="1:9" s="223" customFormat="1" ht="12.75" customHeight="1" x14ac:dyDescent="0.25">
      <c r="A11" s="230" t="s">
        <v>1074</v>
      </c>
      <c r="B11" s="177">
        <v>46191</v>
      </c>
      <c r="C11" s="231" t="s">
        <v>1075</v>
      </c>
      <c r="D11" s="233"/>
      <c r="E11" s="233">
        <f t="shared" si="0"/>
        <v>32405.88</v>
      </c>
      <c r="F11" s="237">
        <v>1167.6400000000001</v>
      </c>
      <c r="G11" s="234">
        <f t="shared" si="1"/>
        <v>3810.63</v>
      </c>
      <c r="H11" s="234">
        <f t="shared" si="2"/>
        <v>28595.25</v>
      </c>
      <c r="I11" s="235"/>
    </row>
    <row r="12" spans="1:9" s="223" customFormat="1" ht="12.75" customHeight="1" x14ac:dyDescent="0.25">
      <c r="A12" s="328" t="s">
        <v>1200</v>
      </c>
      <c r="B12" s="329">
        <v>46213</v>
      </c>
      <c r="C12" s="330" t="s">
        <v>1201</v>
      </c>
      <c r="D12" s="331"/>
      <c r="E12" s="331">
        <f t="shared" si="0"/>
        <v>32405.88</v>
      </c>
      <c r="F12" s="338">
        <v>357.66</v>
      </c>
      <c r="G12" s="332">
        <f t="shared" si="1"/>
        <v>4168.29</v>
      </c>
      <c r="H12" s="332">
        <f t="shared" si="2"/>
        <v>28237.59</v>
      </c>
      <c r="I12" s="333" t="s">
        <v>1285</v>
      </c>
    </row>
    <row r="13" spans="1:9" s="223" customFormat="1" ht="12.75" customHeight="1" x14ac:dyDescent="0.25">
      <c r="A13" s="230" t="s">
        <v>1334</v>
      </c>
      <c r="B13" s="177">
        <v>46225</v>
      </c>
      <c r="C13" s="231" t="s">
        <v>1286</v>
      </c>
      <c r="D13" s="232">
        <v>0</v>
      </c>
      <c r="E13" s="233">
        <f t="shared" si="0"/>
        <v>32405.88</v>
      </c>
      <c r="F13" s="238"/>
      <c r="G13" s="234">
        <f t="shared" si="1"/>
        <v>4168.29</v>
      </c>
      <c r="H13" s="234">
        <f t="shared" si="2"/>
        <v>28237.59</v>
      </c>
      <c r="I13" s="235"/>
    </row>
    <row r="14" spans="1:9" s="223" customFormat="1" ht="12.75" customHeight="1" x14ac:dyDescent="0.25">
      <c r="A14" s="230" t="s">
        <v>1407</v>
      </c>
      <c r="B14" s="177">
        <v>46241</v>
      </c>
      <c r="C14" s="231" t="s">
        <v>1408</v>
      </c>
      <c r="D14" s="233"/>
      <c r="E14" s="233">
        <f t="shared" si="0"/>
        <v>32405.88</v>
      </c>
      <c r="F14" s="237">
        <v>447.77</v>
      </c>
      <c r="G14" s="234">
        <f t="shared" si="1"/>
        <v>4616.0599999999995</v>
      </c>
      <c r="H14" s="234">
        <f t="shared" si="2"/>
        <v>27789.82</v>
      </c>
      <c r="I14" s="235"/>
    </row>
    <row r="15" spans="1:9" s="223" customFormat="1" ht="12.75" customHeight="1" x14ac:dyDescent="0.25">
      <c r="A15" s="230" t="s">
        <v>1518</v>
      </c>
      <c r="B15" s="177">
        <v>46273</v>
      </c>
      <c r="C15" s="231" t="s">
        <v>1519</v>
      </c>
      <c r="D15" s="233"/>
      <c r="E15" s="233">
        <f t="shared" si="0"/>
        <v>32405.88</v>
      </c>
      <c r="F15" s="237">
        <v>2433.9</v>
      </c>
      <c r="G15" s="234">
        <f t="shared" si="1"/>
        <v>7049.9599999999991</v>
      </c>
      <c r="H15" s="234">
        <f t="shared" si="2"/>
        <v>25355.919999999998</v>
      </c>
      <c r="I15" s="235"/>
    </row>
    <row r="16" spans="1:9" s="223" customFormat="1" ht="12.75" customHeight="1" x14ac:dyDescent="0.25">
      <c r="A16" s="230"/>
      <c r="B16" s="177"/>
      <c r="C16" s="231"/>
      <c r="D16" s="233"/>
      <c r="E16" s="233">
        <f t="shared" si="0"/>
        <v>32405.88</v>
      </c>
      <c r="F16" s="238"/>
      <c r="G16" s="234">
        <f t="shared" si="1"/>
        <v>7049.9599999999991</v>
      </c>
      <c r="H16" s="234">
        <f t="shared" si="2"/>
        <v>25355.919999999998</v>
      </c>
      <c r="I16" s="235"/>
    </row>
    <row r="17" spans="1:9" s="223" customFormat="1" ht="12.75" customHeight="1" x14ac:dyDescent="0.25">
      <c r="A17" s="230"/>
      <c r="B17" s="177"/>
      <c r="C17" s="231"/>
      <c r="D17" s="233"/>
      <c r="E17" s="233">
        <f t="shared" si="0"/>
        <v>32405.88</v>
      </c>
      <c r="F17" s="238"/>
      <c r="G17" s="234">
        <f t="shared" si="1"/>
        <v>7049.9599999999991</v>
      </c>
      <c r="H17" s="234">
        <f t="shared" si="2"/>
        <v>25355.919999999998</v>
      </c>
      <c r="I17" s="235"/>
    </row>
    <row r="18" spans="1:9" s="223" customFormat="1" ht="12.75" customHeight="1" x14ac:dyDescent="0.25">
      <c r="A18" s="230"/>
      <c r="B18" s="177"/>
      <c r="C18" s="231"/>
      <c r="D18" s="233"/>
      <c r="E18" s="233">
        <f t="shared" si="0"/>
        <v>32405.88</v>
      </c>
      <c r="F18" s="238"/>
      <c r="G18" s="234">
        <f t="shared" si="1"/>
        <v>7049.9599999999991</v>
      </c>
      <c r="H18" s="234">
        <f t="shared" si="2"/>
        <v>25355.919999999998</v>
      </c>
      <c r="I18" s="235"/>
    </row>
    <row r="19" spans="1:9" s="223" customFormat="1" ht="12.75" customHeight="1" x14ac:dyDescent="0.25">
      <c r="A19" s="230"/>
      <c r="B19" s="177"/>
      <c r="C19" s="231"/>
      <c r="D19" s="233"/>
      <c r="E19" s="233">
        <f t="shared" si="0"/>
        <v>32405.88</v>
      </c>
      <c r="F19" s="234"/>
      <c r="G19" s="234">
        <f t="shared" si="1"/>
        <v>7049.9599999999991</v>
      </c>
      <c r="H19" s="234">
        <f t="shared" si="2"/>
        <v>25355.919999999998</v>
      </c>
      <c r="I19" s="235"/>
    </row>
    <row r="20" spans="1:9" s="223" customFormat="1" ht="12.75" customHeight="1" x14ac:dyDescent="0.25">
      <c r="A20" s="230"/>
      <c r="B20" s="177"/>
      <c r="C20" s="231"/>
      <c r="D20" s="233"/>
      <c r="E20" s="233">
        <f t="shared" si="0"/>
        <v>32405.88</v>
      </c>
      <c r="F20" s="234"/>
      <c r="G20" s="234">
        <f t="shared" si="1"/>
        <v>7049.9599999999991</v>
      </c>
      <c r="H20" s="234">
        <f t="shared" si="2"/>
        <v>25355.919999999998</v>
      </c>
      <c r="I20" s="235"/>
    </row>
    <row r="21" spans="1:9" s="223" customFormat="1" ht="12.75" customHeight="1" x14ac:dyDescent="0.25">
      <c r="A21" s="230"/>
      <c r="B21" s="177"/>
      <c r="C21" s="239"/>
      <c r="D21" s="233"/>
      <c r="E21" s="233">
        <f t="shared" si="0"/>
        <v>32405.88</v>
      </c>
      <c r="F21" s="234"/>
      <c r="G21" s="234">
        <f t="shared" si="1"/>
        <v>7049.9599999999991</v>
      </c>
      <c r="H21" s="234">
        <f t="shared" si="2"/>
        <v>25355.919999999998</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32405.88</v>
      </c>
      <c r="E23" s="245"/>
      <c r="F23" s="245">
        <f>SUM(F9:F22)</f>
        <v>7049.9599999999991</v>
      </c>
      <c r="G23" s="245"/>
      <c r="H23" s="245">
        <f>D23-F23</f>
        <v>25355.920000000002</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30905.88</v>
      </c>
      <c r="E26" s="254"/>
      <c r="F26" s="254">
        <f>2518.99+1043.64+357.66+447.77+2433.9</f>
        <v>6801.9599999999991</v>
      </c>
      <c r="G26" s="254"/>
      <c r="H26" s="254">
        <f>D26-F26</f>
        <v>24103.920000000002</v>
      </c>
      <c r="I26" s="235"/>
    </row>
    <row r="27" spans="1:9" s="223" customFormat="1" ht="12.75" customHeight="1" x14ac:dyDescent="0.25">
      <c r="A27" s="230"/>
      <c r="B27" s="231"/>
      <c r="C27" s="253" t="s">
        <v>111</v>
      </c>
      <c r="D27" s="254">
        <v>1500</v>
      </c>
      <c r="E27" s="254"/>
      <c r="F27" s="254">
        <f>124+124</f>
        <v>248</v>
      </c>
      <c r="G27" s="254"/>
      <c r="H27" s="254">
        <f>D27-F27</f>
        <v>1252</v>
      </c>
      <c r="I27" s="235"/>
    </row>
    <row r="28" spans="1:9" s="223" customFormat="1" ht="12.75" customHeight="1" thickBot="1" x14ac:dyDescent="0.3">
      <c r="A28" s="230"/>
      <c r="B28" s="231"/>
      <c r="C28" s="255" t="s">
        <v>67</v>
      </c>
      <c r="D28" s="256">
        <f>SUM(D26:D27)</f>
        <v>32405.88</v>
      </c>
      <c r="E28" s="257"/>
      <c r="F28" s="256">
        <f>SUM(F26:F27)</f>
        <v>7049.9599999999991</v>
      </c>
      <c r="G28" s="257"/>
      <c r="H28" s="256">
        <f>SUM(H26:H27)</f>
        <v>25355.920000000002</v>
      </c>
      <c r="I28" s="235"/>
    </row>
    <row r="29" spans="1:9" s="223" customFormat="1" ht="12.75" customHeight="1" thickTop="1" x14ac:dyDescent="0.25"/>
  </sheetData>
  <conditionalFormatting sqref="I8:I11 I13:I23">
    <cfRule type="cellIs" dxfId="4"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C8BA6-604F-4A39-AF1B-7576B9EA7308}">
  <sheetPr>
    <pageSetUpPr fitToPage="1"/>
  </sheetPr>
  <dimension ref="A1:J31"/>
  <sheetViews>
    <sheetView zoomScaleNormal="100" workbookViewId="0">
      <selection activeCell="L24" sqref="L24"/>
    </sheetView>
  </sheetViews>
  <sheetFormatPr defaultColWidth="11.42578125" defaultRowHeight="15" customHeight="1" x14ac:dyDescent="0.25"/>
  <cols>
    <col min="1" max="1" width="24.5703125" customWidth="1"/>
    <col min="2" max="3" width="9.42578125" customWidth="1"/>
    <col min="4" max="4" width="42.28515625" customWidth="1"/>
    <col min="5" max="5" width="12.5703125" customWidth="1"/>
    <col min="6" max="6" width="13.5703125" customWidth="1"/>
    <col min="7" max="7" width="12.42578125" customWidth="1"/>
    <col min="8" max="8" width="10.5703125" customWidth="1"/>
    <col min="9" max="9" width="11.285156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#9529.00'!B1</f>
        <v>HHS CHMHI Wirth Hall Tunnel Repairs</v>
      </c>
      <c r="B1" s="3"/>
      <c r="C1" s="3"/>
      <c r="D1" s="4"/>
      <c r="E1" s="4"/>
      <c r="F1" s="4"/>
      <c r="G1" s="28"/>
      <c r="H1" s="28"/>
      <c r="I1" s="29"/>
      <c r="J1" s="29"/>
    </row>
    <row r="2" spans="1:10" ht="15.75" x14ac:dyDescent="0.25">
      <c r="A2" s="6" t="str">
        <f>'RECAP #9529.00'!B2</f>
        <v>Project # 9529.00</v>
      </c>
      <c r="B2" s="5"/>
      <c r="C2" s="5"/>
      <c r="D2" s="4"/>
      <c r="E2" s="4"/>
      <c r="F2" s="4"/>
      <c r="G2" s="28"/>
      <c r="H2" s="28"/>
      <c r="I2" s="29"/>
      <c r="J2" s="29"/>
    </row>
    <row r="3" spans="1:10" ht="15.75" x14ac:dyDescent="0.25">
      <c r="A3" s="7" t="str">
        <f>'RECAP #9529.00'!B3</f>
        <v>Program code 952900</v>
      </c>
      <c r="B3" s="5"/>
      <c r="C3" s="5"/>
      <c r="D3" s="4"/>
      <c r="E3" s="8" t="str">
        <f>'RECAP #9529.00'!E3</f>
        <v>Major Program 4G01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524</v>
      </c>
      <c r="F6" s="42"/>
      <c r="G6" s="43"/>
      <c r="H6" s="39"/>
      <c r="I6" s="35"/>
      <c r="J6" s="29"/>
    </row>
    <row r="7" spans="1:10" ht="15.75" x14ac:dyDescent="0.25">
      <c r="A7" s="11" t="str">
        <f>'RECAP #9529.00'!B6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v>22000</v>
      </c>
      <c r="F9" s="233">
        <f>E9</f>
        <v>22000</v>
      </c>
      <c r="G9" s="234"/>
      <c r="H9" s="234"/>
      <c r="I9" s="234">
        <f>F9</f>
        <v>22000</v>
      </c>
      <c r="J9" s="235"/>
    </row>
    <row r="10" spans="1:10" s="223" customFormat="1" ht="12.75" customHeight="1" x14ac:dyDescent="0.2">
      <c r="A10" s="70" t="s">
        <v>644</v>
      </c>
      <c r="B10" s="50">
        <v>46090</v>
      </c>
      <c r="C10" s="53" t="s">
        <v>261</v>
      </c>
      <c r="D10" s="144" t="s">
        <v>645</v>
      </c>
      <c r="E10" s="233"/>
      <c r="F10" s="233">
        <f t="shared" ref="F10:F27" si="0">F9+E10</f>
        <v>22000</v>
      </c>
      <c r="G10" s="237">
        <v>37.630000000000003</v>
      </c>
      <c r="H10" s="234">
        <f t="shared" ref="H10:H26" si="1">H9+G10</f>
        <v>37.630000000000003</v>
      </c>
      <c r="I10" s="234">
        <f t="shared" ref="I10:I27" si="2">I9-G10+E10</f>
        <v>21962.37</v>
      </c>
      <c r="J10" s="235"/>
    </row>
    <row r="11" spans="1:10" s="223" customFormat="1" ht="12.75" customHeight="1" x14ac:dyDescent="0.2">
      <c r="A11" s="70" t="s">
        <v>644</v>
      </c>
      <c r="B11" s="50">
        <v>46090</v>
      </c>
      <c r="C11" s="268">
        <v>9500</v>
      </c>
      <c r="D11" s="66" t="s">
        <v>646</v>
      </c>
      <c r="E11" s="233"/>
      <c r="F11" s="233">
        <f t="shared" si="0"/>
        <v>22000</v>
      </c>
      <c r="G11" s="237">
        <v>431.4</v>
      </c>
      <c r="H11" s="234">
        <f t="shared" si="1"/>
        <v>469.03</v>
      </c>
      <c r="I11" s="234">
        <f t="shared" si="2"/>
        <v>21530.969999999998</v>
      </c>
      <c r="J11" s="235"/>
    </row>
    <row r="12" spans="1:10" s="223" customFormat="1" ht="12.75" customHeight="1" x14ac:dyDescent="0.2">
      <c r="A12" s="70" t="s">
        <v>744</v>
      </c>
      <c r="B12" s="50">
        <v>46118</v>
      </c>
      <c r="C12" s="53" t="s">
        <v>261</v>
      </c>
      <c r="D12" s="144" t="s">
        <v>745</v>
      </c>
      <c r="E12" s="233"/>
      <c r="F12" s="233">
        <f t="shared" si="0"/>
        <v>22000</v>
      </c>
      <c r="G12" s="237">
        <v>98.56</v>
      </c>
      <c r="H12" s="234">
        <f t="shared" si="1"/>
        <v>567.58999999999992</v>
      </c>
      <c r="I12" s="234">
        <f t="shared" si="2"/>
        <v>21432.409999999996</v>
      </c>
      <c r="J12" s="235"/>
    </row>
    <row r="13" spans="1:10" s="223" customFormat="1" ht="12.75" customHeight="1" x14ac:dyDescent="0.2">
      <c r="A13" s="70" t="s">
        <v>744</v>
      </c>
      <c r="B13" s="50">
        <v>46118</v>
      </c>
      <c r="C13" s="268">
        <v>9500</v>
      </c>
      <c r="D13" s="66" t="s">
        <v>746</v>
      </c>
      <c r="E13" s="233"/>
      <c r="F13" s="233">
        <f t="shared" si="0"/>
        <v>22000</v>
      </c>
      <c r="G13" s="237">
        <v>800.3</v>
      </c>
      <c r="H13" s="234">
        <f t="shared" si="1"/>
        <v>1367.8899999999999</v>
      </c>
      <c r="I13" s="234">
        <f t="shared" si="2"/>
        <v>20632.109999999997</v>
      </c>
      <c r="J13" s="235"/>
    </row>
    <row r="14" spans="1:10" s="223" customFormat="1" ht="12.75" customHeight="1" x14ac:dyDescent="0.2">
      <c r="A14" s="70" t="s">
        <v>869</v>
      </c>
      <c r="B14" s="50">
        <v>46149</v>
      </c>
      <c r="C14" s="53" t="s">
        <v>261</v>
      </c>
      <c r="D14" s="144" t="s">
        <v>870</v>
      </c>
      <c r="E14" s="233"/>
      <c r="F14" s="233">
        <f t="shared" si="0"/>
        <v>22000</v>
      </c>
      <c r="G14" s="237">
        <v>71.12</v>
      </c>
      <c r="H14" s="234">
        <f t="shared" si="1"/>
        <v>1439.0099999999998</v>
      </c>
      <c r="I14" s="234">
        <f t="shared" si="2"/>
        <v>20560.989999999998</v>
      </c>
      <c r="J14" s="235"/>
    </row>
    <row r="15" spans="1:10" s="223" customFormat="1" ht="12.75" customHeight="1" x14ac:dyDescent="0.2">
      <c r="A15" s="70" t="s">
        <v>869</v>
      </c>
      <c r="B15" s="50">
        <v>46149</v>
      </c>
      <c r="C15" s="268">
        <v>9500</v>
      </c>
      <c r="D15" s="66" t="s">
        <v>871</v>
      </c>
      <c r="E15" s="233"/>
      <c r="F15" s="233">
        <f t="shared" si="0"/>
        <v>22000</v>
      </c>
      <c r="G15" s="237">
        <v>743.6</v>
      </c>
      <c r="H15" s="234">
        <f t="shared" si="1"/>
        <v>2182.6099999999997</v>
      </c>
      <c r="I15" s="234">
        <f t="shared" si="2"/>
        <v>19817.39</v>
      </c>
      <c r="J15" s="235"/>
    </row>
    <row r="16" spans="1:10" s="223" customFormat="1" ht="12.75" customHeight="1" x14ac:dyDescent="0.2">
      <c r="A16" s="70" t="s">
        <v>984</v>
      </c>
      <c r="B16" s="50">
        <v>46181</v>
      </c>
      <c r="C16" s="53" t="s">
        <v>261</v>
      </c>
      <c r="D16" s="144" t="s">
        <v>985</v>
      </c>
      <c r="E16" s="233"/>
      <c r="F16" s="233">
        <f t="shared" si="0"/>
        <v>22000</v>
      </c>
      <c r="G16" s="237">
        <v>46.92</v>
      </c>
      <c r="H16" s="234">
        <f t="shared" si="1"/>
        <v>2229.5299999999997</v>
      </c>
      <c r="I16" s="234">
        <f t="shared" si="2"/>
        <v>19770.47</v>
      </c>
      <c r="J16" s="235"/>
    </row>
    <row r="17" spans="1:10" s="223" customFormat="1" ht="12.75" customHeight="1" x14ac:dyDescent="0.2">
      <c r="A17" s="70" t="s">
        <v>984</v>
      </c>
      <c r="B17" s="50">
        <v>46181</v>
      </c>
      <c r="C17" s="268">
        <v>9500</v>
      </c>
      <c r="D17" s="66" t="s">
        <v>986</v>
      </c>
      <c r="E17" s="233"/>
      <c r="F17" s="233">
        <f t="shared" si="0"/>
        <v>22000</v>
      </c>
      <c r="G17" s="237">
        <v>574.5</v>
      </c>
      <c r="H17" s="234">
        <f t="shared" si="1"/>
        <v>2804.0299999999997</v>
      </c>
      <c r="I17" s="234">
        <f t="shared" si="2"/>
        <v>19195.97</v>
      </c>
      <c r="J17" s="235"/>
    </row>
    <row r="18" spans="1:10" s="223" customFormat="1" ht="12.75" customHeight="1" x14ac:dyDescent="0.2">
      <c r="A18" s="70" t="s">
        <v>1186</v>
      </c>
      <c r="B18" s="50">
        <v>46211</v>
      </c>
      <c r="C18" s="53" t="s">
        <v>261</v>
      </c>
      <c r="D18" s="144" t="s">
        <v>1187</v>
      </c>
      <c r="E18" s="233"/>
      <c r="F18" s="233">
        <f t="shared" si="0"/>
        <v>22000</v>
      </c>
      <c r="G18" s="237">
        <v>7.84</v>
      </c>
      <c r="H18" s="234">
        <f t="shared" si="1"/>
        <v>2811.87</v>
      </c>
      <c r="I18" s="234">
        <f t="shared" si="2"/>
        <v>19188.13</v>
      </c>
      <c r="J18" s="235"/>
    </row>
    <row r="19" spans="1:10" s="223" customFormat="1" ht="12.75" customHeight="1" x14ac:dyDescent="0.2">
      <c r="A19" s="70" t="s">
        <v>1186</v>
      </c>
      <c r="B19" s="50">
        <v>46211</v>
      </c>
      <c r="C19" s="268">
        <v>9500</v>
      </c>
      <c r="D19" s="66" t="s">
        <v>1188</v>
      </c>
      <c r="E19" s="233"/>
      <c r="F19" s="233">
        <f t="shared" si="0"/>
        <v>22000</v>
      </c>
      <c r="G19" s="237">
        <v>176.6</v>
      </c>
      <c r="H19" s="234">
        <f t="shared" si="1"/>
        <v>2988.47</v>
      </c>
      <c r="I19" s="234">
        <f t="shared" si="2"/>
        <v>19011.530000000002</v>
      </c>
      <c r="J19" s="235"/>
    </row>
    <row r="20" spans="1:10" s="223" customFormat="1" ht="12.75" customHeight="1" x14ac:dyDescent="0.2">
      <c r="A20" s="70" t="s">
        <v>1265</v>
      </c>
      <c r="B20" s="50">
        <v>46218</v>
      </c>
      <c r="C20" s="53" t="s">
        <v>261</v>
      </c>
      <c r="D20" s="144" t="s">
        <v>1266</v>
      </c>
      <c r="E20" s="233"/>
      <c r="F20" s="233">
        <f t="shared" si="0"/>
        <v>22000</v>
      </c>
      <c r="G20" s="237">
        <v>3.31</v>
      </c>
      <c r="H20" s="234">
        <f t="shared" si="1"/>
        <v>2991.7799999999997</v>
      </c>
      <c r="I20" s="234">
        <f t="shared" si="2"/>
        <v>19008.22</v>
      </c>
      <c r="J20" s="235"/>
    </row>
    <row r="21" spans="1:10" s="223" customFormat="1" ht="12.75" customHeight="1" x14ac:dyDescent="0.2">
      <c r="A21" s="70" t="s">
        <v>1436</v>
      </c>
      <c r="B21" s="365">
        <v>46241</v>
      </c>
      <c r="C21" s="53" t="s">
        <v>261</v>
      </c>
      <c r="D21" s="144" t="s">
        <v>1437</v>
      </c>
      <c r="E21" s="233"/>
      <c r="F21" s="233">
        <f t="shared" si="0"/>
        <v>22000</v>
      </c>
      <c r="G21" s="237">
        <v>25.52</v>
      </c>
      <c r="H21" s="234">
        <f t="shared" si="1"/>
        <v>3017.2999999999997</v>
      </c>
      <c r="I21" s="234">
        <f t="shared" si="2"/>
        <v>18982.7</v>
      </c>
      <c r="J21" s="235"/>
    </row>
    <row r="22" spans="1:10" s="223" customFormat="1" ht="12.75" customHeight="1" x14ac:dyDescent="0.2">
      <c r="A22" s="70" t="s">
        <v>1436</v>
      </c>
      <c r="B22" s="365">
        <v>46241</v>
      </c>
      <c r="C22" s="268">
        <v>9500</v>
      </c>
      <c r="D22" s="66" t="s">
        <v>1438</v>
      </c>
      <c r="E22" s="233"/>
      <c r="F22" s="233">
        <f t="shared" si="0"/>
        <v>22000</v>
      </c>
      <c r="G22" s="237">
        <v>272.8</v>
      </c>
      <c r="H22" s="234">
        <f t="shared" si="1"/>
        <v>3290.1</v>
      </c>
      <c r="I22" s="234">
        <f t="shared" si="2"/>
        <v>18709.900000000001</v>
      </c>
      <c r="J22" s="235"/>
    </row>
    <row r="23" spans="1:10" s="223" customFormat="1" ht="12.75" customHeight="1" x14ac:dyDescent="0.2">
      <c r="A23" s="70" t="s">
        <v>1531</v>
      </c>
      <c r="B23" s="365">
        <v>46272</v>
      </c>
      <c r="C23" s="53" t="s">
        <v>261</v>
      </c>
      <c r="D23" s="144" t="s">
        <v>1532</v>
      </c>
      <c r="E23" s="233"/>
      <c r="F23" s="233">
        <f t="shared" si="0"/>
        <v>22000</v>
      </c>
      <c r="G23" s="237">
        <v>96.06</v>
      </c>
      <c r="H23" s="234">
        <f t="shared" si="1"/>
        <v>3386.16</v>
      </c>
      <c r="I23" s="234">
        <f t="shared" si="2"/>
        <v>18613.84</v>
      </c>
      <c r="J23" s="235"/>
    </row>
    <row r="24" spans="1:10" s="223" customFormat="1" ht="12.75" customHeight="1" x14ac:dyDescent="0.2">
      <c r="A24" s="70" t="s">
        <v>1531</v>
      </c>
      <c r="B24" s="365">
        <v>46272</v>
      </c>
      <c r="C24" s="268">
        <v>9500</v>
      </c>
      <c r="D24" s="66" t="s">
        <v>1533</v>
      </c>
      <c r="E24" s="233"/>
      <c r="F24" s="233">
        <f t="shared" si="0"/>
        <v>22000</v>
      </c>
      <c r="G24" s="237">
        <v>938.7</v>
      </c>
      <c r="H24" s="234">
        <f t="shared" si="1"/>
        <v>4324.8599999999997</v>
      </c>
      <c r="I24" s="234">
        <f t="shared" si="2"/>
        <v>17675.14</v>
      </c>
      <c r="J24" s="235"/>
    </row>
    <row r="25" spans="1:10" s="223" customFormat="1" ht="12.75" customHeight="1" x14ac:dyDescent="0.2">
      <c r="A25" s="70"/>
      <c r="B25" s="365"/>
      <c r="C25" s="268"/>
      <c r="D25" s="66"/>
      <c r="E25" s="233"/>
      <c r="F25" s="233">
        <f t="shared" si="0"/>
        <v>22000</v>
      </c>
      <c r="G25" s="237"/>
      <c r="H25" s="234">
        <f t="shared" si="1"/>
        <v>4324.8599999999997</v>
      </c>
      <c r="I25" s="234">
        <f t="shared" si="2"/>
        <v>17675.14</v>
      </c>
      <c r="J25" s="235"/>
    </row>
    <row r="26" spans="1:10" s="223" customFormat="1" ht="12.75" customHeight="1" x14ac:dyDescent="0.2">
      <c r="A26" s="70"/>
      <c r="B26" s="365"/>
      <c r="C26" s="268"/>
      <c r="D26" s="66"/>
      <c r="E26" s="233"/>
      <c r="F26" s="233">
        <f t="shared" si="0"/>
        <v>22000</v>
      </c>
      <c r="G26" s="237"/>
      <c r="H26" s="234">
        <f t="shared" si="1"/>
        <v>4324.8599999999997</v>
      </c>
      <c r="I26" s="234">
        <f t="shared" si="2"/>
        <v>17675.14</v>
      </c>
      <c r="J26" s="235"/>
    </row>
    <row r="27" spans="1:10" s="223" customFormat="1" ht="12.75" customHeight="1" x14ac:dyDescent="0.25">
      <c r="A27" s="241"/>
      <c r="B27" s="177"/>
      <c r="C27" s="177"/>
      <c r="D27" s="258"/>
      <c r="E27" s="233"/>
      <c r="F27" s="233">
        <f t="shared" si="0"/>
        <v>22000</v>
      </c>
      <c r="G27" s="234"/>
      <c r="H27" s="234">
        <f>H22+G27</f>
        <v>3290.1</v>
      </c>
      <c r="I27" s="234">
        <f t="shared" si="2"/>
        <v>17675.14</v>
      </c>
      <c r="J27" s="235"/>
    </row>
    <row r="28" spans="1:10" s="223" customFormat="1" ht="12.75" customHeight="1" x14ac:dyDescent="0.25">
      <c r="A28" s="230"/>
      <c r="B28" s="231"/>
      <c r="C28" s="231"/>
      <c r="D28" s="240"/>
      <c r="E28" s="234"/>
      <c r="F28" s="234"/>
      <c r="G28" s="234"/>
      <c r="H28" s="234"/>
      <c r="I28" s="234"/>
      <c r="J28" s="235"/>
    </row>
    <row r="29" spans="1:10" s="223" customFormat="1" ht="12.75" customHeight="1" thickBot="1" x14ac:dyDescent="0.3">
      <c r="A29" s="230"/>
      <c r="B29" s="243"/>
      <c r="C29" s="243"/>
      <c r="D29" s="244" t="s">
        <v>24</v>
      </c>
      <c r="E29" s="245">
        <f>SUM(E9:E28)</f>
        <v>22000</v>
      </c>
      <c r="F29" s="245"/>
      <c r="G29" s="245">
        <f>SUM(G9:G28)</f>
        <v>4324.8599999999997</v>
      </c>
      <c r="H29" s="245"/>
      <c r="I29" s="245">
        <f>E29-G29</f>
        <v>17675.14</v>
      </c>
      <c r="J29" s="235"/>
    </row>
    <row r="30" spans="1:10" s="223" customFormat="1" ht="12.75" customHeight="1" thickTop="1" x14ac:dyDescent="0.25"/>
    <row r="31" spans="1:10" s="223" customFormat="1" ht="12.75" customHeight="1" x14ac:dyDescent="0.25"/>
  </sheetData>
  <pageMargins left="0.25" right="0.25" top="0.95" bottom="0.75" header="0.09" footer="0.3"/>
  <pageSetup scale="64"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8D11F-1AC0-4FD6-A13D-FCFC94DE26E0}">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#9529.00'!B1</f>
        <v>HHS CHMHI Wirth Hall Tunnel Repairs</v>
      </c>
      <c r="B1" s="3"/>
      <c r="C1" s="3"/>
      <c r="D1" s="3"/>
      <c r="E1" s="4"/>
      <c r="F1" s="4"/>
      <c r="G1" s="4"/>
      <c r="H1" s="28"/>
    </row>
    <row r="2" spans="1:8" ht="15.75" x14ac:dyDescent="0.25">
      <c r="A2" s="6" t="str">
        <f>'RECAP #9529.00'!B2</f>
        <v>Project # 9529.00</v>
      </c>
      <c r="B2" s="5"/>
      <c r="C2" s="5"/>
      <c r="D2" s="5"/>
      <c r="E2" s="4"/>
      <c r="F2" s="4"/>
      <c r="G2" s="4"/>
      <c r="H2" s="28"/>
    </row>
    <row r="3" spans="1:8" ht="15.75" x14ac:dyDescent="0.25">
      <c r="A3" s="7" t="str">
        <f>'RECAP #9529.00'!B3</f>
        <v>Program code 952900</v>
      </c>
      <c r="B3" s="5"/>
      <c r="C3" s="5"/>
      <c r="D3" s="5"/>
      <c r="E3" s="8" t="str">
        <f>'RECAP #9529.00'!E3</f>
        <v>Major Program 4G01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818</v>
      </c>
      <c r="F6" s="35"/>
      <c r="G6" s="38"/>
      <c r="H6" s="39"/>
    </row>
    <row r="7" spans="1:8" ht="15.75" x14ac:dyDescent="0.25">
      <c r="A7" s="11" t="str">
        <f>'RECAP #9529.00'!B6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5">
      <c r="A9" s="239"/>
      <c r="B9" s="177"/>
      <c r="C9" s="230"/>
      <c r="D9" s="230"/>
      <c r="E9" s="176"/>
      <c r="F9" s="259"/>
      <c r="G9" s="260"/>
      <c r="H9" s="260">
        <f>G9</f>
        <v>0</v>
      </c>
    </row>
    <row r="10" spans="1:8" s="223" customFormat="1" ht="12.75" customHeight="1" x14ac:dyDescent="0.25">
      <c r="A10" s="241"/>
      <c r="B10" s="177"/>
      <c r="C10" s="240"/>
      <c r="D10" s="240"/>
      <c r="E10" s="258"/>
      <c r="F10" s="252"/>
      <c r="G10" s="260"/>
      <c r="H10" s="260">
        <f>H9+G10</f>
        <v>0</v>
      </c>
    </row>
    <row r="11" spans="1:8" s="223" customFormat="1" ht="12.75" customHeight="1" x14ac:dyDescent="0.25">
      <c r="A11" s="241"/>
      <c r="B11" s="177"/>
      <c r="C11" s="177"/>
      <c r="D11" s="177"/>
      <c r="E11" s="258"/>
      <c r="F11" s="252"/>
      <c r="G11" s="260"/>
      <c r="H11" s="260">
        <f t="shared" ref="H11:H20" si="0">H10+G11</f>
        <v>0</v>
      </c>
    </row>
    <row r="12" spans="1:8" s="223" customFormat="1" ht="12.75" customHeight="1" x14ac:dyDescent="0.25">
      <c r="A12" s="241" t="s">
        <v>2</v>
      </c>
      <c r="B12" s="177" t="s">
        <v>2</v>
      </c>
      <c r="C12" s="177"/>
      <c r="D12" s="177"/>
      <c r="E12" s="258" t="s">
        <v>2</v>
      </c>
      <c r="F12" s="252"/>
      <c r="G12" s="260"/>
      <c r="H12" s="260">
        <f t="shared" si="0"/>
        <v>0</v>
      </c>
    </row>
    <row r="13" spans="1:8" s="223" customFormat="1" ht="12.75" customHeight="1" x14ac:dyDescent="0.25">
      <c r="A13" s="241" t="s">
        <v>2</v>
      </c>
      <c r="B13" s="177" t="s">
        <v>2</v>
      </c>
      <c r="C13" s="177"/>
      <c r="D13" s="177"/>
      <c r="E13" s="258" t="s">
        <v>2</v>
      </c>
      <c r="F13" s="252"/>
      <c r="G13" s="260"/>
      <c r="H13" s="260">
        <f t="shared" si="0"/>
        <v>0</v>
      </c>
    </row>
    <row r="14" spans="1:8" s="223" customFormat="1" ht="12.75" customHeight="1" x14ac:dyDescent="0.25">
      <c r="A14" s="241"/>
      <c r="B14" s="177"/>
      <c r="C14" s="177"/>
      <c r="D14" s="177"/>
      <c r="E14" s="258"/>
      <c r="F14" s="252"/>
      <c r="G14" s="260"/>
      <c r="H14" s="260">
        <f t="shared" si="0"/>
        <v>0</v>
      </c>
    </row>
    <row r="15" spans="1:8" s="223" customFormat="1" ht="12.75" customHeight="1" x14ac:dyDescent="0.25">
      <c r="A15" s="241"/>
      <c r="B15" s="177"/>
      <c r="C15" s="177"/>
      <c r="D15" s="177"/>
      <c r="E15" s="261"/>
      <c r="F15" s="252"/>
      <c r="G15" s="260"/>
      <c r="H15" s="260">
        <f t="shared" si="0"/>
        <v>0</v>
      </c>
    </row>
    <row r="16" spans="1:8" s="223" customFormat="1" ht="12.75" customHeight="1" x14ac:dyDescent="0.25">
      <c r="A16" s="241"/>
      <c r="B16" s="177"/>
      <c r="C16" s="177"/>
      <c r="D16" s="177"/>
      <c r="E16" s="258"/>
      <c r="F16" s="252"/>
      <c r="G16" s="260"/>
      <c r="H16" s="260">
        <f t="shared" si="0"/>
        <v>0</v>
      </c>
    </row>
    <row r="17" spans="1:8" s="223" customFormat="1" ht="12.75" customHeight="1" x14ac:dyDescent="0.25">
      <c r="A17" s="230"/>
      <c r="B17" s="177"/>
      <c r="C17" s="177"/>
      <c r="D17" s="177"/>
      <c r="E17" s="258"/>
      <c r="F17" s="252"/>
      <c r="G17" s="260"/>
      <c r="H17" s="260">
        <f t="shared" si="0"/>
        <v>0</v>
      </c>
    </row>
    <row r="18" spans="1:8" s="223" customFormat="1" ht="12.75" customHeight="1" x14ac:dyDescent="0.25">
      <c r="A18" s="230"/>
      <c r="B18" s="177"/>
      <c r="C18" s="177"/>
      <c r="D18" s="177"/>
      <c r="E18" s="258"/>
      <c r="F18" s="252"/>
      <c r="G18" s="260"/>
      <c r="H18" s="260">
        <f t="shared" si="0"/>
        <v>0</v>
      </c>
    </row>
    <row r="19" spans="1:8" s="223" customFormat="1" ht="12.75" customHeight="1" x14ac:dyDescent="0.25">
      <c r="A19" s="230"/>
      <c r="B19" s="177"/>
      <c r="C19" s="177"/>
      <c r="D19" s="177"/>
      <c r="E19" s="258"/>
      <c r="F19" s="252"/>
      <c r="G19" s="260"/>
      <c r="H19" s="260">
        <f t="shared" si="0"/>
        <v>0</v>
      </c>
    </row>
    <row r="20" spans="1:8" s="223" customFormat="1" ht="12.75" customHeight="1" x14ac:dyDescent="0.25">
      <c r="A20" s="230"/>
      <c r="B20" s="177"/>
      <c r="C20" s="177"/>
      <c r="D20" s="177"/>
      <c r="E20" s="258"/>
      <c r="F20" s="252"/>
      <c r="G20" s="260"/>
      <c r="H20" s="260">
        <f t="shared" si="0"/>
        <v>0</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0</v>
      </c>
      <c r="H22" s="265"/>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5D0B8-05B6-4A64-A840-1E72E721E00E}">
  <sheetPr>
    <pageSetUpPr fitToPage="1"/>
  </sheetPr>
  <dimension ref="A1:I31"/>
  <sheetViews>
    <sheetView topLeftCell="A4" zoomScaleNormal="100" workbookViewId="0">
      <selection activeCell="L23" sqref="L23:L2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71093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#9529.00'!B1</f>
        <v>HHS CHMHI Wirth Hall Tunnel Repairs</v>
      </c>
      <c r="B1" s="3"/>
      <c r="C1" s="4"/>
      <c r="D1" s="4"/>
      <c r="E1" s="4"/>
      <c r="F1" s="28"/>
      <c r="G1" s="28"/>
      <c r="H1" s="29"/>
      <c r="I1" s="29"/>
    </row>
    <row r="2" spans="1:9" ht="15.75" x14ac:dyDescent="0.25">
      <c r="A2" s="6" t="str">
        <f>'RECAP #9529.00'!B2</f>
        <v>Project # 9529.00</v>
      </c>
      <c r="B2" s="5"/>
      <c r="C2" s="4"/>
      <c r="D2" s="4"/>
      <c r="E2" s="4"/>
      <c r="F2" s="28"/>
      <c r="G2" s="28"/>
      <c r="H2" s="29"/>
      <c r="I2" s="29"/>
    </row>
    <row r="3" spans="1:9" ht="15.75" x14ac:dyDescent="0.25">
      <c r="A3" s="7" t="str">
        <f>'RECAP #9529.00'!B3</f>
        <v>Program code 952900</v>
      </c>
      <c r="B3" s="5"/>
      <c r="C3" s="4"/>
      <c r="D3" s="8" t="str">
        <f>'RECAP #9529.00'!E3</f>
        <v>Major Program 4G01</v>
      </c>
      <c r="E3" s="4"/>
      <c r="F3" s="28"/>
      <c r="G3" s="28"/>
      <c r="H3" s="29"/>
      <c r="I3" s="29"/>
    </row>
    <row r="4" spans="1:9" ht="15.75" x14ac:dyDescent="0.25">
      <c r="A4" s="30" t="s">
        <v>395</v>
      </c>
      <c r="B4" s="31"/>
      <c r="C4" s="32"/>
      <c r="D4" s="33" t="s">
        <v>396</v>
      </c>
      <c r="E4" s="28"/>
      <c r="F4" s="28"/>
      <c r="G4" s="28"/>
      <c r="H4" s="29"/>
      <c r="I4" s="29"/>
    </row>
    <row r="5" spans="1:9" ht="15.75" x14ac:dyDescent="0.25">
      <c r="A5" s="34" t="s">
        <v>115</v>
      </c>
      <c r="B5" s="35"/>
      <c r="C5" s="36"/>
      <c r="D5" s="37" t="s">
        <v>874</v>
      </c>
      <c r="E5" s="38"/>
      <c r="F5" s="39"/>
      <c r="G5" s="39"/>
      <c r="H5" s="35"/>
      <c r="I5" s="29"/>
    </row>
    <row r="6" spans="1:9" ht="15.75" x14ac:dyDescent="0.25">
      <c r="A6" s="11" t="str">
        <f>'RECAP #9529.00'!B6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875</v>
      </c>
      <c r="B9" s="177">
        <v>46156</v>
      </c>
      <c r="C9" s="231" t="s">
        <v>109</v>
      </c>
      <c r="D9" s="232">
        <v>76360</v>
      </c>
      <c r="E9" s="233">
        <f>D9</f>
        <v>76360</v>
      </c>
      <c r="F9" s="234"/>
      <c r="G9" s="234"/>
      <c r="H9" s="234">
        <f>E9</f>
        <v>76360</v>
      </c>
      <c r="I9" s="235"/>
    </row>
    <row r="10" spans="1:9" s="223" customFormat="1" ht="12.75" customHeight="1" x14ac:dyDescent="0.25">
      <c r="A10" s="230" t="s">
        <v>1019</v>
      </c>
      <c r="B10" s="236">
        <v>46188</v>
      </c>
      <c r="C10" s="231" t="s">
        <v>1020</v>
      </c>
      <c r="D10" s="233"/>
      <c r="E10" s="233">
        <f t="shared" ref="E10:E21" si="0">E9+D10</f>
        <v>76360</v>
      </c>
      <c r="F10" s="237">
        <v>1948.84</v>
      </c>
      <c r="G10" s="234">
        <f t="shared" ref="G10:G21" si="1">G9+F10</f>
        <v>1948.84</v>
      </c>
      <c r="H10" s="234">
        <f t="shared" ref="H10:H21" si="2">H9-F10+D10</f>
        <v>74411.16</v>
      </c>
      <c r="I10" s="235"/>
    </row>
    <row r="11" spans="1:9" s="223" customFormat="1" ht="12.75" customHeight="1" x14ac:dyDescent="0.25">
      <c r="A11" s="328" t="s">
        <v>1164</v>
      </c>
      <c r="B11" s="329">
        <v>46209</v>
      </c>
      <c r="C11" s="330" t="s">
        <v>1165</v>
      </c>
      <c r="D11" s="331"/>
      <c r="E11" s="331">
        <f t="shared" si="0"/>
        <v>76360</v>
      </c>
      <c r="F11" s="338">
        <v>5985.66</v>
      </c>
      <c r="G11" s="332">
        <f t="shared" si="1"/>
        <v>7934.5</v>
      </c>
      <c r="H11" s="332">
        <f t="shared" si="2"/>
        <v>68425.5</v>
      </c>
      <c r="I11" s="333" t="s">
        <v>1285</v>
      </c>
    </row>
    <row r="12" spans="1:9" s="223" customFormat="1" ht="12.75" customHeight="1" x14ac:dyDescent="0.25">
      <c r="A12" s="230" t="s">
        <v>1335</v>
      </c>
      <c r="B12" s="177">
        <v>46225</v>
      </c>
      <c r="C12" s="231" t="s">
        <v>1286</v>
      </c>
      <c r="D12" s="232">
        <v>0</v>
      </c>
      <c r="E12" s="233">
        <f t="shared" si="0"/>
        <v>76360</v>
      </c>
      <c r="F12" s="238"/>
      <c r="G12" s="234">
        <f t="shared" si="1"/>
        <v>7934.5</v>
      </c>
      <c r="H12" s="234">
        <f t="shared" si="2"/>
        <v>68425.5</v>
      </c>
      <c r="I12" s="235"/>
    </row>
    <row r="13" spans="1:9" s="223" customFormat="1" ht="12.75" customHeight="1" x14ac:dyDescent="0.25">
      <c r="A13" s="230" t="s">
        <v>1439</v>
      </c>
      <c r="B13" s="177">
        <v>46251</v>
      </c>
      <c r="C13" s="231" t="s">
        <v>1440</v>
      </c>
      <c r="D13" s="233"/>
      <c r="E13" s="233">
        <f t="shared" si="0"/>
        <v>76360</v>
      </c>
      <c r="F13" s="237">
        <v>11370</v>
      </c>
      <c r="G13" s="234">
        <f t="shared" si="1"/>
        <v>19304.5</v>
      </c>
      <c r="H13" s="234">
        <f t="shared" si="2"/>
        <v>57055.5</v>
      </c>
      <c r="I13" s="235"/>
    </row>
    <row r="14" spans="1:9" s="223" customFormat="1" ht="12.75" customHeight="1" x14ac:dyDescent="0.25">
      <c r="A14" s="230"/>
      <c r="B14" s="177"/>
      <c r="C14" s="231"/>
      <c r="D14" s="233"/>
      <c r="E14" s="233">
        <f t="shared" si="0"/>
        <v>76360</v>
      </c>
      <c r="F14" s="234"/>
      <c r="G14" s="234">
        <f t="shared" si="1"/>
        <v>19304.5</v>
      </c>
      <c r="H14" s="234">
        <f t="shared" si="2"/>
        <v>57055.5</v>
      </c>
      <c r="I14" s="235"/>
    </row>
    <row r="15" spans="1:9" s="223" customFormat="1" ht="12.75" customHeight="1" x14ac:dyDescent="0.25">
      <c r="A15" s="230"/>
      <c r="B15" s="177"/>
      <c r="C15" s="231"/>
      <c r="D15" s="233"/>
      <c r="E15" s="233">
        <f t="shared" si="0"/>
        <v>76360</v>
      </c>
      <c r="F15" s="238"/>
      <c r="G15" s="234">
        <f t="shared" si="1"/>
        <v>19304.5</v>
      </c>
      <c r="H15" s="234">
        <f t="shared" si="2"/>
        <v>57055.5</v>
      </c>
      <c r="I15" s="235"/>
    </row>
    <row r="16" spans="1:9" s="223" customFormat="1" ht="12.75" customHeight="1" x14ac:dyDescent="0.25">
      <c r="A16" s="230"/>
      <c r="B16" s="177"/>
      <c r="C16" s="231"/>
      <c r="D16" s="233"/>
      <c r="E16" s="233">
        <f t="shared" si="0"/>
        <v>76360</v>
      </c>
      <c r="F16" s="238"/>
      <c r="G16" s="234">
        <f t="shared" si="1"/>
        <v>19304.5</v>
      </c>
      <c r="H16" s="234">
        <f t="shared" si="2"/>
        <v>57055.5</v>
      </c>
      <c r="I16" s="235"/>
    </row>
    <row r="17" spans="1:9" s="223" customFormat="1" ht="12.75" customHeight="1" x14ac:dyDescent="0.25">
      <c r="A17" s="230"/>
      <c r="B17" s="177"/>
      <c r="C17" s="231"/>
      <c r="D17" s="233"/>
      <c r="E17" s="233">
        <f t="shared" si="0"/>
        <v>76360</v>
      </c>
      <c r="F17" s="238"/>
      <c r="G17" s="234">
        <f t="shared" si="1"/>
        <v>19304.5</v>
      </c>
      <c r="H17" s="234">
        <f t="shared" si="2"/>
        <v>57055.5</v>
      </c>
      <c r="I17" s="235"/>
    </row>
    <row r="18" spans="1:9" s="223" customFormat="1" ht="12.75" customHeight="1" x14ac:dyDescent="0.25">
      <c r="A18" s="230"/>
      <c r="B18" s="177"/>
      <c r="C18" s="231"/>
      <c r="D18" s="233"/>
      <c r="E18" s="233">
        <f t="shared" si="0"/>
        <v>76360</v>
      </c>
      <c r="F18" s="238"/>
      <c r="G18" s="234">
        <f t="shared" si="1"/>
        <v>19304.5</v>
      </c>
      <c r="H18" s="234">
        <f t="shared" si="2"/>
        <v>57055.5</v>
      </c>
      <c r="I18" s="235"/>
    </row>
    <row r="19" spans="1:9" s="223" customFormat="1" ht="12.75" customHeight="1" x14ac:dyDescent="0.25">
      <c r="A19" s="230"/>
      <c r="B19" s="177"/>
      <c r="C19" s="231"/>
      <c r="D19" s="233"/>
      <c r="E19" s="233">
        <f t="shared" si="0"/>
        <v>76360</v>
      </c>
      <c r="F19" s="234"/>
      <c r="G19" s="234">
        <f t="shared" si="1"/>
        <v>19304.5</v>
      </c>
      <c r="H19" s="234">
        <f t="shared" si="2"/>
        <v>57055.5</v>
      </c>
      <c r="I19" s="235"/>
    </row>
    <row r="20" spans="1:9" s="223" customFormat="1" ht="12.75" customHeight="1" x14ac:dyDescent="0.25">
      <c r="A20" s="230"/>
      <c r="B20" s="177"/>
      <c r="C20" s="231"/>
      <c r="D20" s="233"/>
      <c r="E20" s="233">
        <f t="shared" si="0"/>
        <v>76360</v>
      </c>
      <c r="F20" s="234"/>
      <c r="G20" s="234">
        <f t="shared" si="1"/>
        <v>19304.5</v>
      </c>
      <c r="H20" s="234">
        <f t="shared" si="2"/>
        <v>57055.5</v>
      </c>
      <c r="I20" s="235"/>
    </row>
    <row r="21" spans="1:9" s="223" customFormat="1" ht="12.75" customHeight="1" x14ac:dyDescent="0.25">
      <c r="A21" s="230"/>
      <c r="B21" s="177"/>
      <c r="C21" s="239"/>
      <c r="D21" s="233"/>
      <c r="E21" s="233">
        <f t="shared" si="0"/>
        <v>76360</v>
      </c>
      <c r="F21" s="234"/>
      <c r="G21" s="234">
        <f t="shared" si="1"/>
        <v>19304.5</v>
      </c>
      <c r="H21" s="234">
        <f t="shared" si="2"/>
        <v>57055.5</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76360</v>
      </c>
      <c r="E23" s="245"/>
      <c r="F23" s="245">
        <f>SUM(F9:F22)</f>
        <v>19304.5</v>
      </c>
      <c r="G23" s="245"/>
      <c r="H23" s="245">
        <f>D23-F23</f>
        <v>57055.5</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40" t="s">
        <v>457</v>
      </c>
      <c r="D26" s="234">
        <v>31740</v>
      </c>
      <c r="E26" s="234"/>
      <c r="F26" s="234">
        <f>1948.84+5985.66+11370</f>
        <v>19304.5</v>
      </c>
      <c r="G26" s="234"/>
      <c r="H26" s="234">
        <f>D26-F26</f>
        <v>12435.5</v>
      </c>
      <c r="I26" s="235"/>
    </row>
    <row r="27" spans="1:9" s="223" customFormat="1" ht="12.75" customHeight="1" x14ac:dyDescent="0.25">
      <c r="A27" s="230"/>
      <c r="B27" s="231"/>
      <c r="C27" s="240" t="s">
        <v>121</v>
      </c>
      <c r="D27" s="234">
        <v>22140</v>
      </c>
      <c r="E27" s="234"/>
      <c r="F27" s="234"/>
      <c r="G27" s="234"/>
      <c r="H27" s="234">
        <f>D27-F27</f>
        <v>22140</v>
      </c>
      <c r="I27" s="235"/>
    </row>
    <row r="28" spans="1:9" s="223" customFormat="1" ht="12.75" customHeight="1" x14ac:dyDescent="0.25">
      <c r="A28" s="230"/>
      <c r="B28" s="231"/>
      <c r="C28" s="253" t="s">
        <v>300</v>
      </c>
      <c r="D28" s="254">
        <v>7320</v>
      </c>
      <c r="E28" s="254"/>
      <c r="F28" s="254"/>
      <c r="G28" s="254"/>
      <c r="H28" s="234">
        <f>D28-F28</f>
        <v>7320</v>
      </c>
      <c r="I28" s="235"/>
    </row>
    <row r="29" spans="1:9" s="223" customFormat="1" ht="12.75" customHeight="1" x14ac:dyDescent="0.25">
      <c r="A29" s="230"/>
      <c r="B29" s="231"/>
      <c r="C29" s="253" t="s">
        <v>122</v>
      </c>
      <c r="D29" s="254">
        <v>15160</v>
      </c>
      <c r="E29" s="254"/>
      <c r="F29" s="254"/>
      <c r="G29" s="254"/>
      <c r="H29" s="234">
        <f>D29-F29</f>
        <v>15160</v>
      </c>
      <c r="I29" s="235"/>
    </row>
    <row r="30" spans="1:9" s="223" customFormat="1" ht="12.75" customHeight="1" thickBot="1" x14ac:dyDescent="0.3">
      <c r="A30" s="230"/>
      <c r="B30" s="231"/>
      <c r="C30" s="255" t="s">
        <v>67</v>
      </c>
      <c r="D30" s="256">
        <f>SUM(D26:D29)</f>
        <v>76360</v>
      </c>
      <c r="E30" s="257"/>
      <c r="F30" s="256">
        <f>SUM(F26:F29)</f>
        <v>19304.5</v>
      </c>
      <c r="G30" s="257"/>
      <c r="H30" s="256">
        <f>SUM(H26:H29)</f>
        <v>57055.5</v>
      </c>
      <c r="I30" s="235"/>
    </row>
    <row r="31" spans="1:9" s="223" customFormat="1" ht="12.75" customHeight="1" thickTop="1" x14ac:dyDescent="0.25"/>
  </sheetData>
  <conditionalFormatting sqref="I8:I10 I12:I23">
    <cfRule type="cellIs" dxfId="3" priority="1" operator="greaterThan">
      <formula>$H$23</formula>
    </cfRule>
  </conditionalFormatting>
  <pageMargins left="0.25" right="0.25" top="0.95" bottom="0.75" header="0.09" footer="0.3"/>
  <pageSetup scale="80"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F6523-86B2-4CB5-91F5-D99033718A46}">
  <sheetPr>
    <pageSetUpPr fitToPage="1"/>
  </sheetPr>
  <dimension ref="A1:G16"/>
  <sheetViews>
    <sheetView zoomScaleNormal="100" workbookViewId="0">
      <selection activeCell="D22" sqref="D22"/>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503</v>
      </c>
      <c r="C1" s="3"/>
      <c r="D1" s="4"/>
      <c r="E1" s="4"/>
      <c r="F1" s="4"/>
      <c r="G1" s="4"/>
    </row>
    <row r="2" spans="1:7" ht="15.75" x14ac:dyDescent="0.25">
      <c r="A2" s="1"/>
      <c r="B2" s="6" t="s">
        <v>517</v>
      </c>
      <c r="C2" s="5"/>
      <c r="D2" s="4"/>
      <c r="E2" s="4"/>
      <c r="F2" s="4"/>
      <c r="G2" s="4"/>
    </row>
    <row r="3" spans="1:7" ht="15.75" x14ac:dyDescent="0.25">
      <c r="A3" s="1"/>
      <c r="B3" s="7" t="s">
        <v>518</v>
      </c>
      <c r="C3" s="5"/>
      <c r="D3" s="4"/>
      <c r="E3" s="8" t="s">
        <v>184</v>
      </c>
      <c r="F3" s="4"/>
      <c r="G3" s="4"/>
    </row>
    <row r="4" spans="1:7" ht="15.75" x14ac:dyDescent="0.25">
      <c r="A4" s="1"/>
      <c r="B4" s="9" t="s">
        <v>1</v>
      </c>
      <c r="C4" s="10" t="s">
        <v>2</v>
      </c>
      <c r="D4" s="4"/>
      <c r="E4" s="4"/>
      <c r="F4" s="4"/>
      <c r="G4" s="4"/>
    </row>
    <row r="5" spans="1:7" ht="15.75" x14ac:dyDescent="0.25">
      <c r="A5" s="1"/>
      <c r="B5" s="11" t="s">
        <v>64</v>
      </c>
      <c r="C5" s="5"/>
      <c r="D5" s="4"/>
      <c r="E5" s="13" t="s">
        <v>1280</v>
      </c>
      <c r="F5" s="376"/>
      <c r="G5" s="4"/>
    </row>
    <row r="6" spans="1:7" ht="15.75" x14ac:dyDescent="0.25">
      <c r="A6" s="1"/>
      <c r="B6" s="11" t="s">
        <v>462</v>
      </c>
      <c r="C6" s="12"/>
      <c r="D6" s="13" t="s">
        <v>2</v>
      </c>
      <c r="E6" s="4"/>
      <c r="F6" s="4"/>
      <c r="G6" s="4"/>
    </row>
    <row r="7" spans="1:7" ht="35.25" customHeight="1" thickBot="1" x14ac:dyDescent="0.3">
      <c r="A7" s="1"/>
      <c r="B7" s="14" t="s">
        <v>2</v>
      </c>
      <c r="C7" s="15" t="s">
        <v>3</v>
      </c>
      <c r="D7" s="16" t="s">
        <v>4</v>
      </c>
      <c r="E7" s="17" t="s">
        <v>5</v>
      </c>
      <c r="F7" s="18" t="s">
        <v>6</v>
      </c>
      <c r="G7" s="18" t="s">
        <v>7</v>
      </c>
    </row>
    <row r="8" spans="1:7" ht="28.35" customHeight="1" x14ac:dyDescent="0.25">
      <c r="A8" s="1"/>
      <c r="B8" s="1" t="s">
        <v>8</v>
      </c>
      <c r="C8" s="19">
        <f>FINANCIAL!G43</f>
        <v>440300</v>
      </c>
      <c r="D8" s="20"/>
      <c r="E8" s="20"/>
      <c r="F8" s="20"/>
      <c r="G8" s="21"/>
    </row>
    <row r="9" spans="1:7" s="223" customFormat="1" ht="12.75" customHeight="1" x14ac:dyDescent="0.25">
      <c r="A9" s="246"/>
      <c r="B9" s="247"/>
      <c r="C9" s="267"/>
      <c r="D9" s="249"/>
      <c r="E9" s="249"/>
      <c r="F9" s="249"/>
      <c r="G9" s="250"/>
    </row>
    <row r="10" spans="1:7" s="223" customFormat="1" ht="12.75" customHeight="1" x14ac:dyDescent="0.25">
      <c r="A10" s="246"/>
      <c r="B10" s="247" t="s">
        <v>278</v>
      </c>
      <c r="C10" s="248"/>
      <c r="D10" s="251">
        <f>'#9530.00 Story Construction'!D23</f>
        <v>25832.29</v>
      </c>
      <c r="E10" s="251">
        <f>'#9530.00 Story Construction'!F23</f>
        <v>13046.03</v>
      </c>
      <c r="F10" s="251">
        <f>'#9530.00 Story Construction'!H23</f>
        <v>12786.26</v>
      </c>
      <c r="G10" s="250"/>
    </row>
    <row r="11" spans="1:7" s="223" customFormat="1" ht="12.75" customHeight="1" x14ac:dyDescent="0.25">
      <c r="A11" s="246"/>
      <c r="B11" s="247" t="s">
        <v>10</v>
      </c>
      <c r="C11" s="248"/>
      <c r="D11" s="251">
        <f>'#9530.00 PM TIME'!E29</f>
        <v>7500</v>
      </c>
      <c r="E11" s="251">
        <f>'#9530.00 PM TIME'!G29</f>
        <v>5325.7900000000009</v>
      </c>
      <c r="F11" s="251">
        <f>'#9530.00 PM TIME'!I29</f>
        <v>2174.2099999999991</v>
      </c>
      <c r="G11" s="250"/>
    </row>
    <row r="12" spans="1:7" s="223" customFormat="1" ht="12.75" customHeight="1" x14ac:dyDescent="0.25">
      <c r="A12" s="246"/>
      <c r="B12" s="247" t="s">
        <v>11</v>
      </c>
      <c r="C12" s="249"/>
      <c r="D12" s="252">
        <f>'#9530.00 Misc'!G22</f>
        <v>1422</v>
      </c>
      <c r="E12" s="252">
        <f>'#9530.00 Misc'!G22</f>
        <v>1422</v>
      </c>
      <c r="F12" s="251">
        <f>D12-E12</f>
        <v>0</v>
      </c>
      <c r="G12" s="250"/>
    </row>
    <row r="13" spans="1:7" s="223" customFormat="1" ht="12.75" customHeight="1" x14ac:dyDescent="0.25">
      <c r="A13" s="246"/>
      <c r="B13" s="247" t="s">
        <v>955</v>
      </c>
      <c r="C13" s="249"/>
      <c r="D13" s="252">
        <f>'#9530.00 10Fold Architecture'!D23</f>
        <v>28654</v>
      </c>
      <c r="E13" s="252">
        <f>'#9530.00 10Fold Architecture'!F23</f>
        <v>17091.7</v>
      </c>
      <c r="F13" s="251">
        <f>'#9530.00 10Fold Architecture'!H23</f>
        <v>11562.3</v>
      </c>
      <c r="G13" s="250"/>
    </row>
    <row r="14" spans="1:7" s="223" customFormat="1" ht="12.75" customHeight="1" x14ac:dyDescent="0.25">
      <c r="A14" s="246"/>
      <c r="B14" s="247"/>
      <c r="C14" s="249"/>
      <c r="D14" s="252"/>
      <c r="E14" s="252"/>
      <c r="F14" s="251"/>
      <c r="G14" s="250"/>
    </row>
    <row r="15" spans="1:7" ht="24" customHeight="1" thickBot="1" x14ac:dyDescent="0.3">
      <c r="A15" s="25"/>
      <c r="B15" s="26" t="s">
        <v>12</v>
      </c>
      <c r="C15" s="27">
        <f>SUM(C8:C14)</f>
        <v>440300</v>
      </c>
      <c r="D15" s="27">
        <f>SUM(D8:D14)</f>
        <v>63408.29</v>
      </c>
      <c r="E15" s="27">
        <f>SUM(E8:E14)</f>
        <v>36885.520000000004</v>
      </c>
      <c r="F15" s="27">
        <f>SUM(D15-E15)</f>
        <v>26522.769999999997</v>
      </c>
      <c r="G15" s="27">
        <f>C8-D15</f>
        <v>376891.71</v>
      </c>
    </row>
    <row r="16"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817C1-CD0B-4BCA-B71E-514651A0EAF3}">
  <sheetPr>
    <pageSetUpPr fitToPage="1"/>
  </sheetPr>
  <dimension ref="A1:I29"/>
  <sheetViews>
    <sheetView zoomScaleNormal="100" workbookViewId="0">
      <selection activeCell="J23" sqref="J23:K2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855468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#9530.00'!B1</f>
        <v>DOC FDCF Unit L Pre-Cast Sealant &amp; Warehouse W Freezer Floor Repair</v>
      </c>
      <c r="B1" s="3"/>
      <c r="C1" s="4"/>
      <c r="D1" s="4"/>
      <c r="E1" s="4"/>
      <c r="F1" s="28"/>
      <c r="G1" s="28"/>
      <c r="H1" s="29"/>
      <c r="I1" s="29"/>
    </row>
    <row r="2" spans="1:9" ht="15.75" x14ac:dyDescent="0.25">
      <c r="A2" s="6" t="str">
        <f>'RECAP #9530.00'!B2</f>
        <v>Project # 9530.00</v>
      </c>
      <c r="B2" s="5"/>
      <c r="C2" s="4"/>
      <c r="D2" s="4"/>
      <c r="E2" s="4"/>
      <c r="F2" s="28"/>
      <c r="G2" s="28"/>
      <c r="H2" s="29"/>
      <c r="I2" s="29"/>
    </row>
    <row r="3" spans="1:9" ht="15.75" x14ac:dyDescent="0.25">
      <c r="A3" s="7" t="str">
        <f>'RECAP #9530.00'!B3</f>
        <v>Program code 953000</v>
      </c>
      <c r="B3" s="5"/>
      <c r="C3" s="4"/>
      <c r="D3" s="8" t="str">
        <f>'RECAP #9530.00'!E3</f>
        <v>Major Program 4E01</v>
      </c>
      <c r="E3" s="4"/>
      <c r="F3" s="28"/>
      <c r="G3" s="28"/>
      <c r="H3" s="29"/>
      <c r="I3" s="29"/>
    </row>
    <row r="4" spans="1:9" ht="15.75" x14ac:dyDescent="0.25">
      <c r="A4" s="30" t="s">
        <v>278</v>
      </c>
      <c r="B4" s="31"/>
      <c r="C4" s="32"/>
      <c r="D4" s="33" t="s">
        <v>279</v>
      </c>
      <c r="E4" s="28"/>
      <c r="F4" s="28"/>
      <c r="G4" s="28"/>
      <c r="H4" s="29"/>
      <c r="I4" s="29"/>
    </row>
    <row r="5" spans="1:9" ht="15.75" x14ac:dyDescent="0.25">
      <c r="A5" s="34" t="s">
        <v>104</v>
      </c>
      <c r="B5" s="35"/>
      <c r="C5" s="36"/>
      <c r="D5" s="37" t="s">
        <v>280</v>
      </c>
      <c r="E5" s="38"/>
      <c r="F5" s="39"/>
      <c r="G5" s="39"/>
      <c r="H5" s="35"/>
      <c r="I5" s="29"/>
    </row>
    <row r="6" spans="1:9" ht="15.75" x14ac:dyDescent="0.25">
      <c r="A6" s="11" t="str">
        <f>'RECAP #9530.00'!B6</f>
        <v>Project Manager - Jennie E</v>
      </c>
      <c r="B6" s="11"/>
      <c r="C6" s="40"/>
      <c r="D6" s="41" t="s">
        <v>107</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663</v>
      </c>
      <c r="B9" s="177">
        <v>46100</v>
      </c>
      <c r="C9" s="231" t="s">
        <v>109</v>
      </c>
      <c r="D9" s="232">
        <v>25832.29</v>
      </c>
      <c r="E9" s="233">
        <f>D9</f>
        <v>25832.29</v>
      </c>
      <c r="F9" s="234"/>
      <c r="G9" s="234"/>
      <c r="H9" s="234">
        <f>E9</f>
        <v>25832.29</v>
      </c>
      <c r="I9" s="235"/>
    </row>
    <row r="10" spans="1:9" s="223" customFormat="1" ht="12.75" customHeight="1" x14ac:dyDescent="0.25">
      <c r="A10" s="230" t="s">
        <v>947</v>
      </c>
      <c r="B10" s="236">
        <v>46168</v>
      </c>
      <c r="C10" s="231" t="s">
        <v>948</v>
      </c>
      <c r="D10" s="233"/>
      <c r="E10" s="233">
        <f t="shared" ref="E10:E21" si="0">E9+D10</f>
        <v>25832.29</v>
      </c>
      <c r="F10" s="237">
        <v>994.51</v>
      </c>
      <c r="G10" s="234">
        <f t="shared" ref="G10:G21" si="1">G9+F10</f>
        <v>994.51</v>
      </c>
      <c r="H10" s="234">
        <f t="shared" ref="H10:H21" si="2">H9-F10+D10</f>
        <v>24837.780000000002</v>
      </c>
      <c r="I10" s="235"/>
    </row>
    <row r="11" spans="1:9" s="223" customFormat="1" ht="12.75" customHeight="1" x14ac:dyDescent="0.25">
      <c r="A11" s="230" t="s">
        <v>1053</v>
      </c>
      <c r="B11" s="177">
        <v>46190</v>
      </c>
      <c r="C11" s="231" t="s">
        <v>1054</v>
      </c>
      <c r="D11" s="233"/>
      <c r="E11" s="233">
        <f t="shared" si="0"/>
        <v>25832.29</v>
      </c>
      <c r="F11" s="237">
        <v>2720.96</v>
      </c>
      <c r="G11" s="234">
        <f t="shared" si="1"/>
        <v>3715.4700000000003</v>
      </c>
      <c r="H11" s="234">
        <f t="shared" si="2"/>
        <v>22116.820000000003</v>
      </c>
      <c r="I11" s="235"/>
    </row>
    <row r="12" spans="1:9" s="223" customFormat="1" ht="12.75" customHeight="1" x14ac:dyDescent="0.25">
      <c r="A12" s="328" t="s">
        <v>1260</v>
      </c>
      <c r="B12" s="329">
        <v>46218</v>
      </c>
      <c r="C12" s="330" t="s">
        <v>1261</v>
      </c>
      <c r="D12" s="331"/>
      <c r="E12" s="331">
        <f t="shared" si="0"/>
        <v>25832.29</v>
      </c>
      <c r="F12" s="338">
        <v>2448.34</v>
      </c>
      <c r="G12" s="332">
        <f t="shared" si="1"/>
        <v>6163.81</v>
      </c>
      <c r="H12" s="332">
        <f t="shared" si="2"/>
        <v>19668.480000000003</v>
      </c>
      <c r="I12" s="333" t="s">
        <v>1285</v>
      </c>
    </row>
    <row r="13" spans="1:9" s="223" customFormat="1" ht="12.75" customHeight="1" x14ac:dyDescent="0.25">
      <c r="A13" s="230" t="s">
        <v>1336</v>
      </c>
      <c r="B13" s="177">
        <v>46225</v>
      </c>
      <c r="C13" s="231" t="s">
        <v>1286</v>
      </c>
      <c r="D13" s="232">
        <v>0</v>
      </c>
      <c r="E13" s="233">
        <f t="shared" si="0"/>
        <v>25832.29</v>
      </c>
      <c r="F13" s="238"/>
      <c r="G13" s="234">
        <f t="shared" si="1"/>
        <v>6163.81</v>
      </c>
      <c r="H13" s="234">
        <f t="shared" si="2"/>
        <v>19668.480000000003</v>
      </c>
      <c r="I13" s="235"/>
    </row>
    <row r="14" spans="1:9" s="223" customFormat="1" ht="12.75" customHeight="1" x14ac:dyDescent="0.25">
      <c r="A14" s="230" t="s">
        <v>1589</v>
      </c>
      <c r="B14" s="177">
        <v>46287</v>
      </c>
      <c r="C14" s="231" t="s">
        <v>1590</v>
      </c>
      <c r="D14" s="233"/>
      <c r="E14" s="233">
        <f t="shared" si="0"/>
        <v>25832.29</v>
      </c>
      <c r="F14" s="237">
        <v>6882.22</v>
      </c>
      <c r="G14" s="234">
        <f t="shared" si="1"/>
        <v>13046.03</v>
      </c>
      <c r="H14" s="234">
        <f t="shared" si="2"/>
        <v>12786.260000000002</v>
      </c>
      <c r="I14" s="235"/>
    </row>
    <row r="15" spans="1:9" s="223" customFormat="1" ht="12.75" customHeight="1" x14ac:dyDescent="0.25">
      <c r="A15" s="230"/>
      <c r="B15" s="177"/>
      <c r="C15" s="231"/>
      <c r="D15" s="233"/>
      <c r="E15" s="233">
        <f t="shared" si="0"/>
        <v>25832.29</v>
      </c>
      <c r="F15" s="238"/>
      <c r="G15" s="234">
        <f t="shared" si="1"/>
        <v>13046.03</v>
      </c>
      <c r="H15" s="234">
        <f t="shared" si="2"/>
        <v>12786.260000000002</v>
      </c>
      <c r="I15" s="235"/>
    </row>
    <row r="16" spans="1:9" s="223" customFormat="1" ht="12.75" customHeight="1" x14ac:dyDescent="0.25">
      <c r="A16" s="230"/>
      <c r="B16" s="177"/>
      <c r="C16" s="231"/>
      <c r="D16" s="233"/>
      <c r="E16" s="233">
        <f t="shared" si="0"/>
        <v>25832.29</v>
      </c>
      <c r="F16" s="238"/>
      <c r="G16" s="234">
        <f t="shared" si="1"/>
        <v>13046.03</v>
      </c>
      <c r="H16" s="234">
        <f t="shared" si="2"/>
        <v>12786.260000000002</v>
      </c>
      <c r="I16" s="235"/>
    </row>
    <row r="17" spans="1:9" s="223" customFormat="1" ht="12.75" customHeight="1" x14ac:dyDescent="0.25">
      <c r="A17" s="230"/>
      <c r="B17" s="177"/>
      <c r="C17" s="231"/>
      <c r="D17" s="233"/>
      <c r="E17" s="233">
        <f t="shared" si="0"/>
        <v>25832.29</v>
      </c>
      <c r="F17" s="238"/>
      <c r="G17" s="234">
        <f t="shared" si="1"/>
        <v>13046.03</v>
      </c>
      <c r="H17" s="234">
        <f t="shared" si="2"/>
        <v>12786.260000000002</v>
      </c>
      <c r="I17" s="235"/>
    </row>
    <row r="18" spans="1:9" s="223" customFormat="1" ht="12.75" customHeight="1" x14ac:dyDescent="0.25">
      <c r="A18" s="230"/>
      <c r="B18" s="177"/>
      <c r="C18" s="231"/>
      <c r="D18" s="233"/>
      <c r="E18" s="233">
        <f t="shared" si="0"/>
        <v>25832.29</v>
      </c>
      <c r="F18" s="238"/>
      <c r="G18" s="234">
        <f t="shared" si="1"/>
        <v>13046.03</v>
      </c>
      <c r="H18" s="234">
        <f t="shared" si="2"/>
        <v>12786.260000000002</v>
      </c>
      <c r="I18" s="235"/>
    </row>
    <row r="19" spans="1:9" s="223" customFormat="1" ht="12.75" customHeight="1" x14ac:dyDescent="0.25">
      <c r="A19" s="230"/>
      <c r="B19" s="177"/>
      <c r="C19" s="231"/>
      <c r="D19" s="233"/>
      <c r="E19" s="233">
        <f t="shared" si="0"/>
        <v>25832.29</v>
      </c>
      <c r="F19" s="234"/>
      <c r="G19" s="234">
        <f t="shared" si="1"/>
        <v>13046.03</v>
      </c>
      <c r="H19" s="234">
        <f t="shared" si="2"/>
        <v>12786.260000000002</v>
      </c>
      <c r="I19" s="235"/>
    </row>
    <row r="20" spans="1:9" s="223" customFormat="1" ht="12.75" customHeight="1" x14ac:dyDescent="0.25">
      <c r="A20" s="230"/>
      <c r="B20" s="177"/>
      <c r="C20" s="231"/>
      <c r="D20" s="233"/>
      <c r="E20" s="233">
        <f t="shared" si="0"/>
        <v>25832.29</v>
      </c>
      <c r="F20" s="234"/>
      <c r="G20" s="234">
        <f t="shared" si="1"/>
        <v>13046.03</v>
      </c>
      <c r="H20" s="234">
        <f t="shared" si="2"/>
        <v>12786.260000000002</v>
      </c>
      <c r="I20" s="235"/>
    </row>
    <row r="21" spans="1:9" s="223" customFormat="1" ht="12.75" customHeight="1" x14ac:dyDescent="0.25">
      <c r="A21" s="230"/>
      <c r="B21" s="177"/>
      <c r="C21" s="239"/>
      <c r="D21" s="233"/>
      <c r="E21" s="233">
        <f t="shared" si="0"/>
        <v>25832.29</v>
      </c>
      <c r="F21" s="234"/>
      <c r="G21" s="234">
        <f t="shared" si="1"/>
        <v>13046.03</v>
      </c>
      <c r="H21" s="234">
        <f t="shared" si="2"/>
        <v>12786.260000000002</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25832.29</v>
      </c>
      <c r="E23" s="245"/>
      <c r="F23" s="245">
        <f>SUM(F9:F22)</f>
        <v>13046.03</v>
      </c>
      <c r="G23" s="245"/>
      <c r="H23" s="245">
        <f>D23-F23</f>
        <v>12786.26</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25562.29</v>
      </c>
      <c r="E26" s="254"/>
      <c r="F26" s="254">
        <f>927.01+2720.96+2380.84+6882.22</f>
        <v>12911.03</v>
      </c>
      <c r="G26" s="254"/>
      <c r="H26" s="254">
        <f>D26-F26</f>
        <v>12651.26</v>
      </c>
      <c r="I26" s="235"/>
    </row>
    <row r="27" spans="1:9" s="223" customFormat="1" ht="12.75" customHeight="1" x14ac:dyDescent="0.25">
      <c r="A27" s="230"/>
      <c r="B27" s="231"/>
      <c r="C27" s="253" t="s">
        <v>111</v>
      </c>
      <c r="D27" s="254">
        <v>270</v>
      </c>
      <c r="E27" s="254"/>
      <c r="F27" s="254">
        <f>67.5+67.5</f>
        <v>135</v>
      </c>
      <c r="G27" s="254"/>
      <c r="H27" s="254">
        <f>D27-F27</f>
        <v>135</v>
      </c>
      <c r="I27" s="235"/>
    </row>
    <row r="28" spans="1:9" s="223" customFormat="1" ht="12.75" customHeight="1" thickBot="1" x14ac:dyDescent="0.3">
      <c r="A28" s="230"/>
      <c r="B28" s="231"/>
      <c r="C28" s="255" t="s">
        <v>67</v>
      </c>
      <c r="D28" s="256">
        <f>SUM(D26:D27)</f>
        <v>25832.29</v>
      </c>
      <c r="E28" s="257"/>
      <c r="F28" s="256">
        <f>SUM(F26:F27)</f>
        <v>13046.03</v>
      </c>
      <c r="G28" s="257"/>
      <c r="H28" s="256">
        <f>SUM(H26:H27)</f>
        <v>12786.26</v>
      </c>
      <c r="I28" s="235"/>
    </row>
    <row r="29" spans="1:9" s="223" customFormat="1" ht="12.75" customHeight="1" thickTop="1" x14ac:dyDescent="0.25"/>
  </sheetData>
  <conditionalFormatting sqref="I8:I11 I13:I23">
    <cfRule type="cellIs" dxfId="2" priority="1" operator="greaterThan">
      <formula>$H$23</formula>
    </cfRule>
  </conditionalFormatting>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C11A-AB24-4F04-B6F1-6D479013E1C9}">
  <sheetPr>
    <pageSetUpPr fitToPage="1"/>
  </sheetPr>
  <dimension ref="A1:J31"/>
  <sheetViews>
    <sheetView topLeftCell="A2" zoomScaleNormal="100" workbookViewId="0">
      <selection activeCell="G23" sqref="G23:G24"/>
    </sheetView>
  </sheetViews>
  <sheetFormatPr defaultColWidth="11.42578125" defaultRowHeight="15" customHeight="1" x14ac:dyDescent="0.25"/>
  <cols>
    <col min="1" max="1" width="24.5703125" customWidth="1"/>
    <col min="2" max="3" width="9.42578125" customWidth="1"/>
    <col min="4" max="4" width="41.140625"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#9530.00'!B1</f>
        <v>DOC FDCF Unit L Pre-Cast Sealant &amp; Warehouse W Freezer Floor Repair</v>
      </c>
      <c r="B1" s="3"/>
      <c r="C1" s="3"/>
      <c r="D1" s="4"/>
      <c r="E1" s="4"/>
      <c r="F1" s="4"/>
      <c r="G1" s="28"/>
      <c r="H1" s="28"/>
      <c r="I1" s="29"/>
      <c r="J1" s="29"/>
    </row>
    <row r="2" spans="1:10" ht="15.75" x14ac:dyDescent="0.25">
      <c r="A2" s="6" t="str">
        <f>'RECAP #9530.00'!B2</f>
        <v>Project # 9530.00</v>
      </c>
      <c r="B2" s="5"/>
      <c r="C2" s="5"/>
      <c r="D2" s="4"/>
      <c r="E2" s="4"/>
      <c r="F2" s="4"/>
      <c r="G2" s="28"/>
      <c r="H2" s="28"/>
      <c r="I2" s="29"/>
      <c r="J2" s="29"/>
    </row>
    <row r="3" spans="1:10" ht="15.75" x14ac:dyDescent="0.25">
      <c r="A3" s="7" t="str">
        <f>'RECAP #9530.00'!B3</f>
        <v>Program code 953000</v>
      </c>
      <c r="B3" s="5"/>
      <c r="C3" s="5"/>
      <c r="D3" s="4"/>
      <c r="E3" s="8" t="str">
        <f>'RECAP #9530.00'!E3</f>
        <v>Major Program 4E01</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525</v>
      </c>
      <c r="F6" s="42"/>
      <c r="G6" s="43"/>
      <c r="H6" s="39"/>
      <c r="I6" s="35"/>
      <c r="J6" s="29"/>
    </row>
    <row r="7" spans="1:10" ht="15.75" x14ac:dyDescent="0.25">
      <c r="A7" s="11" t="str">
        <f>'RECAP #9530.00'!B6</f>
        <v>Project Manager - Jennie E</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32">
        <v>7500</v>
      </c>
      <c r="F9" s="233">
        <f>E9</f>
        <v>7500</v>
      </c>
      <c r="G9" s="234"/>
      <c r="H9" s="234"/>
      <c r="I9" s="234">
        <f>F9</f>
        <v>7500</v>
      </c>
      <c r="J9" s="235"/>
    </row>
    <row r="10" spans="1:10" s="223" customFormat="1" ht="12.75" customHeight="1" x14ac:dyDescent="0.2">
      <c r="A10" s="70" t="s">
        <v>644</v>
      </c>
      <c r="B10" s="50">
        <v>46090</v>
      </c>
      <c r="C10" s="53" t="s">
        <v>261</v>
      </c>
      <c r="D10" s="144" t="s">
        <v>645</v>
      </c>
      <c r="E10" s="233"/>
      <c r="F10" s="233">
        <f t="shared" ref="F10:F27" si="0">F9+E10</f>
        <v>7500</v>
      </c>
      <c r="G10" s="237">
        <v>49.67</v>
      </c>
      <c r="H10" s="234">
        <f t="shared" ref="H10:H27" si="1">H9+G10</f>
        <v>49.67</v>
      </c>
      <c r="I10" s="234">
        <f t="shared" ref="I10:I27" si="2">I9-G10+E10</f>
        <v>7450.33</v>
      </c>
      <c r="J10" s="235"/>
    </row>
    <row r="11" spans="1:10" s="223" customFormat="1" ht="12.75" customHeight="1" x14ac:dyDescent="0.2">
      <c r="A11" s="70" t="s">
        <v>644</v>
      </c>
      <c r="B11" s="50">
        <v>46090</v>
      </c>
      <c r="C11" s="268">
        <v>9500</v>
      </c>
      <c r="D11" s="66" t="s">
        <v>646</v>
      </c>
      <c r="E11" s="233"/>
      <c r="F11" s="233">
        <f t="shared" si="0"/>
        <v>7500</v>
      </c>
      <c r="G11" s="237">
        <v>576.79999999999995</v>
      </c>
      <c r="H11" s="234">
        <f t="shared" si="1"/>
        <v>626.46999999999991</v>
      </c>
      <c r="I11" s="234">
        <f t="shared" si="2"/>
        <v>6873.53</v>
      </c>
      <c r="J11" s="235"/>
    </row>
    <row r="12" spans="1:10" s="223" customFormat="1" ht="12.75" customHeight="1" x14ac:dyDescent="0.2">
      <c r="A12" s="70" t="s">
        <v>744</v>
      </c>
      <c r="B12" s="50">
        <v>46118</v>
      </c>
      <c r="C12" s="53" t="s">
        <v>261</v>
      </c>
      <c r="D12" s="144" t="s">
        <v>745</v>
      </c>
      <c r="E12" s="233"/>
      <c r="F12" s="233">
        <f t="shared" si="0"/>
        <v>7500</v>
      </c>
      <c r="G12" s="237">
        <v>31.45</v>
      </c>
      <c r="H12" s="234">
        <f t="shared" si="1"/>
        <v>657.92</v>
      </c>
      <c r="I12" s="234">
        <f t="shared" si="2"/>
        <v>6842.08</v>
      </c>
      <c r="J12" s="235"/>
    </row>
    <row r="13" spans="1:10" s="223" customFormat="1" ht="12.75" customHeight="1" x14ac:dyDescent="0.2">
      <c r="A13" s="70" t="s">
        <v>744</v>
      </c>
      <c r="B13" s="50">
        <v>46118</v>
      </c>
      <c r="C13" s="268">
        <v>9500</v>
      </c>
      <c r="D13" s="66" t="s">
        <v>746</v>
      </c>
      <c r="E13" s="233"/>
      <c r="F13" s="233">
        <f t="shared" si="0"/>
        <v>7500</v>
      </c>
      <c r="G13" s="237">
        <v>253.1</v>
      </c>
      <c r="H13" s="234">
        <f t="shared" si="1"/>
        <v>911.02</v>
      </c>
      <c r="I13" s="234">
        <f t="shared" si="2"/>
        <v>6588.98</v>
      </c>
      <c r="J13" s="235"/>
    </row>
    <row r="14" spans="1:10" s="223" customFormat="1" ht="12.75" customHeight="1" x14ac:dyDescent="0.2">
      <c r="A14" s="70" t="s">
        <v>869</v>
      </c>
      <c r="B14" s="50">
        <v>46149</v>
      </c>
      <c r="C14" s="53" t="s">
        <v>261</v>
      </c>
      <c r="D14" s="144" t="s">
        <v>870</v>
      </c>
      <c r="E14" s="233"/>
      <c r="F14" s="233">
        <f t="shared" si="0"/>
        <v>7500</v>
      </c>
      <c r="G14" s="237">
        <v>129.9</v>
      </c>
      <c r="H14" s="234">
        <f t="shared" si="1"/>
        <v>1040.92</v>
      </c>
      <c r="I14" s="234">
        <f t="shared" si="2"/>
        <v>6459.08</v>
      </c>
      <c r="J14" s="235"/>
    </row>
    <row r="15" spans="1:10" s="223" customFormat="1" ht="12.75" customHeight="1" x14ac:dyDescent="0.2">
      <c r="A15" s="70" t="s">
        <v>869</v>
      </c>
      <c r="B15" s="50">
        <v>46149</v>
      </c>
      <c r="C15" s="268">
        <v>9500</v>
      </c>
      <c r="D15" s="66" t="s">
        <v>871</v>
      </c>
      <c r="E15" s="233"/>
      <c r="F15" s="233">
        <f t="shared" si="0"/>
        <v>7500</v>
      </c>
      <c r="G15" s="237">
        <v>1355.9</v>
      </c>
      <c r="H15" s="234">
        <f t="shared" si="1"/>
        <v>2396.8200000000002</v>
      </c>
      <c r="I15" s="234">
        <f t="shared" si="2"/>
        <v>5103.18</v>
      </c>
      <c r="J15" s="235"/>
    </row>
    <row r="16" spans="1:10" s="223" customFormat="1" ht="12.75" customHeight="1" x14ac:dyDescent="0.2">
      <c r="A16" s="70" t="s">
        <v>984</v>
      </c>
      <c r="B16" s="50">
        <v>46181</v>
      </c>
      <c r="C16" s="53" t="s">
        <v>261</v>
      </c>
      <c r="D16" s="144" t="s">
        <v>985</v>
      </c>
      <c r="E16" s="233"/>
      <c r="F16" s="233">
        <f t="shared" si="0"/>
        <v>7500</v>
      </c>
      <c r="G16" s="237">
        <v>70.540000000000006</v>
      </c>
      <c r="H16" s="234">
        <f t="shared" si="1"/>
        <v>2467.36</v>
      </c>
      <c r="I16" s="234">
        <f t="shared" si="2"/>
        <v>5032.6400000000003</v>
      </c>
      <c r="J16" s="235"/>
    </row>
    <row r="17" spans="1:10" s="223" customFormat="1" ht="12.75" customHeight="1" x14ac:dyDescent="0.2">
      <c r="A17" s="70" t="s">
        <v>984</v>
      </c>
      <c r="B17" s="50">
        <v>46181</v>
      </c>
      <c r="C17" s="268">
        <v>9500</v>
      </c>
      <c r="D17" s="66" t="s">
        <v>986</v>
      </c>
      <c r="E17" s="233"/>
      <c r="F17" s="233">
        <f t="shared" si="0"/>
        <v>7500</v>
      </c>
      <c r="G17" s="237">
        <v>861.5</v>
      </c>
      <c r="H17" s="234">
        <f t="shared" si="1"/>
        <v>3328.86</v>
      </c>
      <c r="I17" s="234">
        <f t="shared" si="2"/>
        <v>4171.1400000000003</v>
      </c>
      <c r="J17" s="235"/>
    </row>
    <row r="18" spans="1:10" s="223" customFormat="1" ht="12.75" customHeight="1" x14ac:dyDescent="0.2">
      <c r="A18" s="70" t="s">
        <v>1186</v>
      </c>
      <c r="B18" s="50">
        <v>46211</v>
      </c>
      <c r="C18" s="53" t="s">
        <v>261</v>
      </c>
      <c r="D18" s="144" t="s">
        <v>1187</v>
      </c>
      <c r="E18" s="233"/>
      <c r="F18" s="233">
        <f t="shared" si="0"/>
        <v>7500</v>
      </c>
      <c r="G18" s="237">
        <v>41.13</v>
      </c>
      <c r="H18" s="234">
        <f t="shared" si="1"/>
        <v>3369.9900000000002</v>
      </c>
      <c r="I18" s="234">
        <f t="shared" si="2"/>
        <v>4130.01</v>
      </c>
      <c r="J18" s="235"/>
    </row>
    <row r="19" spans="1:10" s="223" customFormat="1" ht="12.75" customHeight="1" x14ac:dyDescent="0.2">
      <c r="A19" s="70" t="s">
        <v>1186</v>
      </c>
      <c r="B19" s="50">
        <v>46211</v>
      </c>
      <c r="C19" s="268">
        <v>9500</v>
      </c>
      <c r="D19" s="66" t="s">
        <v>1188</v>
      </c>
      <c r="E19" s="233"/>
      <c r="F19" s="233">
        <f t="shared" si="0"/>
        <v>7500</v>
      </c>
      <c r="G19" s="237">
        <v>475.9</v>
      </c>
      <c r="H19" s="234">
        <f t="shared" si="1"/>
        <v>3845.8900000000003</v>
      </c>
      <c r="I19" s="234">
        <f t="shared" si="2"/>
        <v>3654.11</v>
      </c>
      <c r="J19" s="235"/>
    </row>
    <row r="20" spans="1:10" s="223" customFormat="1" ht="12.75" customHeight="1" x14ac:dyDescent="0.2">
      <c r="A20" s="70" t="s">
        <v>1265</v>
      </c>
      <c r="B20" s="50">
        <v>46218</v>
      </c>
      <c r="C20" s="53" t="s">
        <v>261</v>
      </c>
      <c r="D20" s="144" t="s">
        <v>1266</v>
      </c>
      <c r="E20" s="233"/>
      <c r="F20" s="233">
        <f t="shared" si="0"/>
        <v>7500</v>
      </c>
      <c r="G20" s="237">
        <v>16.68</v>
      </c>
      <c r="H20" s="234">
        <f t="shared" si="1"/>
        <v>3862.57</v>
      </c>
      <c r="I20" s="234">
        <f t="shared" si="2"/>
        <v>3637.4300000000003</v>
      </c>
      <c r="J20" s="235"/>
    </row>
    <row r="21" spans="1:10" s="223" customFormat="1" ht="12.75" customHeight="1" x14ac:dyDescent="0.2">
      <c r="A21" s="70" t="s">
        <v>1436</v>
      </c>
      <c r="B21" s="365">
        <v>46241</v>
      </c>
      <c r="C21" s="53" t="s">
        <v>261</v>
      </c>
      <c r="D21" s="144" t="s">
        <v>1437</v>
      </c>
      <c r="E21" s="233"/>
      <c r="F21" s="233">
        <f t="shared" si="0"/>
        <v>7500</v>
      </c>
      <c r="G21" s="237">
        <v>64.23</v>
      </c>
      <c r="H21" s="234">
        <f t="shared" si="1"/>
        <v>3926.8</v>
      </c>
      <c r="I21" s="234">
        <f t="shared" si="2"/>
        <v>3573.2000000000003</v>
      </c>
      <c r="J21" s="235"/>
    </row>
    <row r="22" spans="1:10" s="223" customFormat="1" ht="12.75" customHeight="1" x14ac:dyDescent="0.2">
      <c r="A22" s="70" t="s">
        <v>1436</v>
      </c>
      <c r="B22" s="365">
        <v>46241</v>
      </c>
      <c r="C22" s="268">
        <v>9500</v>
      </c>
      <c r="D22" s="66" t="s">
        <v>1438</v>
      </c>
      <c r="E22" s="233"/>
      <c r="F22" s="233">
        <f t="shared" si="0"/>
        <v>7500</v>
      </c>
      <c r="G22" s="237">
        <v>710</v>
      </c>
      <c r="H22" s="234">
        <f t="shared" si="1"/>
        <v>4636.8</v>
      </c>
      <c r="I22" s="234">
        <f t="shared" si="2"/>
        <v>2863.2000000000003</v>
      </c>
      <c r="J22" s="235"/>
    </row>
    <row r="23" spans="1:10" s="223" customFormat="1" ht="12.75" customHeight="1" x14ac:dyDescent="0.2">
      <c r="A23" s="70" t="s">
        <v>1531</v>
      </c>
      <c r="B23" s="365">
        <v>46272</v>
      </c>
      <c r="C23" s="53" t="s">
        <v>261</v>
      </c>
      <c r="D23" s="144" t="s">
        <v>1532</v>
      </c>
      <c r="E23" s="233"/>
      <c r="F23" s="233">
        <f t="shared" si="0"/>
        <v>7500</v>
      </c>
      <c r="G23" s="237">
        <v>63.89</v>
      </c>
      <c r="H23" s="234">
        <f t="shared" si="1"/>
        <v>4700.6900000000005</v>
      </c>
      <c r="I23" s="234">
        <f t="shared" si="2"/>
        <v>2799.3100000000004</v>
      </c>
      <c r="J23" s="235"/>
    </row>
    <row r="24" spans="1:10" s="223" customFormat="1" ht="12.75" customHeight="1" x14ac:dyDescent="0.2">
      <c r="A24" s="70" t="s">
        <v>1531</v>
      </c>
      <c r="B24" s="365">
        <v>46272</v>
      </c>
      <c r="C24" s="268">
        <v>9500</v>
      </c>
      <c r="D24" s="66" t="s">
        <v>1533</v>
      </c>
      <c r="E24" s="233"/>
      <c r="F24" s="233">
        <f t="shared" si="0"/>
        <v>7500</v>
      </c>
      <c r="G24" s="237">
        <v>625.1</v>
      </c>
      <c r="H24" s="234">
        <f t="shared" si="1"/>
        <v>5325.7900000000009</v>
      </c>
      <c r="I24" s="234">
        <f t="shared" si="2"/>
        <v>2174.2100000000005</v>
      </c>
      <c r="J24" s="235"/>
    </row>
    <row r="25" spans="1:10" s="223" customFormat="1" ht="12.75" customHeight="1" x14ac:dyDescent="0.2">
      <c r="A25" s="70"/>
      <c r="B25" s="365"/>
      <c r="C25" s="268"/>
      <c r="D25" s="66"/>
      <c r="E25" s="233"/>
      <c r="F25" s="233">
        <f t="shared" si="0"/>
        <v>7500</v>
      </c>
      <c r="G25" s="237"/>
      <c r="H25" s="234">
        <f t="shared" si="1"/>
        <v>5325.7900000000009</v>
      </c>
      <c r="I25" s="234">
        <f t="shared" si="2"/>
        <v>2174.2100000000005</v>
      </c>
      <c r="J25" s="235"/>
    </row>
    <row r="26" spans="1:10" s="223" customFormat="1" ht="12.75" customHeight="1" x14ac:dyDescent="0.2">
      <c r="A26" s="70"/>
      <c r="B26" s="365"/>
      <c r="C26" s="268"/>
      <c r="D26" s="66"/>
      <c r="E26" s="233"/>
      <c r="F26" s="233">
        <f t="shared" si="0"/>
        <v>7500</v>
      </c>
      <c r="G26" s="237"/>
      <c r="H26" s="234">
        <f t="shared" si="1"/>
        <v>5325.7900000000009</v>
      </c>
      <c r="I26" s="234">
        <f t="shared" si="2"/>
        <v>2174.2100000000005</v>
      </c>
      <c r="J26" s="235"/>
    </row>
    <row r="27" spans="1:10" s="223" customFormat="1" ht="12.75" customHeight="1" x14ac:dyDescent="0.25">
      <c r="A27" s="241"/>
      <c r="B27" s="177"/>
      <c r="C27" s="177"/>
      <c r="D27" s="258"/>
      <c r="E27" s="233"/>
      <c r="F27" s="233">
        <f t="shared" si="0"/>
        <v>7500</v>
      </c>
      <c r="G27" s="234"/>
      <c r="H27" s="234">
        <f t="shared" si="1"/>
        <v>5325.7900000000009</v>
      </c>
      <c r="I27" s="234">
        <f t="shared" si="2"/>
        <v>2174.2100000000005</v>
      </c>
      <c r="J27" s="235"/>
    </row>
    <row r="28" spans="1:10" s="223" customFormat="1" ht="12.75" customHeight="1" x14ac:dyDescent="0.25">
      <c r="A28" s="230"/>
      <c r="B28" s="231"/>
      <c r="C28" s="231"/>
      <c r="D28" s="240"/>
      <c r="E28" s="234"/>
      <c r="F28" s="234"/>
      <c r="G28" s="234"/>
      <c r="H28" s="234"/>
      <c r="I28" s="234"/>
      <c r="J28" s="235"/>
    </row>
    <row r="29" spans="1:10" s="223" customFormat="1" ht="12.75" customHeight="1" thickBot="1" x14ac:dyDescent="0.3">
      <c r="A29" s="230"/>
      <c r="B29" s="243"/>
      <c r="C29" s="243"/>
      <c r="D29" s="244" t="s">
        <v>24</v>
      </c>
      <c r="E29" s="245">
        <f>SUM(E9:E28)</f>
        <v>7500</v>
      </c>
      <c r="F29" s="245"/>
      <c r="G29" s="245">
        <f>SUM(G9:G28)</f>
        <v>5325.7900000000009</v>
      </c>
      <c r="H29" s="245"/>
      <c r="I29" s="245">
        <f>E29-G29</f>
        <v>2174.2099999999991</v>
      </c>
      <c r="J29" s="235"/>
    </row>
    <row r="30" spans="1:10" s="223" customFormat="1" ht="12.75" customHeight="1" thickTop="1" x14ac:dyDescent="0.25"/>
    <row r="31" spans="1:10" s="223" customFormat="1" ht="12.75" customHeight="1" x14ac:dyDescent="0.25"/>
  </sheetData>
  <pageMargins left="0.25" right="0.25" top="0.95" bottom="0.75" header="0.09" footer="0.3"/>
  <pageSetup scale="6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7DC9A-CC41-4753-A4B7-6717B22E629B}">
  <sheetPr>
    <pageSetUpPr fitToPage="1"/>
  </sheetPr>
  <dimension ref="A1:H23"/>
  <sheetViews>
    <sheetView zoomScaleNormal="100" workbookViewId="0">
      <selection activeCell="G9" sqref="G9"/>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25.5703125" customWidth="1"/>
    <col min="6" max="6" width="11.28515625"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#9530.00'!B1</f>
        <v>DOC FDCF Unit L Pre-Cast Sealant &amp; Warehouse W Freezer Floor Repair</v>
      </c>
      <c r="B1" s="3"/>
      <c r="C1" s="3"/>
      <c r="D1" s="3"/>
      <c r="E1" s="4"/>
      <c r="F1" s="4"/>
      <c r="G1" s="4"/>
      <c r="H1" s="28"/>
    </row>
    <row r="2" spans="1:8" ht="15.75" x14ac:dyDescent="0.25">
      <c r="A2" s="6" t="str">
        <f>'RECAP #9530.00'!B2</f>
        <v>Project # 9530.00</v>
      </c>
      <c r="B2" s="5"/>
      <c r="C2" s="5"/>
      <c r="D2" s="5"/>
      <c r="E2" s="4"/>
      <c r="F2" s="4"/>
      <c r="G2" s="4"/>
      <c r="H2" s="28"/>
    </row>
    <row r="3" spans="1:8" ht="15.75" x14ac:dyDescent="0.25">
      <c r="A3" s="7" t="str">
        <f>'RECAP #9530.00'!B3</f>
        <v>Program code 953000</v>
      </c>
      <c r="B3" s="5"/>
      <c r="C3" s="5"/>
      <c r="D3" s="5"/>
      <c r="E3" s="8" t="str">
        <f>'RECAP #9530.00'!E3</f>
        <v>Major Program 4E01</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308</v>
      </c>
      <c r="F6" s="35"/>
      <c r="G6" s="38"/>
      <c r="H6" s="39"/>
    </row>
    <row r="7" spans="1:8" ht="15.75" x14ac:dyDescent="0.25">
      <c r="A7" s="11" t="str">
        <f>'RECAP #9530.00'!B6</f>
        <v>Project Manager - Jennie E</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
      <c r="A9" s="239" t="s">
        <v>1460</v>
      </c>
      <c r="B9" s="177">
        <v>46253</v>
      </c>
      <c r="C9" s="241" t="s">
        <v>361</v>
      </c>
      <c r="D9" s="241" t="s">
        <v>362</v>
      </c>
      <c r="E9" s="70" t="s">
        <v>652</v>
      </c>
      <c r="F9" s="259" t="s">
        <v>1461</v>
      </c>
      <c r="G9" s="237">
        <v>1422</v>
      </c>
      <c r="H9" s="260">
        <f>G9</f>
        <v>1422</v>
      </c>
    </row>
    <row r="10" spans="1:8" s="223" customFormat="1" ht="12.75" customHeight="1" x14ac:dyDescent="0.25">
      <c r="A10" s="241"/>
      <c r="B10" s="177"/>
      <c r="C10" s="240"/>
      <c r="D10" s="240"/>
      <c r="E10" s="258"/>
      <c r="F10" s="252"/>
      <c r="G10" s="260"/>
      <c r="H10" s="260">
        <f>H9+G10</f>
        <v>1422</v>
      </c>
    </row>
    <row r="11" spans="1:8" s="223" customFormat="1" ht="12.75" customHeight="1" x14ac:dyDescent="0.25">
      <c r="A11" s="241"/>
      <c r="B11" s="177"/>
      <c r="C11" s="177"/>
      <c r="D11" s="177"/>
      <c r="E11" s="258"/>
      <c r="F11" s="252"/>
      <c r="G11" s="260"/>
      <c r="H11" s="260">
        <f t="shared" ref="H11:H20" si="0">H10+G11</f>
        <v>1422</v>
      </c>
    </row>
    <row r="12" spans="1:8" s="223" customFormat="1" ht="12.75" customHeight="1" x14ac:dyDescent="0.25">
      <c r="A12" s="241" t="s">
        <v>2</v>
      </c>
      <c r="B12" s="177" t="s">
        <v>2</v>
      </c>
      <c r="C12" s="177"/>
      <c r="D12" s="177"/>
      <c r="E12" s="258" t="s">
        <v>2</v>
      </c>
      <c r="F12" s="252"/>
      <c r="G12" s="260"/>
      <c r="H12" s="260">
        <f t="shared" si="0"/>
        <v>1422</v>
      </c>
    </row>
    <row r="13" spans="1:8" s="223" customFormat="1" ht="12.75" customHeight="1" x14ac:dyDescent="0.25">
      <c r="A13" s="241" t="s">
        <v>2</v>
      </c>
      <c r="B13" s="177" t="s">
        <v>2</v>
      </c>
      <c r="C13" s="177"/>
      <c r="D13" s="177"/>
      <c r="E13" s="258" t="s">
        <v>2</v>
      </c>
      <c r="F13" s="252"/>
      <c r="G13" s="260"/>
      <c r="H13" s="260">
        <f t="shared" si="0"/>
        <v>1422</v>
      </c>
    </row>
    <row r="14" spans="1:8" s="223" customFormat="1" ht="12.75" customHeight="1" x14ac:dyDescent="0.25">
      <c r="A14" s="241"/>
      <c r="B14" s="177"/>
      <c r="C14" s="177"/>
      <c r="D14" s="177"/>
      <c r="E14" s="258"/>
      <c r="F14" s="252"/>
      <c r="G14" s="260"/>
      <c r="H14" s="260">
        <f t="shared" si="0"/>
        <v>1422</v>
      </c>
    </row>
    <row r="15" spans="1:8" s="223" customFormat="1" ht="12.75" customHeight="1" x14ac:dyDescent="0.25">
      <c r="A15" s="241"/>
      <c r="B15" s="177"/>
      <c r="C15" s="177"/>
      <c r="D15" s="177"/>
      <c r="E15" s="261"/>
      <c r="F15" s="252"/>
      <c r="G15" s="260"/>
      <c r="H15" s="260">
        <f t="shared" si="0"/>
        <v>1422</v>
      </c>
    </row>
    <row r="16" spans="1:8" s="223" customFormat="1" ht="12.75" customHeight="1" x14ac:dyDescent="0.25">
      <c r="A16" s="241"/>
      <c r="B16" s="177"/>
      <c r="C16" s="177"/>
      <c r="D16" s="177"/>
      <c r="E16" s="258"/>
      <c r="F16" s="252"/>
      <c r="G16" s="260"/>
      <c r="H16" s="260">
        <f t="shared" si="0"/>
        <v>1422</v>
      </c>
    </row>
    <row r="17" spans="1:8" s="223" customFormat="1" ht="12.75" customHeight="1" x14ac:dyDescent="0.25">
      <c r="A17" s="230"/>
      <c r="B17" s="177"/>
      <c r="C17" s="177"/>
      <c r="D17" s="177"/>
      <c r="E17" s="258"/>
      <c r="F17" s="252"/>
      <c r="G17" s="260"/>
      <c r="H17" s="260">
        <f t="shared" si="0"/>
        <v>1422</v>
      </c>
    </row>
    <row r="18" spans="1:8" s="223" customFormat="1" ht="12.75" customHeight="1" x14ac:dyDescent="0.25">
      <c r="A18" s="230"/>
      <c r="B18" s="177"/>
      <c r="C18" s="177"/>
      <c r="D18" s="177"/>
      <c r="E18" s="258"/>
      <c r="F18" s="252"/>
      <c r="G18" s="260"/>
      <c r="H18" s="260">
        <f t="shared" si="0"/>
        <v>1422</v>
      </c>
    </row>
    <row r="19" spans="1:8" s="223" customFormat="1" ht="12.75" customHeight="1" x14ac:dyDescent="0.25">
      <c r="A19" s="230"/>
      <c r="B19" s="177"/>
      <c r="C19" s="177"/>
      <c r="D19" s="177"/>
      <c r="E19" s="258"/>
      <c r="F19" s="252"/>
      <c r="G19" s="260"/>
      <c r="H19" s="260">
        <f t="shared" si="0"/>
        <v>1422</v>
      </c>
    </row>
    <row r="20" spans="1:8" s="223" customFormat="1" ht="12.75" customHeight="1" x14ac:dyDescent="0.25">
      <c r="A20" s="230"/>
      <c r="B20" s="177"/>
      <c r="C20" s="177"/>
      <c r="D20" s="177"/>
      <c r="E20" s="258"/>
      <c r="F20" s="252"/>
      <c r="G20" s="260"/>
      <c r="H20" s="260">
        <f t="shared" si="0"/>
        <v>1422</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1422</v>
      </c>
      <c r="H22" s="265"/>
    </row>
    <row r="23" spans="1:8" ht="15" customHeight="1" thickTop="1" x14ac:dyDescent="0.25"/>
  </sheetData>
  <pageMargins left="0.25" right="0.25" top="0.95" bottom="0.75" header="0.09" footer="0.3"/>
  <pageSetup scale="85"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44DF3-EC80-4036-8A56-AF6035A69F2B}">
  <sheetPr>
    <pageSetUpPr fitToPage="1"/>
  </sheetPr>
  <dimension ref="A1:I30"/>
  <sheetViews>
    <sheetView topLeftCell="A6" zoomScaleNormal="100" workbookViewId="0">
      <selection activeCell="L27" sqref="L2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85546875" customWidth="1"/>
    <col min="9" max="9" width="5.285156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#9530.00'!B1</f>
        <v>DOC FDCF Unit L Pre-Cast Sealant &amp; Warehouse W Freezer Floor Repair</v>
      </c>
      <c r="B1" s="3"/>
      <c r="C1" s="4"/>
      <c r="D1" s="4"/>
      <c r="E1" s="4"/>
      <c r="F1" s="28"/>
      <c r="G1" s="28"/>
      <c r="H1" s="29"/>
      <c r="I1" s="29"/>
    </row>
    <row r="2" spans="1:9" ht="15.75" x14ac:dyDescent="0.25">
      <c r="A2" s="6" t="str">
        <f>'RECAP #9530.00'!B2</f>
        <v>Project # 9530.00</v>
      </c>
      <c r="B2" s="5"/>
      <c r="C2" s="4"/>
      <c r="D2" s="4"/>
      <c r="E2" s="4"/>
      <c r="F2" s="28"/>
      <c r="G2" s="28"/>
      <c r="H2" s="29"/>
      <c r="I2" s="29"/>
    </row>
    <row r="3" spans="1:9" ht="15.75" x14ac:dyDescent="0.25">
      <c r="A3" s="7" t="str">
        <f>'RECAP #9530.00'!B3</f>
        <v>Program code 953000</v>
      </c>
      <c r="B3" s="5"/>
      <c r="C3" s="4"/>
      <c r="D3" s="8" t="str">
        <f>'RECAP #9530.00'!E3</f>
        <v>Major Program 4E01</v>
      </c>
      <c r="E3" s="4"/>
      <c r="F3" s="28"/>
      <c r="G3" s="28"/>
      <c r="H3" s="29"/>
      <c r="I3" s="29"/>
    </row>
    <row r="4" spans="1:9" ht="15.75" x14ac:dyDescent="0.25">
      <c r="A4" s="30" t="s">
        <v>955</v>
      </c>
      <c r="B4" s="31"/>
      <c r="C4" s="32"/>
      <c r="D4" s="33" t="s">
        <v>737</v>
      </c>
      <c r="E4" s="28"/>
      <c r="F4" s="28"/>
      <c r="G4" s="28"/>
      <c r="H4" s="29"/>
      <c r="I4" s="29"/>
    </row>
    <row r="5" spans="1:9" ht="15.75" x14ac:dyDescent="0.25">
      <c r="A5" s="34" t="s">
        <v>115</v>
      </c>
      <c r="B5" s="35"/>
      <c r="C5" s="36"/>
      <c r="D5" s="37" t="s">
        <v>956</v>
      </c>
      <c r="E5" s="38"/>
      <c r="F5" s="39"/>
      <c r="G5" s="39"/>
      <c r="H5" s="35"/>
      <c r="I5" s="29"/>
    </row>
    <row r="6" spans="1:9" ht="15.75" x14ac:dyDescent="0.25">
      <c r="A6" s="11" t="str">
        <f>'RECAP #9530.00'!B6</f>
        <v>Project Manager - Jennie E</v>
      </c>
      <c r="B6" s="11"/>
      <c r="C6" s="40"/>
      <c r="D6" s="41" t="s">
        <v>118</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t="s">
        <v>957</v>
      </c>
      <c r="B9" s="177">
        <v>46170</v>
      </c>
      <c r="C9" s="231" t="s">
        <v>109</v>
      </c>
      <c r="D9" s="232">
        <v>28654</v>
      </c>
      <c r="E9" s="233">
        <f>D9</f>
        <v>28654</v>
      </c>
      <c r="F9" s="234"/>
      <c r="G9" s="234"/>
      <c r="H9" s="234">
        <f>E9</f>
        <v>28654</v>
      </c>
      <c r="I9" s="235"/>
    </row>
    <row r="10" spans="1:9" s="223" customFormat="1" ht="12.75" customHeight="1" x14ac:dyDescent="0.25">
      <c r="A10" s="328" t="s">
        <v>1189</v>
      </c>
      <c r="B10" s="335">
        <v>46212</v>
      </c>
      <c r="C10" s="330" t="s">
        <v>1190</v>
      </c>
      <c r="D10" s="331"/>
      <c r="E10" s="331">
        <f t="shared" ref="E10:E21" si="0">E9+D10</f>
        <v>28654</v>
      </c>
      <c r="F10" s="338">
        <v>4217.5</v>
      </c>
      <c r="G10" s="332">
        <f t="shared" ref="G10:G21" si="1">G9+F10</f>
        <v>4217.5</v>
      </c>
      <c r="H10" s="332">
        <f t="shared" ref="H10:H21" si="2">H9-F10+D10</f>
        <v>24436.5</v>
      </c>
      <c r="I10" s="333" t="s">
        <v>1285</v>
      </c>
    </row>
    <row r="11" spans="1:9" s="223" customFormat="1" ht="12.75" customHeight="1" x14ac:dyDescent="0.25">
      <c r="A11" s="230" t="s">
        <v>1337</v>
      </c>
      <c r="B11" s="177">
        <v>46225</v>
      </c>
      <c r="C11" s="231" t="s">
        <v>1286</v>
      </c>
      <c r="D11" s="232">
        <v>0</v>
      </c>
      <c r="E11" s="233">
        <f t="shared" si="0"/>
        <v>28654</v>
      </c>
      <c r="F11" s="238"/>
      <c r="G11" s="234">
        <f t="shared" si="1"/>
        <v>4217.5</v>
      </c>
      <c r="H11" s="234">
        <f t="shared" si="2"/>
        <v>24436.5</v>
      </c>
      <c r="I11" s="235"/>
    </row>
    <row r="12" spans="1:9" s="223" customFormat="1" ht="12.75" customHeight="1" x14ac:dyDescent="0.25">
      <c r="A12" s="230" t="s">
        <v>1462</v>
      </c>
      <c r="B12" s="177">
        <v>46253</v>
      </c>
      <c r="C12" s="231" t="s">
        <v>1463</v>
      </c>
      <c r="D12" s="233"/>
      <c r="E12" s="233">
        <f t="shared" si="0"/>
        <v>28654</v>
      </c>
      <c r="F12" s="237">
        <v>9278.5</v>
      </c>
      <c r="G12" s="234">
        <f t="shared" si="1"/>
        <v>13496</v>
      </c>
      <c r="H12" s="234">
        <f t="shared" si="2"/>
        <v>15158</v>
      </c>
      <c r="I12" s="235"/>
    </row>
    <row r="13" spans="1:9" s="223" customFormat="1" ht="12.75" customHeight="1" x14ac:dyDescent="0.25">
      <c r="A13" s="230" t="s">
        <v>1529</v>
      </c>
      <c r="B13" s="177">
        <v>46274</v>
      </c>
      <c r="C13" s="231" t="s">
        <v>1530</v>
      </c>
      <c r="D13" s="233"/>
      <c r="E13" s="233">
        <f t="shared" si="0"/>
        <v>28654</v>
      </c>
      <c r="F13" s="237">
        <v>3595.7</v>
      </c>
      <c r="G13" s="234">
        <f t="shared" si="1"/>
        <v>17091.7</v>
      </c>
      <c r="H13" s="234">
        <f t="shared" si="2"/>
        <v>11562.3</v>
      </c>
      <c r="I13" s="235"/>
    </row>
    <row r="14" spans="1:9" s="223" customFormat="1" ht="12.75" customHeight="1" x14ac:dyDescent="0.25">
      <c r="A14" s="230"/>
      <c r="B14" s="177"/>
      <c r="C14" s="231"/>
      <c r="D14" s="233"/>
      <c r="E14" s="233">
        <f t="shared" si="0"/>
        <v>28654</v>
      </c>
      <c r="F14" s="234"/>
      <c r="G14" s="234">
        <f t="shared" si="1"/>
        <v>17091.7</v>
      </c>
      <c r="H14" s="234">
        <f t="shared" si="2"/>
        <v>11562.3</v>
      </c>
      <c r="I14" s="235"/>
    </row>
    <row r="15" spans="1:9" s="223" customFormat="1" ht="12.75" customHeight="1" x14ac:dyDescent="0.25">
      <c r="A15" s="230"/>
      <c r="B15" s="177"/>
      <c r="C15" s="231"/>
      <c r="D15" s="233"/>
      <c r="E15" s="233">
        <f t="shared" si="0"/>
        <v>28654</v>
      </c>
      <c r="F15" s="238"/>
      <c r="G15" s="234">
        <f t="shared" si="1"/>
        <v>17091.7</v>
      </c>
      <c r="H15" s="234">
        <f t="shared" si="2"/>
        <v>11562.3</v>
      </c>
      <c r="I15" s="235"/>
    </row>
    <row r="16" spans="1:9" s="223" customFormat="1" ht="12.75" customHeight="1" x14ac:dyDescent="0.25">
      <c r="A16" s="230"/>
      <c r="B16" s="177"/>
      <c r="C16" s="231"/>
      <c r="D16" s="233"/>
      <c r="E16" s="233">
        <f t="shared" si="0"/>
        <v>28654</v>
      </c>
      <c r="F16" s="238"/>
      <c r="G16" s="234">
        <f t="shared" si="1"/>
        <v>17091.7</v>
      </c>
      <c r="H16" s="234">
        <f t="shared" si="2"/>
        <v>11562.3</v>
      </c>
      <c r="I16" s="235"/>
    </row>
    <row r="17" spans="1:9" s="223" customFormat="1" ht="12.75" customHeight="1" x14ac:dyDescent="0.25">
      <c r="A17" s="230"/>
      <c r="B17" s="177"/>
      <c r="C17" s="231"/>
      <c r="D17" s="233"/>
      <c r="E17" s="233">
        <f t="shared" si="0"/>
        <v>28654</v>
      </c>
      <c r="F17" s="238"/>
      <c r="G17" s="234">
        <f t="shared" si="1"/>
        <v>17091.7</v>
      </c>
      <c r="H17" s="234">
        <f t="shared" si="2"/>
        <v>11562.3</v>
      </c>
      <c r="I17" s="235"/>
    </row>
    <row r="18" spans="1:9" s="223" customFormat="1" ht="12.75" customHeight="1" x14ac:dyDescent="0.25">
      <c r="A18" s="230"/>
      <c r="B18" s="177"/>
      <c r="C18" s="231"/>
      <c r="D18" s="233"/>
      <c r="E18" s="233">
        <f t="shared" si="0"/>
        <v>28654</v>
      </c>
      <c r="F18" s="238"/>
      <c r="G18" s="234">
        <f t="shared" si="1"/>
        <v>17091.7</v>
      </c>
      <c r="H18" s="234">
        <f t="shared" si="2"/>
        <v>11562.3</v>
      </c>
      <c r="I18" s="235"/>
    </row>
    <row r="19" spans="1:9" s="223" customFormat="1" ht="12.75" customHeight="1" x14ac:dyDescent="0.25">
      <c r="A19" s="230"/>
      <c r="B19" s="177"/>
      <c r="C19" s="231"/>
      <c r="D19" s="233"/>
      <c r="E19" s="233">
        <f t="shared" si="0"/>
        <v>28654</v>
      </c>
      <c r="F19" s="234"/>
      <c r="G19" s="234">
        <f t="shared" si="1"/>
        <v>17091.7</v>
      </c>
      <c r="H19" s="234">
        <f t="shared" si="2"/>
        <v>11562.3</v>
      </c>
      <c r="I19" s="235"/>
    </row>
    <row r="20" spans="1:9" s="223" customFormat="1" ht="12.75" customHeight="1" x14ac:dyDescent="0.25">
      <c r="A20" s="230"/>
      <c r="B20" s="177"/>
      <c r="C20" s="231"/>
      <c r="D20" s="233"/>
      <c r="E20" s="233">
        <f t="shared" si="0"/>
        <v>28654</v>
      </c>
      <c r="F20" s="234"/>
      <c r="G20" s="234">
        <f t="shared" si="1"/>
        <v>17091.7</v>
      </c>
      <c r="H20" s="234">
        <f t="shared" si="2"/>
        <v>11562.3</v>
      </c>
      <c r="I20" s="235"/>
    </row>
    <row r="21" spans="1:9" s="223" customFormat="1" ht="12.75" customHeight="1" x14ac:dyDescent="0.25">
      <c r="A21" s="230"/>
      <c r="B21" s="177"/>
      <c r="C21" s="239"/>
      <c r="D21" s="233"/>
      <c r="E21" s="233">
        <f t="shared" si="0"/>
        <v>28654</v>
      </c>
      <c r="F21" s="234"/>
      <c r="G21" s="234">
        <f t="shared" si="1"/>
        <v>17091.7</v>
      </c>
      <c r="H21" s="234">
        <f t="shared" si="2"/>
        <v>11562.3</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28654</v>
      </c>
      <c r="E23" s="245"/>
      <c r="F23" s="245">
        <f>SUM(F9:F22)</f>
        <v>17091.7</v>
      </c>
      <c r="G23" s="245"/>
      <c r="H23" s="245">
        <f>D23-F23</f>
        <v>11562.3</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121</v>
      </c>
      <c r="D26" s="254">
        <v>16870</v>
      </c>
      <c r="E26" s="254"/>
      <c r="F26" s="254">
        <f>4217.5+9278.5+3374</f>
        <v>16870</v>
      </c>
      <c r="G26" s="254"/>
      <c r="H26" s="254">
        <f>D26-F26</f>
        <v>0</v>
      </c>
      <c r="I26" s="235"/>
    </row>
    <row r="27" spans="1:9" s="223" customFormat="1" ht="12.75" customHeight="1" x14ac:dyDescent="0.25">
      <c r="A27" s="230"/>
      <c r="B27" s="231"/>
      <c r="C27" s="253" t="s">
        <v>400</v>
      </c>
      <c r="D27" s="254">
        <v>2217</v>
      </c>
      <c r="E27" s="254"/>
      <c r="F27" s="254">
        <f>221.7</f>
        <v>221.7</v>
      </c>
      <c r="G27" s="254"/>
      <c r="H27" s="254">
        <f>D27-F27</f>
        <v>1995.3</v>
      </c>
      <c r="I27" s="235"/>
    </row>
    <row r="28" spans="1:9" s="223" customFormat="1" ht="12.75" customHeight="1" x14ac:dyDescent="0.25">
      <c r="A28" s="230"/>
      <c r="B28" s="231"/>
      <c r="C28" s="253" t="s">
        <v>122</v>
      </c>
      <c r="D28" s="254">
        <v>9567</v>
      </c>
      <c r="E28" s="254"/>
      <c r="F28" s="254"/>
      <c r="G28" s="254"/>
      <c r="H28" s="254">
        <f>D28-F28</f>
        <v>9567</v>
      </c>
      <c r="I28" s="235"/>
    </row>
    <row r="29" spans="1:9" s="223" customFormat="1" ht="12.75" customHeight="1" thickBot="1" x14ac:dyDescent="0.3">
      <c r="A29" s="230"/>
      <c r="B29" s="231"/>
      <c r="C29" s="255" t="s">
        <v>67</v>
      </c>
      <c r="D29" s="256">
        <f>SUM(D26:D28)</f>
        <v>28654</v>
      </c>
      <c r="E29" s="257"/>
      <c r="F29" s="256">
        <f>SUM(F26:F28)</f>
        <v>17091.7</v>
      </c>
      <c r="G29" s="257"/>
      <c r="H29" s="256">
        <f>SUM(H26:H28)</f>
        <v>11562.3</v>
      </c>
      <c r="I29" s="235"/>
    </row>
    <row r="30" spans="1:9" s="223" customFormat="1" ht="12.75" customHeight="1" thickTop="1" x14ac:dyDescent="0.25"/>
  </sheetData>
  <conditionalFormatting sqref="I8:I9 I11:I23">
    <cfRule type="cellIs" dxfId="1" priority="1" operator="greaterThan">
      <formula>$H$23</formula>
    </cfRule>
  </conditionalFormatting>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8F197-273E-489B-B992-24C776CEDD97}">
  <sheetPr>
    <tabColor rgb="FF0070C0"/>
    <pageSetUpPr fitToPage="1"/>
  </sheetPr>
  <dimension ref="A1:G15"/>
  <sheetViews>
    <sheetView zoomScaleNormal="100" workbookViewId="0">
      <selection activeCell="E21" sqref="E21"/>
    </sheetView>
  </sheetViews>
  <sheetFormatPr defaultColWidth="11.42578125" defaultRowHeight="15" customHeight="1" x14ac:dyDescent="0.25"/>
  <cols>
    <col min="1" max="1" width="3.5703125" customWidth="1"/>
    <col min="2" max="2" width="25" customWidth="1"/>
    <col min="3" max="3" width="17.42578125" customWidth="1"/>
    <col min="4" max="4" width="17" customWidth="1"/>
    <col min="5" max="5" width="13.42578125" bestFit="1" customWidth="1"/>
    <col min="6" max="6" width="16.42578125" customWidth="1"/>
    <col min="7" max="7" width="16.42578125" bestFit="1" customWidth="1"/>
    <col min="257" max="263" width="11.42578125" customWidth="1"/>
    <col min="513" max="519" width="11.42578125" customWidth="1"/>
    <col min="769" max="775" width="11.42578125" customWidth="1"/>
    <col min="1025" max="1031" width="11.42578125" customWidth="1"/>
    <col min="1281" max="1287" width="11.42578125" customWidth="1"/>
    <col min="1537" max="1543" width="11.42578125" customWidth="1"/>
    <col min="1793" max="1799" width="11.42578125" customWidth="1"/>
    <col min="2049" max="2055" width="11.42578125" customWidth="1"/>
    <col min="2305" max="2311" width="11.42578125" customWidth="1"/>
    <col min="2561" max="2567" width="11.42578125" customWidth="1"/>
    <col min="2817" max="2823" width="11.42578125" customWidth="1"/>
    <col min="3073" max="3079" width="11.42578125" customWidth="1"/>
    <col min="3329" max="3335" width="11.42578125" customWidth="1"/>
    <col min="3585" max="3591" width="11.42578125" customWidth="1"/>
    <col min="3841" max="3847" width="11.42578125" customWidth="1"/>
    <col min="4097" max="4103" width="11.42578125" customWidth="1"/>
    <col min="4353" max="4359" width="11.42578125" customWidth="1"/>
    <col min="4609" max="4615" width="11.42578125" customWidth="1"/>
    <col min="4865" max="4871" width="11.42578125" customWidth="1"/>
    <col min="5121" max="5127" width="11.42578125" customWidth="1"/>
    <col min="5377" max="5383" width="11.42578125" customWidth="1"/>
    <col min="5633" max="5639" width="11.42578125" customWidth="1"/>
    <col min="5889" max="5895" width="11.42578125" customWidth="1"/>
    <col min="6145" max="6151" width="11.42578125" customWidth="1"/>
    <col min="6401" max="6407" width="11.42578125" customWidth="1"/>
    <col min="6657" max="6663" width="11.42578125" customWidth="1"/>
    <col min="6913" max="6919" width="11.42578125" customWidth="1"/>
    <col min="7169" max="7175" width="11.42578125" customWidth="1"/>
    <col min="7425" max="7431" width="11.42578125" customWidth="1"/>
    <col min="7681" max="7687" width="11.42578125" customWidth="1"/>
    <col min="7937" max="7943" width="11.42578125" customWidth="1"/>
    <col min="8193" max="8199" width="11.42578125" customWidth="1"/>
    <col min="8449" max="8455" width="11.42578125" customWidth="1"/>
    <col min="8705" max="8711" width="11.42578125" customWidth="1"/>
    <col min="8961" max="8967" width="11.42578125" customWidth="1"/>
    <col min="9217" max="9223" width="11.42578125" customWidth="1"/>
    <col min="9473" max="9479" width="11.42578125" customWidth="1"/>
    <col min="9729" max="9735" width="11.42578125" customWidth="1"/>
    <col min="9985" max="9991" width="11.42578125" customWidth="1"/>
    <col min="10241" max="10247" width="11.42578125" customWidth="1"/>
    <col min="10497" max="10503" width="11.42578125" customWidth="1"/>
    <col min="10753" max="10759" width="11.42578125" customWidth="1"/>
    <col min="11009" max="11015" width="11.42578125" customWidth="1"/>
    <col min="11265" max="11271" width="11.42578125" customWidth="1"/>
    <col min="11521" max="11527" width="11.42578125" customWidth="1"/>
    <col min="11777" max="11783" width="11.42578125" customWidth="1"/>
    <col min="12033" max="12039" width="11.42578125" customWidth="1"/>
    <col min="12289" max="12295" width="11.42578125" customWidth="1"/>
    <col min="12545" max="12551" width="11.42578125" customWidth="1"/>
    <col min="12801" max="12807" width="11.42578125" customWidth="1"/>
    <col min="13057" max="13063" width="11.42578125" customWidth="1"/>
    <col min="13313" max="13319" width="11.42578125" customWidth="1"/>
    <col min="13569" max="13575" width="11.42578125" customWidth="1"/>
    <col min="13825" max="13831" width="11.42578125" customWidth="1"/>
    <col min="14081" max="14087" width="11.42578125" customWidth="1"/>
    <col min="14337" max="14343" width="11.42578125" customWidth="1"/>
    <col min="14593" max="14599" width="11.42578125" customWidth="1"/>
    <col min="14849" max="14855" width="11.42578125" customWidth="1"/>
    <col min="15105" max="15111" width="11.42578125" customWidth="1"/>
    <col min="15361" max="15367" width="11.42578125" customWidth="1"/>
    <col min="15617" max="15623" width="11.42578125" customWidth="1"/>
    <col min="15873" max="15879" width="11.42578125" customWidth="1"/>
    <col min="16129" max="16135" width="11.42578125" customWidth="1"/>
  </cols>
  <sheetData>
    <row r="1" spans="1:7" ht="24.75" customHeight="1" x14ac:dyDescent="0.25">
      <c r="A1" s="1"/>
      <c r="B1" s="2" t="s">
        <v>347</v>
      </c>
      <c r="C1" s="3"/>
      <c r="D1" s="4"/>
      <c r="E1" s="4"/>
      <c r="F1" s="4"/>
      <c r="G1" s="4"/>
    </row>
    <row r="2" spans="1:7" ht="15.75" x14ac:dyDescent="0.25">
      <c r="A2" s="1"/>
      <c r="B2" s="6" t="s">
        <v>268</v>
      </c>
      <c r="C2" s="5"/>
      <c r="D2" s="4"/>
      <c r="E2" s="4"/>
      <c r="F2" s="4"/>
      <c r="G2" s="4"/>
    </row>
    <row r="3" spans="1:7" ht="15.75" x14ac:dyDescent="0.25">
      <c r="A3" s="1"/>
      <c r="B3" s="7" t="s">
        <v>269</v>
      </c>
      <c r="C3" s="5"/>
      <c r="D3" s="4"/>
      <c r="E3" s="8" t="s">
        <v>271</v>
      </c>
      <c r="F3" s="4"/>
      <c r="G3" s="4"/>
    </row>
    <row r="4" spans="1:7" ht="15.75" x14ac:dyDescent="0.25">
      <c r="A4" s="1"/>
      <c r="B4" s="9" t="s">
        <v>1</v>
      </c>
      <c r="C4" s="10" t="s">
        <v>2</v>
      </c>
      <c r="D4" s="4"/>
      <c r="E4" s="4"/>
      <c r="F4" s="4"/>
      <c r="G4" s="4"/>
    </row>
    <row r="5" spans="1:7" ht="15.75" x14ac:dyDescent="0.25">
      <c r="A5" s="1"/>
      <c r="B5" s="11" t="s">
        <v>64</v>
      </c>
      <c r="C5" s="5"/>
      <c r="D5" s="4"/>
      <c r="E5" s="13" t="s">
        <v>1280</v>
      </c>
      <c r="F5" s="327"/>
      <c r="G5" s="4"/>
    </row>
    <row r="6" spans="1:7" ht="15.75" x14ac:dyDescent="0.25">
      <c r="A6" s="1"/>
      <c r="B6" s="11" t="s">
        <v>270</v>
      </c>
      <c r="C6" s="12"/>
      <c r="D6" s="13" t="s">
        <v>2</v>
      </c>
      <c r="E6" s="4"/>
      <c r="F6" s="4"/>
      <c r="G6" s="4"/>
    </row>
    <row r="7" spans="1:7" ht="39" customHeight="1" thickBot="1" x14ac:dyDescent="0.3">
      <c r="A7" s="1"/>
      <c r="B7" s="14" t="s">
        <v>2</v>
      </c>
      <c r="C7" s="15" t="s">
        <v>3</v>
      </c>
      <c r="D7" s="16" t="s">
        <v>4</v>
      </c>
      <c r="E7" s="17" t="s">
        <v>5</v>
      </c>
      <c r="F7" s="18" t="s">
        <v>6</v>
      </c>
      <c r="G7" s="18" t="s">
        <v>7</v>
      </c>
    </row>
    <row r="8" spans="1:7" ht="28.35" customHeight="1" x14ac:dyDescent="0.25">
      <c r="A8" s="1"/>
      <c r="B8" s="1" t="s">
        <v>8</v>
      </c>
      <c r="C8" s="19"/>
      <c r="D8" s="20"/>
      <c r="E8" s="20"/>
      <c r="F8" s="20"/>
      <c r="G8" s="21"/>
    </row>
    <row r="9" spans="1:7" s="223" customFormat="1" ht="12.75" customHeight="1" x14ac:dyDescent="0.25">
      <c r="A9" s="246"/>
      <c r="B9" s="247"/>
      <c r="C9" s="267"/>
      <c r="D9" s="249"/>
      <c r="E9" s="249"/>
      <c r="F9" s="249"/>
      <c r="G9" s="250"/>
    </row>
    <row r="10" spans="1:7" s="223" customFormat="1" ht="12.75" customHeight="1" x14ac:dyDescent="0.25">
      <c r="A10" s="246"/>
      <c r="B10" s="247" t="s">
        <v>9</v>
      </c>
      <c r="C10" s="248"/>
      <c r="D10" s="251">
        <f>'#XXXX.XX Vendor A'!D23</f>
        <v>0</v>
      </c>
      <c r="E10" s="251">
        <f>'#XXXX.XX Vendor A'!F23</f>
        <v>0</v>
      </c>
      <c r="F10" s="251">
        <f>'#XXXX.XX Vendor A'!H23</f>
        <v>0</v>
      </c>
      <c r="G10" s="250"/>
    </row>
    <row r="11" spans="1:7" s="223" customFormat="1" ht="12.75" customHeight="1" x14ac:dyDescent="0.25">
      <c r="A11" s="246"/>
      <c r="B11" s="247" t="s">
        <v>10</v>
      </c>
      <c r="C11" s="248"/>
      <c r="D11" s="251">
        <f>'#XXXX.XX PM TIME'!E23</f>
        <v>0</v>
      </c>
      <c r="E11" s="251">
        <f>'#XXXX.XX PM TIME'!G23</f>
        <v>0</v>
      </c>
      <c r="F11" s="251">
        <f>'#XXXX.XX PM TIME'!I23</f>
        <v>0</v>
      </c>
      <c r="G11" s="250"/>
    </row>
    <row r="12" spans="1:7" s="223" customFormat="1" ht="12.75" customHeight="1" x14ac:dyDescent="0.25">
      <c r="A12" s="246"/>
      <c r="B12" s="247" t="s">
        <v>11</v>
      </c>
      <c r="C12" s="249"/>
      <c r="D12" s="252">
        <f>'#XXXX.XX Misc'!G22</f>
        <v>0</v>
      </c>
      <c r="E12" s="252">
        <f>'#XXXX.XX Misc'!G22</f>
        <v>0</v>
      </c>
      <c r="F12" s="251">
        <f>D12-E12</f>
        <v>0</v>
      </c>
      <c r="G12" s="250"/>
    </row>
    <row r="13" spans="1:7" s="223" customFormat="1" ht="12.75" customHeight="1" x14ac:dyDescent="0.25">
      <c r="A13" s="246"/>
      <c r="B13" s="247"/>
      <c r="C13" s="249"/>
      <c r="D13" s="252"/>
      <c r="E13" s="252"/>
      <c r="F13" s="251"/>
      <c r="G13" s="250"/>
    </row>
    <row r="14" spans="1:7" ht="24" customHeight="1" thickBot="1" x14ac:dyDescent="0.3">
      <c r="A14" s="25"/>
      <c r="B14" s="26" t="s">
        <v>12</v>
      </c>
      <c r="C14" s="27">
        <f>SUM(C8:C13)</f>
        <v>0</v>
      </c>
      <c r="D14" s="27">
        <f>SUM(D8:D13)</f>
        <v>0</v>
      </c>
      <c r="E14" s="27">
        <f>SUM(E8:E13)</f>
        <v>0</v>
      </c>
      <c r="F14" s="27">
        <f>SUM(D14-E14)</f>
        <v>0</v>
      </c>
      <c r="G14" s="27">
        <f>C8-D14</f>
        <v>0</v>
      </c>
    </row>
    <row r="15" spans="1:7" ht="15" customHeight="1" thickTop="1" x14ac:dyDescent="0.25"/>
  </sheetData>
  <pageMargins left="0.25" right="0.25" top="1.2496875000000001" bottom="0.75" header="0.09" footer="0.3"/>
  <pageSetup scale="9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51024-895B-4305-970E-4844208FBF57}">
  <sheetPr>
    <tabColor rgb="FF0070C0"/>
    <pageSetUpPr fitToPage="1"/>
  </sheetPr>
  <dimension ref="A1:I29"/>
  <sheetViews>
    <sheetView zoomScaleNormal="100" workbookViewId="0">
      <selection activeCell="B13" sqref="B13:D13"/>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0.5703125" bestFit="1" customWidth="1"/>
    <col min="257" max="264" width="11.42578125" customWidth="1"/>
    <col min="513" max="520" width="11.42578125" customWidth="1"/>
    <col min="769" max="776" width="11.42578125" customWidth="1"/>
    <col min="1025" max="1032" width="11.42578125" customWidth="1"/>
    <col min="1281" max="1288" width="11.42578125" customWidth="1"/>
    <col min="1537" max="1544" width="11.42578125" customWidth="1"/>
    <col min="1793" max="1800" width="11.42578125" customWidth="1"/>
    <col min="2049" max="2056" width="11.42578125" customWidth="1"/>
    <col min="2305" max="2312" width="11.42578125" customWidth="1"/>
    <col min="2561" max="2568" width="11.42578125" customWidth="1"/>
    <col min="2817" max="2824" width="11.42578125" customWidth="1"/>
    <col min="3073" max="3080" width="11.42578125" customWidth="1"/>
    <col min="3329" max="3336" width="11.42578125" customWidth="1"/>
    <col min="3585" max="3592" width="11.42578125" customWidth="1"/>
    <col min="3841" max="3848" width="11.42578125" customWidth="1"/>
    <col min="4097" max="4104" width="11.42578125" customWidth="1"/>
    <col min="4353" max="4360" width="11.42578125" customWidth="1"/>
    <col min="4609" max="4616" width="11.42578125" customWidth="1"/>
    <col min="4865" max="4872" width="11.42578125" customWidth="1"/>
    <col min="5121" max="5128" width="11.42578125" customWidth="1"/>
    <col min="5377" max="5384" width="11.42578125" customWidth="1"/>
    <col min="5633" max="5640" width="11.42578125" customWidth="1"/>
    <col min="5889" max="5896" width="11.42578125" customWidth="1"/>
    <col min="6145" max="6152" width="11.42578125" customWidth="1"/>
    <col min="6401" max="6408" width="11.42578125" customWidth="1"/>
    <col min="6657" max="6664" width="11.42578125" customWidth="1"/>
    <col min="6913" max="6920" width="11.42578125" customWidth="1"/>
    <col min="7169" max="7176" width="11.42578125" customWidth="1"/>
    <col min="7425" max="7432" width="11.42578125" customWidth="1"/>
    <col min="7681" max="7688" width="11.42578125" customWidth="1"/>
    <col min="7937" max="7944" width="11.42578125" customWidth="1"/>
    <col min="8193" max="8200" width="11.42578125" customWidth="1"/>
    <col min="8449" max="8456" width="11.42578125" customWidth="1"/>
    <col min="8705" max="8712" width="11.42578125" customWidth="1"/>
    <col min="8961" max="8968" width="11.42578125" customWidth="1"/>
    <col min="9217" max="9224" width="11.42578125" customWidth="1"/>
    <col min="9473" max="9480" width="11.42578125" customWidth="1"/>
    <col min="9729" max="9736" width="11.42578125" customWidth="1"/>
    <col min="9985" max="9992" width="11.42578125" customWidth="1"/>
    <col min="10241" max="10248" width="11.42578125" customWidth="1"/>
    <col min="10497" max="10504" width="11.42578125" customWidth="1"/>
    <col min="10753" max="10760" width="11.42578125" customWidth="1"/>
    <col min="11009" max="11016" width="11.42578125" customWidth="1"/>
    <col min="11265" max="11272" width="11.42578125" customWidth="1"/>
    <col min="11521" max="11528" width="11.42578125" customWidth="1"/>
    <col min="11777" max="11784" width="11.42578125" customWidth="1"/>
    <col min="12033" max="12040" width="11.42578125" customWidth="1"/>
    <col min="12289" max="12296" width="11.42578125" customWidth="1"/>
    <col min="12545" max="12552" width="11.42578125" customWidth="1"/>
    <col min="12801" max="12808" width="11.42578125" customWidth="1"/>
    <col min="13057" max="13064" width="11.42578125" customWidth="1"/>
    <col min="13313" max="13320" width="11.42578125" customWidth="1"/>
    <col min="13569" max="13576" width="11.42578125" customWidth="1"/>
    <col min="13825" max="13832" width="11.42578125" customWidth="1"/>
    <col min="14081" max="14088" width="11.42578125" customWidth="1"/>
    <col min="14337" max="14344" width="11.42578125" customWidth="1"/>
    <col min="14593" max="14600" width="11.42578125" customWidth="1"/>
    <col min="14849" max="14856" width="11.42578125" customWidth="1"/>
    <col min="15105" max="15112" width="11.42578125" customWidth="1"/>
    <col min="15361" max="15368" width="11.42578125" customWidth="1"/>
    <col min="15617" max="15624" width="11.42578125" customWidth="1"/>
    <col min="15873" max="15880" width="11.42578125" customWidth="1"/>
    <col min="16129" max="16136" width="11.42578125" customWidth="1"/>
  </cols>
  <sheetData>
    <row r="1" spans="1:9" ht="24.75" customHeight="1" x14ac:dyDescent="0.25">
      <c r="A1" s="2" t="str">
        <f>'RECAP #XXXX.XX '!B1</f>
        <v>Project Title</v>
      </c>
      <c r="B1" s="3"/>
      <c r="C1" s="4"/>
      <c r="D1" s="4"/>
      <c r="E1" s="4"/>
      <c r="F1" s="28"/>
      <c r="G1" s="28"/>
      <c r="H1" s="29"/>
      <c r="I1" s="29"/>
    </row>
    <row r="2" spans="1:9" ht="15.75" x14ac:dyDescent="0.25">
      <c r="A2" s="6" t="str">
        <f>'RECAP #XXXX.XX '!B2</f>
        <v>Project # XXXX.XX</v>
      </c>
      <c r="B2" s="5"/>
      <c r="C2" s="4"/>
      <c r="D2" s="4"/>
      <c r="E2" s="4"/>
      <c r="F2" s="28"/>
      <c r="G2" s="28"/>
      <c r="H2" s="29"/>
      <c r="I2" s="29"/>
    </row>
    <row r="3" spans="1:9" ht="15.75" x14ac:dyDescent="0.25">
      <c r="A3" s="7" t="str">
        <f>'RECAP #XXXX.XX '!B3</f>
        <v>Program code XXXXXX</v>
      </c>
      <c r="B3" s="5"/>
      <c r="C3" s="4"/>
      <c r="D3" s="8" t="str">
        <f>'RECAP #XXXX.XX '!E3</f>
        <v xml:space="preserve">Major Program </v>
      </c>
      <c r="E3" s="4"/>
      <c r="F3" s="28"/>
      <c r="G3" s="28"/>
      <c r="H3" s="29"/>
      <c r="I3" s="29"/>
    </row>
    <row r="4" spans="1:9" ht="15.75" x14ac:dyDescent="0.25">
      <c r="A4" s="30" t="s">
        <v>13</v>
      </c>
      <c r="B4" s="31"/>
      <c r="C4" s="32"/>
      <c r="D4" s="33" t="s">
        <v>14</v>
      </c>
      <c r="E4" s="28"/>
      <c r="F4" s="28"/>
      <c r="G4" s="28"/>
      <c r="H4" s="29"/>
      <c r="I4" s="29"/>
    </row>
    <row r="5" spans="1:9" ht="15.75" x14ac:dyDescent="0.25">
      <c r="A5" s="34" t="s">
        <v>65</v>
      </c>
      <c r="B5" s="35"/>
      <c r="C5" s="36"/>
      <c r="D5" s="37"/>
      <c r="E5" s="38"/>
      <c r="F5" s="39"/>
      <c r="G5" s="39"/>
      <c r="H5" s="35"/>
      <c r="I5" s="29"/>
    </row>
    <row r="6" spans="1:9" ht="15.75" x14ac:dyDescent="0.25">
      <c r="A6" s="11" t="str">
        <f>'RECAP #XXXX.XX '!B6</f>
        <v xml:space="preserve">Project Manager - </v>
      </c>
      <c r="B6" s="11"/>
      <c r="C6" s="40"/>
      <c r="D6" s="41" t="s">
        <v>15</v>
      </c>
      <c r="E6" s="42"/>
      <c r="F6" s="43"/>
      <c r="G6" s="39"/>
      <c r="H6" s="35"/>
      <c r="I6" s="29"/>
    </row>
    <row r="7" spans="1:9" ht="15.75" x14ac:dyDescent="0.25">
      <c r="A7" s="29"/>
      <c r="B7" s="44"/>
      <c r="C7" s="44"/>
      <c r="D7" s="29"/>
      <c r="E7" s="43"/>
      <c r="F7" s="43"/>
      <c r="G7" s="39"/>
      <c r="H7" s="35"/>
      <c r="I7" s="29" t="s">
        <v>2</v>
      </c>
    </row>
    <row r="8" spans="1:9" ht="32.25" thickBot="1" x14ac:dyDescent="0.3">
      <c r="A8" s="45" t="s">
        <v>16</v>
      </c>
      <c r="B8" s="46" t="s">
        <v>17</v>
      </c>
      <c r="C8" s="47" t="s">
        <v>18</v>
      </c>
      <c r="D8" s="48" t="s">
        <v>19</v>
      </c>
      <c r="E8" s="48" t="s">
        <v>20</v>
      </c>
      <c r="F8" s="48" t="s">
        <v>21</v>
      </c>
      <c r="G8" s="48" t="s">
        <v>22</v>
      </c>
      <c r="H8" s="48" t="s">
        <v>23</v>
      </c>
      <c r="I8" s="29"/>
    </row>
    <row r="9" spans="1:9" s="223" customFormat="1" ht="12.75" customHeight="1" x14ac:dyDescent="0.25">
      <c r="A9" s="230"/>
      <c r="B9" s="177"/>
      <c r="C9" s="231"/>
      <c r="D9" s="266"/>
      <c r="E9" s="233">
        <f>D9</f>
        <v>0</v>
      </c>
      <c r="F9" s="234"/>
      <c r="G9" s="234"/>
      <c r="H9" s="234">
        <f>E9</f>
        <v>0</v>
      </c>
      <c r="I9" s="235"/>
    </row>
    <row r="10" spans="1:9" s="223" customFormat="1" ht="12.75" customHeight="1" x14ac:dyDescent="0.25">
      <c r="A10" s="230"/>
      <c r="B10" s="236"/>
      <c r="C10" s="231"/>
      <c r="D10" s="233"/>
      <c r="E10" s="233">
        <f t="shared" ref="E10:E21" si="0">E9+D10</f>
        <v>0</v>
      </c>
      <c r="F10" s="238"/>
      <c r="G10" s="234">
        <f t="shared" ref="G10:G21" si="1">G9+F10</f>
        <v>0</v>
      </c>
      <c r="H10" s="234">
        <f t="shared" ref="H10:H21" si="2">H9-F10+D10</f>
        <v>0</v>
      </c>
      <c r="I10" s="235"/>
    </row>
    <row r="11" spans="1:9" s="223" customFormat="1" ht="12.75" customHeight="1" x14ac:dyDescent="0.25">
      <c r="A11" s="230"/>
      <c r="B11" s="177"/>
      <c r="C11" s="231"/>
      <c r="D11" s="233"/>
      <c r="E11" s="233">
        <f t="shared" si="0"/>
        <v>0</v>
      </c>
      <c r="F11" s="238"/>
      <c r="G11" s="234">
        <f t="shared" si="1"/>
        <v>0</v>
      </c>
      <c r="H11" s="234">
        <f t="shared" si="2"/>
        <v>0</v>
      </c>
      <c r="I11" s="235"/>
    </row>
    <row r="12" spans="1:9" s="223" customFormat="1" ht="12.75" customHeight="1" x14ac:dyDescent="0.25">
      <c r="A12" s="230"/>
      <c r="B12" s="177"/>
      <c r="C12" s="231"/>
      <c r="D12" s="233"/>
      <c r="E12" s="233">
        <f t="shared" si="0"/>
        <v>0</v>
      </c>
      <c r="F12" s="238"/>
      <c r="G12" s="234">
        <f t="shared" si="1"/>
        <v>0</v>
      </c>
      <c r="H12" s="234">
        <f t="shared" si="2"/>
        <v>0</v>
      </c>
      <c r="I12" s="235"/>
    </row>
    <row r="13" spans="1:9" s="223" customFormat="1" ht="12.75" customHeight="1" x14ac:dyDescent="0.25">
      <c r="A13" s="230"/>
      <c r="B13" s="177"/>
      <c r="C13" s="231"/>
      <c r="D13" s="233"/>
      <c r="E13" s="233">
        <f t="shared" si="0"/>
        <v>0</v>
      </c>
      <c r="F13" s="238"/>
      <c r="G13" s="234">
        <f t="shared" si="1"/>
        <v>0</v>
      </c>
      <c r="H13" s="234">
        <f t="shared" si="2"/>
        <v>0</v>
      </c>
      <c r="I13" s="235"/>
    </row>
    <row r="14" spans="1:9" s="223" customFormat="1" ht="12.75" customHeight="1" x14ac:dyDescent="0.25">
      <c r="A14" s="230"/>
      <c r="B14" s="177"/>
      <c r="C14" s="231"/>
      <c r="D14" s="233"/>
      <c r="E14" s="233">
        <f t="shared" si="0"/>
        <v>0</v>
      </c>
      <c r="F14" s="234"/>
      <c r="G14" s="234">
        <f t="shared" si="1"/>
        <v>0</v>
      </c>
      <c r="H14" s="234">
        <f t="shared" si="2"/>
        <v>0</v>
      </c>
      <c r="I14" s="235"/>
    </row>
    <row r="15" spans="1:9" s="223" customFormat="1" ht="12.75" customHeight="1" x14ac:dyDescent="0.25">
      <c r="A15" s="230"/>
      <c r="B15" s="177"/>
      <c r="C15" s="231"/>
      <c r="D15" s="233"/>
      <c r="E15" s="233">
        <f t="shared" si="0"/>
        <v>0</v>
      </c>
      <c r="F15" s="238"/>
      <c r="G15" s="234">
        <f t="shared" si="1"/>
        <v>0</v>
      </c>
      <c r="H15" s="234">
        <f t="shared" si="2"/>
        <v>0</v>
      </c>
      <c r="I15" s="235"/>
    </row>
    <row r="16" spans="1:9" s="223" customFormat="1" ht="12.75" customHeight="1" x14ac:dyDescent="0.25">
      <c r="A16" s="230"/>
      <c r="B16" s="177"/>
      <c r="C16" s="231"/>
      <c r="D16" s="233"/>
      <c r="E16" s="233">
        <f t="shared" si="0"/>
        <v>0</v>
      </c>
      <c r="F16" s="238"/>
      <c r="G16" s="234">
        <f t="shared" si="1"/>
        <v>0</v>
      </c>
      <c r="H16" s="234">
        <f t="shared" si="2"/>
        <v>0</v>
      </c>
      <c r="I16" s="235"/>
    </row>
    <row r="17" spans="1:9" s="223" customFormat="1" ht="12.75" customHeight="1" x14ac:dyDescent="0.25">
      <c r="A17" s="230"/>
      <c r="B17" s="177"/>
      <c r="C17" s="231"/>
      <c r="D17" s="233"/>
      <c r="E17" s="233">
        <f t="shared" si="0"/>
        <v>0</v>
      </c>
      <c r="F17" s="238"/>
      <c r="G17" s="234">
        <f t="shared" si="1"/>
        <v>0</v>
      </c>
      <c r="H17" s="234">
        <f t="shared" si="2"/>
        <v>0</v>
      </c>
      <c r="I17" s="235"/>
    </row>
    <row r="18" spans="1:9" s="223" customFormat="1" ht="12.75" customHeight="1" x14ac:dyDescent="0.25">
      <c r="A18" s="230"/>
      <c r="B18" s="177"/>
      <c r="C18" s="231"/>
      <c r="D18" s="233"/>
      <c r="E18" s="233">
        <f t="shared" si="0"/>
        <v>0</v>
      </c>
      <c r="F18" s="238"/>
      <c r="G18" s="234">
        <f t="shared" si="1"/>
        <v>0</v>
      </c>
      <c r="H18" s="234">
        <f t="shared" si="2"/>
        <v>0</v>
      </c>
      <c r="I18" s="235"/>
    </row>
    <row r="19" spans="1:9" s="223" customFormat="1" ht="12.75" customHeight="1" x14ac:dyDescent="0.25">
      <c r="A19" s="230"/>
      <c r="B19" s="177"/>
      <c r="C19" s="231"/>
      <c r="D19" s="233"/>
      <c r="E19" s="233">
        <f t="shared" si="0"/>
        <v>0</v>
      </c>
      <c r="F19" s="234"/>
      <c r="G19" s="234">
        <f t="shared" si="1"/>
        <v>0</v>
      </c>
      <c r="H19" s="234">
        <f t="shared" si="2"/>
        <v>0</v>
      </c>
      <c r="I19" s="235"/>
    </row>
    <row r="20" spans="1:9" s="223" customFormat="1" ht="12.75" customHeight="1" x14ac:dyDescent="0.25">
      <c r="A20" s="230"/>
      <c r="B20" s="177"/>
      <c r="C20" s="231"/>
      <c r="D20" s="233"/>
      <c r="E20" s="233">
        <f t="shared" si="0"/>
        <v>0</v>
      </c>
      <c r="F20" s="234"/>
      <c r="G20" s="234">
        <f t="shared" si="1"/>
        <v>0</v>
      </c>
      <c r="H20" s="234">
        <f t="shared" si="2"/>
        <v>0</v>
      </c>
      <c r="I20" s="235"/>
    </row>
    <row r="21" spans="1:9" s="223" customFormat="1" ht="12.75" customHeight="1" x14ac:dyDescent="0.25">
      <c r="A21" s="230"/>
      <c r="B21" s="177"/>
      <c r="C21" s="239"/>
      <c r="D21" s="233"/>
      <c r="E21" s="233">
        <f t="shared" si="0"/>
        <v>0</v>
      </c>
      <c r="F21" s="234"/>
      <c r="G21" s="234">
        <f t="shared" si="1"/>
        <v>0</v>
      </c>
      <c r="H21" s="234">
        <f t="shared" si="2"/>
        <v>0</v>
      </c>
      <c r="I21" s="235"/>
    </row>
    <row r="22" spans="1:9" s="223" customFormat="1" ht="12.75" customHeight="1" x14ac:dyDescent="0.25">
      <c r="A22" s="230"/>
      <c r="B22" s="231"/>
      <c r="C22" s="240"/>
      <c r="D22" s="234"/>
      <c r="E22" s="234"/>
      <c r="F22" s="234"/>
      <c r="G22" s="234"/>
      <c r="H22" s="234"/>
      <c r="I22" s="235"/>
    </row>
    <row r="23" spans="1:9" s="223" customFormat="1" ht="12.75" customHeight="1" thickBot="1" x14ac:dyDescent="0.3">
      <c r="A23" s="230"/>
      <c r="B23" s="243"/>
      <c r="C23" s="244" t="s">
        <v>24</v>
      </c>
      <c r="D23" s="245">
        <f>SUM(D9:D22)</f>
        <v>0</v>
      </c>
      <c r="E23" s="245"/>
      <c r="F23" s="245">
        <f>SUM(F9:F22)</f>
        <v>0</v>
      </c>
      <c r="G23" s="245"/>
      <c r="H23" s="245">
        <f>D23-F23</f>
        <v>0</v>
      </c>
      <c r="I23" s="235"/>
    </row>
    <row r="24" spans="1:9" s="223" customFormat="1" ht="12.75" customHeight="1" thickTop="1" x14ac:dyDescent="0.25">
      <c r="A24" s="230"/>
      <c r="B24" s="231"/>
      <c r="C24" s="240"/>
      <c r="D24" s="234"/>
      <c r="E24" s="234"/>
      <c r="F24" s="234"/>
      <c r="G24" s="234"/>
      <c r="H24" s="234"/>
      <c r="I24" s="235"/>
    </row>
    <row r="25" spans="1:9" s="223" customFormat="1" ht="12.75" customHeight="1" x14ac:dyDescent="0.25">
      <c r="A25" s="230"/>
      <c r="B25" s="231"/>
      <c r="C25" s="240"/>
      <c r="D25" s="234"/>
      <c r="E25" s="234"/>
      <c r="F25" s="234"/>
      <c r="G25" s="234"/>
      <c r="H25" s="234"/>
      <c r="I25" s="235"/>
    </row>
    <row r="26" spans="1:9" s="223" customFormat="1" ht="12.75" customHeight="1" x14ac:dyDescent="0.25">
      <c r="A26" s="230"/>
      <c r="B26" s="231"/>
      <c r="C26" s="253" t="s">
        <v>110</v>
      </c>
      <c r="D26" s="254">
        <v>0</v>
      </c>
      <c r="E26" s="254"/>
      <c r="F26" s="254"/>
      <c r="G26" s="254"/>
      <c r="H26" s="254">
        <f>D26-F26</f>
        <v>0</v>
      </c>
      <c r="I26" s="235"/>
    </row>
    <row r="27" spans="1:9" s="223" customFormat="1" ht="12.75" customHeight="1" x14ac:dyDescent="0.25">
      <c r="A27" s="230"/>
      <c r="B27" s="231"/>
      <c r="C27" s="253" t="s">
        <v>111</v>
      </c>
      <c r="D27" s="254">
        <v>0</v>
      </c>
      <c r="E27" s="254"/>
      <c r="F27" s="254"/>
      <c r="G27" s="254"/>
      <c r="H27" s="254">
        <f>D27-F27</f>
        <v>0</v>
      </c>
      <c r="I27" s="235"/>
    </row>
    <row r="28" spans="1:9" s="223" customFormat="1" ht="12.75" customHeight="1" thickBot="1" x14ac:dyDescent="0.3">
      <c r="A28" s="230"/>
      <c r="B28" s="231"/>
      <c r="C28" s="255" t="s">
        <v>67</v>
      </c>
      <c r="D28" s="256">
        <f>SUM(D26:D27)</f>
        <v>0</v>
      </c>
      <c r="E28" s="257"/>
      <c r="F28" s="256">
        <f>SUM(F26:F27)</f>
        <v>0</v>
      </c>
      <c r="G28" s="257"/>
      <c r="H28" s="256">
        <f>SUM(H26:H27)</f>
        <v>0</v>
      </c>
      <c r="I28" s="235"/>
    </row>
    <row r="29" spans="1:9" s="223" customFormat="1" ht="12.75" customHeight="1" thickTop="1" x14ac:dyDescent="0.25"/>
  </sheetData>
  <conditionalFormatting sqref="I8:I23">
    <cfRule type="cellIs" dxfId="0" priority="1" operator="greaterThan">
      <formula>$H$23</formula>
    </cfRule>
  </conditionalFormatting>
  <pageMargins left="0.25" right="0.25" top="0.95" bottom="0.75" header="0.09" footer="0.3"/>
  <pageSetup scale="77"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13BBE-8EEB-4D31-AB0B-BDC0F5D55EB5}">
  <sheetPr>
    <tabColor indexed="30"/>
    <pageSetUpPr fitToPage="1"/>
  </sheetPr>
  <dimension ref="A1:J25"/>
  <sheetViews>
    <sheetView zoomScaleNormal="100" workbookViewId="0">
      <selection activeCell="B13" sqref="B13:D13"/>
    </sheetView>
  </sheetViews>
  <sheetFormatPr defaultColWidth="11.42578125" defaultRowHeight="15" customHeight="1" x14ac:dyDescent="0.25"/>
  <cols>
    <col min="1" max="1" width="24.5703125" customWidth="1"/>
    <col min="2" max="3" width="9.42578125" customWidth="1"/>
    <col min="4" max="4" width="25" bestFit="1" customWidth="1"/>
    <col min="5" max="5" width="12.5703125" customWidth="1"/>
    <col min="6" max="6" width="13.5703125" customWidth="1"/>
    <col min="7" max="7" width="12.42578125" customWidth="1"/>
    <col min="8" max="8" width="10.5703125" customWidth="1"/>
    <col min="9" max="9" width="10.5703125" bestFit="1" customWidth="1"/>
    <col min="257" max="265" width="11.42578125" customWidth="1"/>
    <col min="513" max="521" width="11.42578125" customWidth="1"/>
    <col min="769" max="777" width="11.42578125" customWidth="1"/>
    <col min="1025" max="1033" width="11.42578125" customWidth="1"/>
    <col min="1281" max="1289" width="11.42578125" customWidth="1"/>
    <col min="1537" max="1545" width="11.42578125" customWidth="1"/>
    <col min="1793" max="1801" width="11.42578125" customWidth="1"/>
    <col min="2049" max="2057" width="11.42578125" customWidth="1"/>
    <col min="2305" max="2313" width="11.42578125" customWidth="1"/>
    <col min="2561" max="2569" width="11.42578125" customWidth="1"/>
    <col min="2817" max="2825" width="11.42578125" customWidth="1"/>
    <col min="3073" max="3081" width="11.42578125" customWidth="1"/>
    <col min="3329" max="3337" width="11.42578125" customWidth="1"/>
    <col min="3585" max="3593" width="11.42578125" customWidth="1"/>
    <col min="3841" max="3849" width="11.42578125" customWidth="1"/>
    <col min="4097" max="4105" width="11.42578125" customWidth="1"/>
    <col min="4353" max="4361" width="11.42578125" customWidth="1"/>
    <col min="4609" max="4617" width="11.42578125" customWidth="1"/>
    <col min="4865" max="4873" width="11.42578125" customWidth="1"/>
    <col min="5121" max="5129" width="11.42578125" customWidth="1"/>
    <col min="5377" max="5385" width="11.42578125" customWidth="1"/>
    <col min="5633" max="5641" width="11.42578125" customWidth="1"/>
    <col min="5889" max="5897" width="11.42578125" customWidth="1"/>
    <col min="6145" max="6153" width="11.42578125" customWidth="1"/>
    <col min="6401" max="6409" width="11.42578125" customWidth="1"/>
    <col min="6657" max="6665" width="11.42578125" customWidth="1"/>
    <col min="6913" max="6921" width="11.42578125" customWidth="1"/>
    <col min="7169" max="7177" width="11.42578125" customWidth="1"/>
    <col min="7425" max="7433" width="11.42578125" customWidth="1"/>
    <col min="7681" max="7689" width="11.42578125" customWidth="1"/>
    <col min="7937" max="7945" width="11.42578125" customWidth="1"/>
    <col min="8193" max="8201" width="11.42578125" customWidth="1"/>
    <col min="8449" max="8457" width="11.42578125" customWidth="1"/>
    <col min="8705" max="8713" width="11.42578125" customWidth="1"/>
    <col min="8961" max="8969" width="11.42578125" customWidth="1"/>
    <col min="9217" max="9225" width="11.42578125" customWidth="1"/>
    <col min="9473" max="9481" width="11.42578125" customWidth="1"/>
    <col min="9729" max="9737" width="11.42578125" customWidth="1"/>
    <col min="9985" max="9993" width="11.42578125" customWidth="1"/>
    <col min="10241" max="10249" width="11.42578125" customWidth="1"/>
    <col min="10497" max="10505" width="11.42578125" customWidth="1"/>
    <col min="10753" max="10761" width="11.42578125" customWidth="1"/>
    <col min="11009" max="11017" width="11.42578125" customWidth="1"/>
    <col min="11265" max="11273" width="11.42578125" customWidth="1"/>
    <col min="11521" max="11529" width="11.42578125" customWidth="1"/>
    <col min="11777" max="11785" width="11.42578125" customWidth="1"/>
    <col min="12033" max="12041" width="11.42578125" customWidth="1"/>
    <col min="12289" max="12297" width="11.42578125" customWidth="1"/>
    <col min="12545" max="12553" width="11.42578125" customWidth="1"/>
    <col min="12801" max="12809" width="11.42578125" customWidth="1"/>
    <col min="13057" max="13065" width="11.42578125" customWidth="1"/>
    <col min="13313" max="13321" width="11.42578125" customWidth="1"/>
    <col min="13569" max="13577" width="11.42578125" customWidth="1"/>
    <col min="13825" max="13833" width="11.42578125" customWidth="1"/>
    <col min="14081" max="14089" width="11.42578125" customWidth="1"/>
    <col min="14337" max="14345" width="11.42578125" customWidth="1"/>
    <col min="14593" max="14601" width="11.42578125" customWidth="1"/>
    <col min="14849" max="14857" width="11.42578125" customWidth="1"/>
    <col min="15105" max="15113" width="11.42578125" customWidth="1"/>
    <col min="15361" max="15369" width="11.42578125" customWidth="1"/>
    <col min="15617" max="15625" width="11.42578125" customWidth="1"/>
    <col min="15873" max="15881" width="11.42578125" customWidth="1"/>
    <col min="16129" max="16137" width="11.42578125" customWidth="1"/>
  </cols>
  <sheetData>
    <row r="1" spans="1:10" ht="24.75" customHeight="1" x14ac:dyDescent="0.25">
      <c r="A1" s="2" t="str">
        <f>'RECAP #XXXX.XX '!B1</f>
        <v>Project Title</v>
      </c>
      <c r="B1" s="3"/>
      <c r="C1" s="3"/>
      <c r="D1" s="4"/>
      <c r="E1" s="4"/>
      <c r="F1" s="4"/>
      <c r="G1" s="28"/>
      <c r="H1" s="28"/>
      <c r="I1" s="29"/>
      <c r="J1" s="29"/>
    </row>
    <row r="2" spans="1:10" ht="15.75" x14ac:dyDescent="0.25">
      <c r="A2" s="6" t="str">
        <f>'RECAP #XXXX.XX '!B2</f>
        <v>Project # XXXX.XX</v>
      </c>
      <c r="B2" s="5"/>
      <c r="C2" s="5"/>
      <c r="D2" s="4"/>
      <c r="E2" s="4"/>
      <c r="F2" s="4"/>
      <c r="G2" s="28"/>
      <c r="H2" s="28"/>
      <c r="I2" s="29"/>
      <c r="J2" s="29"/>
    </row>
    <row r="3" spans="1:10" ht="15.75" x14ac:dyDescent="0.25">
      <c r="A3" s="7" t="str">
        <f>'RECAP #XXXX.XX '!B3</f>
        <v>Program code XXXXXX</v>
      </c>
      <c r="B3" s="5"/>
      <c r="C3" s="5"/>
      <c r="D3" s="4"/>
      <c r="E3" s="8" t="str">
        <f>'RECAP #XXXX.XX '!E3</f>
        <v xml:space="preserve">Major Program </v>
      </c>
      <c r="F3" s="4"/>
      <c r="G3" s="28"/>
      <c r="H3" s="28"/>
      <c r="I3" s="29"/>
      <c r="J3" s="29"/>
    </row>
    <row r="4" spans="1:10" ht="15.75" x14ac:dyDescent="0.25">
      <c r="A4" s="30" t="s">
        <v>10</v>
      </c>
      <c r="B4" s="31"/>
      <c r="C4" s="31"/>
      <c r="D4" s="32"/>
      <c r="E4" s="33" t="s">
        <v>25</v>
      </c>
      <c r="F4" s="28"/>
      <c r="G4" s="28"/>
      <c r="H4" s="28"/>
      <c r="I4" s="29"/>
      <c r="J4" s="29"/>
    </row>
    <row r="5" spans="1:10" ht="15.75" x14ac:dyDescent="0.25">
      <c r="A5" s="11"/>
      <c r="B5" s="35"/>
      <c r="C5" s="35"/>
      <c r="D5" s="36"/>
      <c r="E5" s="37"/>
      <c r="F5" s="38"/>
      <c r="G5" s="39"/>
      <c r="H5" s="39"/>
      <c r="I5" s="35"/>
      <c r="J5" s="29"/>
    </row>
    <row r="6" spans="1:10" ht="15.75" x14ac:dyDescent="0.25">
      <c r="A6" s="34" t="s">
        <v>65</v>
      </c>
      <c r="B6" s="11"/>
      <c r="C6" s="11"/>
      <c r="D6" s="40"/>
      <c r="E6" s="37" t="s">
        <v>26</v>
      </c>
      <c r="F6" s="42"/>
      <c r="G6" s="43"/>
      <c r="H6" s="39"/>
      <c r="I6" s="35"/>
      <c r="J6" s="29"/>
    </row>
    <row r="7" spans="1:10" ht="15.75" x14ac:dyDescent="0.25">
      <c r="A7" s="11" t="str">
        <f>'RECAP #XXXX.XX '!B6</f>
        <v xml:space="preserve">Project Manager - </v>
      </c>
      <c r="B7" s="44"/>
      <c r="C7" s="44"/>
      <c r="D7" s="44"/>
      <c r="E7" s="43" t="s">
        <v>2</v>
      </c>
      <c r="F7" s="43"/>
      <c r="G7" s="43"/>
      <c r="H7" s="39"/>
      <c r="I7" s="35"/>
      <c r="J7" s="29" t="s">
        <v>2</v>
      </c>
    </row>
    <row r="8" spans="1:10" ht="32.25" thickBot="1" x14ac:dyDescent="0.3">
      <c r="A8" s="45" t="s">
        <v>16</v>
      </c>
      <c r="B8" s="46" t="s">
        <v>17</v>
      </c>
      <c r="C8" s="64" t="s">
        <v>27</v>
      </c>
      <c r="D8" s="47" t="s">
        <v>28</v>
      </c>
      <c r="E8" s="48" t="s">
        <v>19</v>
      </c>
      <c r="F8" s="48" t="s">
        <v>20</v>
      </c>
      <c r="G8" s="48" t="s">
        <v>21</v>
      </c>
      <c r="H8" s="48" t="s">
        <v>22</v>
      </c>
      <c r="I8" s="48" t="s">
        <v>23</v>
      </c>
      <c r="J8" s="29" t="s">
        <v>2</v>
      </c>
    </row>
    <row r="9" spans="1:10" s="223" customFormat="1" ht="12.75" customHeight="1" x14ac:dyDescent="0.25">
      <c r="A9" s="241"/>
      <c r="B9" s="177"/>
      <c r="C9" s="177"/>
      <c r="D9" s="240" t="s">
        <v>29</v>
      </c>
      <c r="E9" s="266"/>
      <c r="F9" s="233">
        <f>E9</f>
        <v>0</v>
      </c>
      <c r="G9" s="234"/>
      <c r="H9" s="234"/>
      <c r="I9" s="234">
        <f>F9</f>
        <v>0</v>
      </c>
      <c r="J9" s="235"/>
    </row>
    <row r="10" spans="1:10" s="223" customFormat="1" ht="12.75" customHeight="1" x14ac:dyDescent="0.25">
      <c r="A10" s="149"/>
      <c r="B10" s="236"/>
      <c r="C10" s="236"/>
      <c r="D10" s="240"/>
      <c r="E10" s="233"/>
      <c r="F10" s="233">
        <f t="shared" ref="F10:F21" si="0">F9+E10</f>
        <v>0</v>
      </c>
      <c r="G10" s="238"/>
      <c r="H10" s="234">
        <f t="shared" ref="H10:H21" si="1">H9+G10</f>
        <v>0</v>
      </c>
      <c r="I10" s="234">
        <f t="shared" ref="I10:I21" si="2">I9-G10+E10</f>
        <v>0</v>
      </c>
      <c r="J10" s="235"/>
    </row>
    <row r="11" spans="1:10" s="223" customFormat="1" ht="12.75" customHeight="1" x14ac:dyDescent="0.25">
      <c r="A11" s="241"/>
      <c r="B11" s="177"/>
      <c r="C11" s="177"/>
      <c r="D11" s="240"/>
      <c r="E11" s="233"/>
      <c r="F11" s="233">
        <f t="shared" si="0"/>
        <v>0</v>
      </c>
      <c r="G11" s="238"/>
      <c r="H11" s="234">
        <f t="shared" si="1"/>
        <v>0</v>
      </c>
      <c r="I11" s="234">
        <f t="shared" si="2"/>
        <v>0</v>
      </c>
      <c r="J11" s="235"/>
    </row>
    <row r="12" spans="1:10" s="223" customFormat="1" ht="12.75" customHeight="1" x14ac:dyDescent="0.25">
      <c r="A12" s="241"/>
      <c r="B12" s="177"/>
      <c r="C12" s="177"/>
      <c r="D12" s="240"/>
      <c r="E12" s="233"/>
      <c r="F12" s="233">
        <f t="shared" si="0"/>
        <v>0</v>
      </c>
      <c r="G12" s="238"/>
      <c r="H12" s="234">
        <f t="shared" si="1"/>
        <v>0</v>
      </c>
      <c r="I12" s="234">
        <f t="shared" si="2"/>
        <v>0</v>
      </c>
      <c r="J12" s="235"/>
    </row>
    <row r="13" spans="1:10" s="223" customFormat="1" ht="12.75" customHeight="1" x14ac:dyDescent="0.25">
      <c r="A13" s="241"/>
      <c r="B13" s="177"/>
      <c r="C13" s="177"/>
      <c r="D13" s="240"/>
      <c r="E13" s="233"/>
      <c r="F13" s="233">
        <f t="shared" si="0"/>
        <v>0</v>
      </c>
      <c r="G13" s="238"/>
      <c r="H13" s="234">
        <f t="shared" si="1"/>
        <v>0</v>
      </c>
      <c r="I13" s="234">
        <f t="shared" si="2"/>
        <v>0</v>
      </c>
      <c r="J13" s="235"/>
    </row>
    <row r="14" spans="1:10" s="223" customFormat="1" ht="12.75" customHeight="1" x14ac:dyDescent="0.25">
      <c r="A14" s="241"/>
      <c r="B14" s="177"/>
      <c r="C14" s="177"/>
      <c r="D14" s="240"/>
      <c r="E14" s="233"/>
      <c r="F14" s="233">
        <f t="shared" si="0"/>
        <v>0</v>
      </c>
      <c r="G14" s="234"/>
      <c r="H14" s="234">
        <f t="shared" si="1"/>
        <v>0</v>
      </c>
      <c r="I14" s="234">
        <f t="shared" si="2"/>
        <v>0</v>
      </c>
      <c r="J14" s="235"/>
    </row>
    <row r="15" spans="1:10" s="223" customFormat="1" ht="12.75" customHeight="1" x14ac:dyDescent="0.25">
      <c r="A15" s="241"/>
      <c r="B15" s="177"/>
      <c r="C15" s="177"/>
      <c r="D15" s="240"/>
      <c r="E15" s="233"/>
      <c r="F15" s="233">
        <f t="shared" si="0"/>
        <v>0</v>
      </c>
      <c r="G15" s="238"/>
      <c r="H15" s="234">
        <f t="shared" si="1"/>
        <v>0</v>
      </c>
      <c r="I15" s="234">
        <f t="shared" si="2"/>
        <v>0</v>
      </c>
      <c r="J15" s="235"/>
    </row>
    <row r="16" spans="1:10" s="223" customFormat="1" ht="12.75" customHeight="1" x14ac:dyDescent="0.25">
      <c r="A16" s="241"/>
      <c r="B16" s="177"/>
      <c r="C16" s="177"/>
      <c r="D16" s="240"/>
      <c r="E16" s="233"/>
      <c r="F16" s="233">
        <f t="shared" si="0"/>
        <v>0</v>
      </c>
      <c r="G16" s="238"/>
      <c r="H16" s="234">
        <f t="shared" si="1"/>
        <v>0</v>
      </c>
      <c r="I16" s="234">
        <f t="shared" si="2"/>
        <v>0</v>
      </c>
      <c r="J16" s="235"/>
    </row>
    <row r="17" spans="1:10" s="223" customFormat="1" ht="12.75" customHeight="1" x14ac:dyDescent="0.25">
      <c r="A17" s="241"/>
      <c r="B17" s="177"/>
      <c r="C17" s="177"/>
      <c r="D17" s="240"/>
      <c r="E17" s="233"/>
      <c r="F17" s="233">
        <f t="shared" si="0"/>
        <v>0</v>
      </c>
      <c r="G17" s="238"/>
      <c r="H17" s="234">
        <f t="shared" si="1"/>
        <v>0</v>
      </c>
      <c r="I17" s="234">
        <f t="shared" si="2"/>
        <v>0</v>
      </c>
      <c r="J17" s="235"/>
    </row>
    <row r="18" spans="1:10" s="223" customFormat="1" ht="12.75" customHeight="1" x14ac:dyDescent="0.25">
      <c r="A18" s="241"/>
      <c r="B18" s="177"/>
      <c r="C18" s="177"/>
      <c r="D18" s="240"/>
      <c r="E18" s="233"/>
      <c r="F18" s="233">
        <f t="shared" si="0"/>
        <v>0</v>
      </c>
      <c r="G18" s="238"/>
      <c r="H18" s="234">
        <f t="shared" si="1"/>
        <v>0</v>
      </c>
      <c r="I18" s="234">
        <f t="shared" si="2"/>
        <v>0</v>
      </c>
      <c r="J18" s="235"/>
    </row>
    <row r="19" spans="1:10" s="223" customFormat="1" ht="12.75" customHeight="1" x14ac:dyDescent="0.25">
      <c r="A19" s="241"/>
      <c r="B19" s="177"/>
      <c r="C19" s="177"/>
      <c r="D19" s="240"/>
      <c r="E19" s="233"/>
      <c r="F19" s="233">
        <f t="shared" si="0"/>
        <v>0</v>
      </c>
      <c r="G19" s="234"/>
      <c r="H19" s="234">
        <f t="shared" si="1"/>
        <v>0</v>
      </c>
      <c r="I19" s="234">
        <f t="shared" si="2"/>
        <v>0</v>
      </c>
      <c r="J19" s="235"/>
    </row>
    <row r="20" spans="1:10" s="223" customFormat="1" ht="12.75" customHeight="1" x14ac:dyDescent="0.25">
      <c r="A20" s="241"/>
      <c r="B20" s="177"/>
      <c r="C20" s="177"/>
      <c r="D20" s="240"/>
      <c r="E20" s="233"/>
      <c r="F20" s="233">
        <f t="shared" si="0"/>
        <v>0</v>
      </c>
      <c r="G20" s="234"/>
      <c r="H20" s="234">
        <f t="shared" si="1"/>
        <v>0</v>
      </c>
      <c r="I20" s="234">
        <f t="shared" si="2"/>
        <v>0</v>
      </c>
      <c r="J20" s="235"/>
    </row>
    <row r="21" spans="1:10" s="223" customFormat="1" ht="12.75" customHeight="1" x14ac:dyDescent="0.25">
      <c r="A21" s="241"/>
      <c r="B21" s="177"/>
      <c r="C21" s="177"/>
      <c r="D21" s="258"/>
      <c r="E21" s="233"/>
      <c r="F21" s="233">
        <f t="shared" si="0"/>
        <v>0</v>
      </c>
      <c r="G21" s="234"/>
      <c r="H21" s="234">
        <f t="shared" si="1"/>
        <v>0</v>
      </c>
      <c r="I21" s="234">
        <f t="shared" si="2"/>
        <v>0</v>
      </c>
      <c r="J21" s="235"/>
    </row>
    <row r="22" spans="1:10" s="223" customFormat="1" ht="12.75" customHeight="1" x14ac:dyDescent="0.25">
      <c r="A22" s="230"/>
      <c r="B22" s="231"/>
      <c r="C22" s="231"/>
      <c r="D22" s="240"/>
      <c r="E22" s="234"/>
      <c r="F22" s="234"/>
      <c r="G22" s="234"/>
      <c r="H22" s="234"/>
      <c r="I22" s="234"/>
      <c r="J22" s="235"/>
    </row>
    <row r="23" spans="1:10" s="223" customFormat="1" ht="12.75" customHeight="1" thickBot="1" x14ac:dyDescent="0.3">
      <c r="A23" s="230"/>
      <c r="B23" s="243"/>
      <c r="C23" s="243"/>
      <c r="D23" s="244" t="s">
        <v>24</v>
      </c>
      <c r="E23" s="245">
        <f>SUM(E9:E22)</f>
        <v>0</v>
      </c>
      <c r="F23" s="245"/>
      <c r="G23" s="245">
        <f>SUM(G9:G22)</f>
        <v>0</v>
      </c>
      <c r="H23" s="245"/>
      <c r="I23" s="245">
        <f>E23-G23</f>
        <v>0</v>
      </c>
      <c r="J23" s="235"/>
    </row>
    <row r="24" spans="1:10" s="223" customFormat="1" ht="12.75" customHeight="1" thickTop="1" x14ac:dyDescent="0.25"/>
    <row r="25" spans="1:10" s="223" customFormat="1" ht="12.75" customHeight="1" x14ac:dyDescent="0.25"/>
  </sheetData>
  <pageMargins left="0.25" right="0.25" top="0.95" bottom="0.75" header="0.09" footer="0.3"/>
  <pageSetup scale="73" orientation="portrait" r:id="rId1"/>
  <headerFooter alignWithMargins="0">
    <oddHeader>&amp;CDepartment of Administrative Services
Major Maintenance 
MM26
&amp;A
&amp;D</oddHeader>
    <oddFooter>&amp;LAcct Codes 0017-335-MM26
Reversion 6/30/2028
&amp;C&amp;Z&amp;F&amp;R&amp;P/&amp;N</oddFooter>
  </headerFooter>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21F03-740F-42DE-B3B0-7969A5911F52}">
  <sheetPr>
    <tabColor indexed="30"/>
    <pageSetUpPr fitToPage="1"/>
  </sheetPr>
  <dimension ref="A1:H23"/>
  <sheetViews>
    <sheetView zoomScaleNormal="100" workbookViewId="0">
      <selection activeCell="B13" sqref="B13:D13"/>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 min="257" max="259" width="11.42578125" customWidth="1"/>
    <col min="261" max="264" width="11.42578125" customWidth="1"/>
    <col min="513" max="515" width="11.42578125" customWidth="1"/>
    <col min="517" max="520" width="11.42578125" customWidth="1"/>
    <col min="769" max="771" width="11.42578125" customWidth="1"/>
    <col min="773" max="776" width="11.42578125" customWidth="1"/>
    <col min="1025" max="1027" width="11.42578125" customWidth="1"/>
    <col min="1029" max="1032" width="11.42578125" customWidth="1"/>
    <col min="1281" max="1283" width="11.42578125" customWidth="1"/>
    <col min="1285" max="1288" width="11.42578125" customWidth="1"/>
    <col min="1537" max="1539" width="11.42578125" customWidth="1"/>
    <col min="1541" max="1544" width="11.42578125" customWidth="1"/>
    <col min="1793" max="1795" width="11.42578125" customWidth="1"/>
    <col min="1797" max="1800" width="11.42578125" customWidth="1"/>
    <col min="2049" max="2051" width="11.42578125" customWidth="1"/>
    <col min="2053" max="2056" width="11.42578125" customWidth="1"/>
    <col min="2305" max="2307" width="11.42578125" customWidth="1"/>
    <col min="2309" max="2312" width="11.42578125" customWidth="1"/>
    <col min="2561" max="2563" width="11.42578125" customWidth="1"/>
    <col min="2565" max="2568" width="11.42578125" customWidth="1"/>
    <col min="2817" max="2819" width="11.42578125" customWidth="1"/>
    <col min="2821" max="2824" width="11.42578125" customWidth="1"/>
    <col min="3073" max="3075" width="11.42578125" customWidth="1"/>
    <col min="3077" max="3080" width="11.42578125" customWidth="1"/>
    <col min="3329" max="3331" width="11.42578125" customWidth="1"/>
    <col min="3333" max="3336" width="11.42578125" customWidth="1"/>
    <col min="3585" max="3587" width="11.42578125" customWidth="1"/>
    <col min="3589" max="3592" width="11.42578125" customWidth="1"/>
    <col min="3841" max="3843" width="11.42578125" customWidth="1"/>
    <col min="3845" max="3848" width="11.42578125" customWidth="1"/>
    <col min="4097" max="4099" width="11.42578125" customWidth="1"/>
    <col min="4101" max="4104" width="11.42578125" customWidth="1"/>
    <col min="4353" max="4355" width="11.42578125" customWidth="1"/>
    <col min="4357" max="4360" width="11.42578125" customWidth="1"/>
    <col min="4609" max="4611" width="11.42578125" customWidth="1"/>
    <col min="4613" max="4616" width="11.42578125" customWidth="1"/>
    <col min="4865" max="4867" width="11.42578125" customWidth="1"/>
    <col min="4869" max="4872" width="11.42578125" customWidth="1"/>
    <col min="5121" max="5123" width="11.42578125" customWidth="1"/>
    <col min="5125" max="5128" width="11.42578125" customWidth="1"/>
    <col min="5377" max="5379" width="11.42578125" customWidth="1"/>
    <col min="5381" max="5384" width="11.42578125" customWidth="1"/>
    <col min="5633" max="5635" width="11.42578125" customWidth="1"/>
    <col min="5637" max="5640" width="11.42578125" customWidth="1"/>
    <col min="5889" max="5891" width="11.42578125" customWidth="1"/>
    <col min="5893" max="5896" width="11.42578125" customWidth="1"/>
    <col min="6145" max="6147" width="11.42578125" customWidth="1"/>
    <col min="6149" max="6152" width="11.42578125" customWidth="1"/>
    <col min="6401" max="6403" width="11.42578125" customWidth="1"/>
    <col min="6405" max="6408" width="11.42578125" customWidth="1"/>
    <col min="6657" max="6659" width="11.42578125" customWidth="1"/>
    <col min="6661" max="6664" width="11.42578125" customWidth="1"/>
    <col min="6913" max="6915" width="11.42578125" customWidth="1"/>
    <col min="6917" max="6920" width="11.42578125" customWidth="1"/>
    <col min="7169" max="7171" width="11.42578125" customWidth="1"/>
    <col min="7173" max="7176" width="11.42578125" customWidth="1"/>
    <col min="7425" max="7427" width="11.42578125" customWidth="1"/>
    <col min="7429" max="7432" width="11.42578125" customWidth="1"/>
    <col min="7681" max="7683" width="11.42578125" customWidth="1"/>
    <col min="7685" max="7688" width="11.42578125" customWidth="1"/>
    <col min="7937" max="7939" width="11.42578125" customWidth="1"/>
    <col min="7941" max="7944" width="11.42578125" customWidth="1"/>
    <col min="8193" max="8195" width="11.42578125" customWidth="1"/>
    <col min="8197" max="8200" width="11.42578125" customWidth="1"/>
    <col min="8449" max="8451" width="11.42578125" customWidth="1"/>
    <col min="8453" max="8456" width="11.42578125" customWidth="1"/>
    <col min="8705" max="8707" width="11.42578125" customWidth="1"/>
    <col min="8709" max="8712" width="11.42578125" customWidth="1"/>
    <col min="8961" max="8963" width="11.42578125" customWidth="1"/>
    <col min="8965" max="8968" width="11.42578125" customWidth="1"/>
    <col min="9217" max="9219" width="11.42578125" customWidth="1"/>
    <col min="9221" max="9224" width="11.42578125" customWidth="1"/>
    <col min="9473" max="9475" width="11.42578125" customWidth="1"/>
    <col min="9477" max="9480" width="11.42578125" customWidth="1"/>
    <col min="9729" max="9731" width="11.42578125" customWidth="1"/>
    <col min="9733" max="9736" width="11.42578125" customWidth="1"/>
    <col min="9985" max="9987" width="11.42578125" customWidth="1"/>
    <col min="9989" max="9992" width="11.42578125" customWidth="1"/>
    <col min="10241" max="10243" width="11.42578125" customWidth="1"/>
    <col min="10245" max="10248" width="11.42578125" customWidth="1"/>
    <col min="10497" max="10499" width="11.42578125" customWidth="1"/>
    <col min="10501" max="10504" width="11.42578125" customWidth="1"/>
    <col min="10753" max="10755" width="11.42578125" customWidth="1"/>
    <col min="10757" max="10760" width="11.42578125" customWidth="1"/>
    <col min="11009" max="11011" width="11.42578125" customWidth="1"/>
    <col min="11013" max="11016" width="11.42578125" customWidth="1"/>
    <col min="11265" max="11267" width="11.42578125" customWidth="1"/>
    <col min="11269" max="11272" width="11.42578125" customWidth="1"/>
    <col min="11521" max="11523" width="11.42578125" customWidth="1"/>
    <col min="11525" max="11528" width="11.42578125" customWidth="1"/>
    <col min="11777" max="11779" width="11.42578125" customWidth="1"/>
    <col min="11781" max="11784" width="11.42578125" customWidth="1"/>
    <col min="12033" max="12035" width="11.42578125" customWidth="1"/>
    <col min="12037" max="12040" width="11.42578125" customWidth="1"/>
    <col min="12289" max="12291" width="11.42578125" customWidth="1"/>
    <col min="12293" max="12296" width="11.42578125" customWidth="1"/>
    <col min="12545" max="12547" width="11.42578125" customWidth="1"/>
    <col min="12549" max="12552" width="11.42578125" customWidth="1"/>
    <col min="12801" max="12803" width="11.42578125" customWidth="1"/>
    <col min="12805" max="12808" width="11.42578125" customWidth="1"/>
    <col min="13057" max="13059" width="11.42578125" customWidth="1"/>
    <col min="13061" max="13064" width="11.42578125" customWidth="1"/>
    <col min="13313" max="13315" width="11.42578125" customWidth="1"/>
    <col min="13317" max="13320" width="11.42578125" customWidth="1"/>
    <col min="13569" max="13571" width="11.42578125" customWidth="1"/>
    <col min="13573" max="13576" width="11.42578125" customWidth="1"/>
    <col min="13825" max="13827" width="11.42578125" customWidth="1"/>
    <col min="13829" max="13832" width="11.42578125" customWidth="1"/>
    <col min="14081" max="14083" width="11.42578125" customWidth="1"/>
    <col min="14085" max="14088" width="11.42578125" customWidth="1"/>
    <col min="14337" max="14339" width="11.42578125" customWidth="1"/>
    <col min="14341" max="14344" width="11.42578125" customWidth="1"/>
    <col min="14593" max="14595" width="11.42578125" customWidth="1"/>
    <col min="14597" max="14600" width="11.42578125" customWidth="1"/>
    <col min="14849" max="14851" width="11.42578125" customWidth="1"/>
    <col min="14853" max="14856" width="11.42578125" customWidth="1"/>
    <col min="15105" max="15107" width="11.42578125" customWidth="1"/>
    <col min="15109" max="15112" width="11.42578125" customWidth="1"/>
    <col min="15361" max="15363" width="11.42578125" customWidth="1"/>
    <col min="15365" max="15368" width="11.42578125" customWidth="1"/>
    <col min="15617" max="15619" width="11.42578125" customWidth="1"/>
    <col min="15621" max="15624" width="11.42578125" customWidth="1"/>
    <col min="15873" max="15875" width="11.42578125" customWidth="1"/>
    <col min="15877" max="15880" width="11.42578125" customWidth="1"/>
    <col min="16129" max="16131" width="11.42578125" customWidth="1"/>
    <col min="16133" max="16136" width="11.42578125" customWidth="1"/>
  </cols>
  <sheetData>
    <row r="1" spans="1:8" ht="24.75" customHeight="1" x14ac:dyDescent="0.25">
      <c r="A1" s="2" t="str">
        <f>'RECAP #XXXX.XX '!B1</f>
        <v>Project Title</v>
      </c>
      <c r="B1" s="3"/>
      <c r="C1" s="3"/>
      <c r="D1" s="3"/>
      <c r="E1" s="4"/>
      <c r="F1" s="4"/>
      <c r="G1" s="4"/>
      <c r="H1" s="28"/>
    </row>
    <row r="2" spans="1:8" ht="15.75" x14ac:dyDescent="0.25">
      <c r="A2" s="6" t="str">
        <f>'RECAP #XXXX.XX '!B2</f>
        <v>Project # XXXX.XX</v>
      </c>
      <c r="B2" s="5"/>
      <c r="C2" s="5"/>
      <c r="D2" s="5"/>
      <c r="E2" s="4"/>
      <c r="F2" s="4"/>
      <c r="G2" s="4"/>
      <c r="H2" s="28"/>
    </row>
    <row r="3" spans="1:8" ht="15.75" x14ac:dyDescent="0.25">
      <c r="A3" s="7" t="str">
        <f>'RECAP #XXXX.XX '!B3</f>
        <v>Program code XXXXXX</v>
      </c>
      <c r="B3" s="5"/>
      <c r="C3" s="5"/>
      <c r="D3" s="5"/>
      <c r="E3" s="8" t="str">
        <f>'RECAP #XXXX.XX '!E3</f>
        <v xml:space="preserve">Major Program </v>
      </c>
      <c r="F3" s="5"/>
      <c r="G3" s="4"/>
      <c r="H3" s="28"/>
    </row>
    <row r="4" spans="1:8" ht="15.75" x14ac:dyDescent="0.25">
      <c r="A4" s="67" t="s">
        <v>30</v>
      </c>
      <c r="B4" s="68"/>
      <c r="C4" s="68"/>
      <c r="D4" s="68"/>
      <c r="E4" s="33"/>
      <c r="F4" s="5"/>
      <c r="G4" s="28"/>
      <c r="H4" s="28"/>
    </row>
    <row r="5" spans="1:8" ht="15.75" x14ac:dyDescent="0.25">
      <c r="A5" s="11"/>
      <c r="B5" s="35"/>
      <c r="C5" s="35"/>
      <c r="D5" s="35"/>
      <c r="E5" s="69" t="s">
        <v>31</v>
      </c>
      <c r="F5" s="5"/>
      <c r="G5" s="38"/>
      <c r="H5" s="39"/>
    </row>
    <row r="6" spans="1:8" ht="15.75" x14ac:dyDescent="0.25">
      <c r="A6" s="34" t="s">
        <v>66</v>
      </c>
      <c r="B6" s="11"/>
      <c r="C6" s="11"/>
      <c r="D6" s="11"/>
      <c r="E6" s="8" t="s">
        <v>95</v>
      </c>
      <c r="F6" s="35"/>
      <c r="G6" s="38"/>
      <c r="H6" s="39"/>
    </row>
    <row r="7" spans="1:8" ht="15.75" x14ac:dyDescent="0.25">
      <c r="A7" s="11" t="str">
        <f>'RECAP #XXXX.XX '!B6</f>
        <v xml:space="preserve">Project Manager - </v>
      </c>
      <c r="B7" s="44"/>
      <c r="C7" s="44"/>
      <c r="D7" s="44"/>
      <c r="E7" s="44"/>
      <c r="F7" s="5"/>
      <c r="G7" s="39"/>
      <c r="H7" s="39"/>
    </row>
    <row r="8" spans="1:8" ht="32.25" thickBot="1" x14ac:dyDescent="0.3">
      <c r="A8" s="45" t="s">
        <v>32</v>
      </c>
      <c r="B8" s="46" t="s">
        <v>17</v>
      </c>
      <c r="C8" s="64" t="s">
        <v>27</v>
      </c>
      <c r="D8" s="64" t="s">
        <v>28</v>
      </c>
      <c r="E8" s="47" t="s">
        <v>18</v>
      </c>
      <c r="F8" s="48" t="s">
        <v>33</v>
      </c>
      <c r="G8" s="48" t="s">
        <v>21</v>
      </c>
      <c r="H8" s="48" t="s">
        <v>22</v>
      </c>
    </row>
    <row r="9" spans="1:8" s="223" customFormat="1" ht="12.75" customHeight="1" x14ac:dyDescent="0.25">
      <c r="A9" s="239"/>
      <c r="B9" s="177"/>
      <c r="C9" s="230"/>
      <c r="D9" s="230"/>
      <c r="E9" s="176"/>
      <c r="F9" s="259"/>
      <c r="G9" s="260"/>
      <c r="H9" s="260">
        <f>G9</f>
        <v>0</v>
      </c>
    </row>
    <row r="10" spans="1:8" s="223" customFormat="1" ht="12.75" customHeight="1" x14ac:dyDescent="0.25">
      <c r="A10" s="241"/>
      <c r="B10" s="177"/>
      <c r="C10" s="240"/>
      <c r="D10" s="240"/>
      <c r="E10" s="258"/>
      <c r="F10" s="252"/>
      <c r="G10" s="260"/>
      <c r="H10" s="260">
        <f>H9+G10</f>
        <v>0</v>
      </c>
    </row>
    <row r="11" spans="1:8" s="223" customFormat="1" ht="12.75" customHeight="1" x14ac:dyDescent="0.25">
      <c r="A11" s="241"/>
      <c r="B11" s="177"/>
      <c r="C11" s="177"/>
      <c r="D11" s="177"/>
      <c r="E11" s="258"/>
      <c r="F11" s="252"/>
      <c r="G11" s="260"/>
      <c r="H11" s="260">
        <f t="shared" ref="H11:H20" si="0">H10+G11</f>
        <v>0</v>
      </c>
    </row>
    <row r="12" spans="1:8" s="223" customFormat="1" ht="12.75" customHeight="1" x14ac:dyDescent="0.25">
      <c r="A12" s="241" t="s">
        <v>2</v>
      </c>
      <c r="B12" s="177" t="s">
        <v>2</v>
      </c>
      <c r="C12" s="177"/>
      <c r="D12" s="177"/>
      <c r="E12" s="258" t="s">
        <v>2</v>
      </c>
      <c r="F12" s="252"/>
      <c r="G12" s="260"/>
      <c r="H12" s="260">
        <f t="shared" si="0"/>
        <v>0</v>
      </c>
    </row>
    <row r="13" spans="1:8" s="223" customFormat="1" ht="12.75" customHeight="1" x14ac:dyDescent="0.25">
      <c r="A13" s="241" t="s">
        <v>2</v>
      </c>
      <c r="B13" s="177" t="s">
        <v>2</v>
      </c>
      <c r="C13" s="177"/>
      <c r="D13" s="177"/>
      <c r="E13" s="258" t="s">
        <v>2</v>
      </c>
      <c r="F13" s="252"/>
      <c r="G13" s="260"/>
      <c r="H13" s="260">
        <f t="shared" si="0"/>
        <v>0</v>
      </c>
    </row>
    <row r="14" spans="1:8" s="223" customFormat="1" ht="12.75" customHeight="1" x14ac:dyDescent="0.25">
      <c r="A14" s="241"/>
      <c r="B14" s="177"/>
      <c r="C14" s="177"/>
      <c r="D14" s="177"/>
      <c r="E14" s="258"/>
      <c r="F14" s="252"/>
      <c r="G14" s="260"/>
      <c r="H14" s="260">
        <f t="shared" si="0"/>
        <v>0</v>
      </c>
    </row>
    <row r="15" spans="1:8" s="223" customFormat="1" ht="12.75" customHeight="1" x14ac:dyDescent="0.25">
      <c r="A15" s="241"/>
      <c r="B15" s="177"/>
      <c r="C15" s="177"/>
      <c r="D15" s="177"/>
      <c r="E15" s="261"/>
      <c r="F15" s="252"/>
      <c r="G15" s="260"/>
      <c r="H15" s="260">
        <f t="shared" si="0"/>
        <v>0</v>
      </c>
    </row>
    <row r="16" spans="1:8" s="223" customFormat="1" ht="12.75" customHeight="1" x14ac:dyDescent="0.25">
      <c r="A16" s="241"/>
      <c r="B16" s="177"/>
      <c r="C16" s="177"/>
      <c r="D16" s="177"/>
      <c r="E16" s="258"/>
      <c r="F16" s="252"/>
      <c r="G16" s="260"/>
      <c r="H16" s="260">
        <f t="shared" si="0"/>
        <v>0</v>
      </c>
    </row>
    <row r="17" spans="1:8" s="223" customFormat="1" ht="12.75" customHeight="1" x14ac:dyDescent="0.25">
      <c r="A17" s="230"/>
      <c r="B17" s="177"/>
      <c r="C17" s="177"/>
      <c r="D17" s="177"/>
      <c r="E17" s="258"/>
      <c r="F17" s="252"/>
      <c r="G17" s="260"/>
      <c r="H17" s="260">
        <f t="shared" si="0"/>
        <v>0</v>
      </c>
    </row>
    <row r="18" spans="1:8" s="223" customFormat="1" ht="12.75" customHeight="1" x14ac:dyDescent="0.25">
      <c r="A18" s="230"/>
      <c r="B18" s="177"/>
      <c r="C18" s="177"/>
      <c r="D18" s="177"/>
      <c r="E18" s="258"/>
      <c r="F18" s="252"/>
      <c r="G18" s="260"/>
      <c r="H18" s="260">
        <f t="shared" si="0"/>
        <v>0</v>
      </c>
    </row>
    <row r="19" spans="1:8" s="223" customFormat="1" ht="12.75" customHeight="1" x14ac:dyDescent="0.25">
      <c r="A19" s="230"/>
      <c r="B19" s="177"/>
      <c r="C19" s="177"/>
      <c r="D19" s="177"/>
      <c r="E19" s="258"/>
      <c r="F19" s="252"/>
      <c r="G19" s="260"/>
      <c r="H19" s="260">
        <f t="shared" si="0"/>
        <v>0</v>
      </c>
    </row>
    <row r="20" spans="1:8" s="223" customFormat="1" ht="12.75" customHeight="1" x14ac:dyDescent="0.25">
      <c r="A20" s="230"/>
      <c r="B20" s="177"/>
      <c r="C20" s="177"/>
      <c r="D20" s="177"/>
      <c r="E20" s="258"/>
      <c r="F20" s="252"/>
      <c r="G20" s="260"/>
      <c r="H20" s="260">
        <f t="shared" si="0"/>
        <v>0</v>
      </c>
    </row>
    <row r="21" spans="1:8" s="223" customFormat="1" ht="12.75" customHeight="1" x14ac:dyDescent="0.25">
      <c r="A21" s="230"/>
      <c r="B21" s="240"/>
      <c r="C21" s="240"/>
      <c r="D21" s="240"/>
      <c r="E21" s="258"/>
      <c r="F21" s="260"/>
      <c r="G21" s="258"/>
      <c r="H21" s="260"/>
    </row>
    <row r="22" spans="1:8" s="223" customFormat="1" ht="12.75" customHeight="1" thickBot="1" x14ac:dyDescent="0.3">
      <c r="A22" s="262"/>
      <c r="B22" s="263"/>
      <c r="C22" s="263"/>
      <c r="D22" s="263"/>
      <c r="E22" s="264" t="s">
        <v>24</v>
      </c>
      <c r="F22" s="265"/>
      <c r="G22" s="245">
        <f>SUM(G9:G21)</f>
        <v>0</v>
      </c>
      <c r="H22" s="265"/>
    </row>
    <row r="23" spans="1:8" ht="15" customHeight="1" thickTop="1" x14ac:dyDescent="0.25"/>
  </sheetData>
  <pageMargins left="0.25" right="0.25" top="0.95" bottom="0.75" header="0.09" footer="0.3"/>
  <pageSetup scale="78" orientation="portrait" r:id="rId1"/>
  <headerFooter alignWithMargins="0">
    <oddHeader>&amp;CDepartment of Administrative Services
Major Maintenance 
MM26
&amp;A
&amp;D</oddHeader>
    <oddFooter>&amp;LAcct Codes 0017-335-MM26
Reversion 6/30/2028
&amp;C&amp;Z&amp;F&amp;R&amp;P/&amp;N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212</vt:i4>
      </vt:variant>
      <vt:variant>
        <vt:lpstr>Named Ranges</vt:lpstr>
      </vt:variant>
      <vt:variant>
        <vt:i4>5</vt:i4>
      </vt:variant>
    </vt:vector>
  </HeadingPairs>
  <TitlesOfParts>
    <vt:vector size="217" baseType="lpstr">
      <vt:lpstr>Language</vt:lpstr>
      <vt:lpstr>FINANCIAL</vt:lpstr>
      <vt:lpstr>RECAP #9997.26</vt:lpstr>
      <vt:lpstr>#9997.26 PM TIME </vt:lpstr>
      <vt:lpstr>RECAP #9440.01</vt:lpstr>
      <vt:lpstr>#9440.01 DCI Group</vt:lpstr>
      <vt:lpstr>#9440.01 PM TIME </vt:lpstr>
      <vt:lpstr>#9440.01 Misc </vt:lpstr>
      <vt:lpstr>#9440.01 OPN Architects</vt:lpstr>
      <vt:lpstr>#9440.01 DCI Group (2)</vt:lpstr>
      <vt:lpstr>#9440.01 Bergstrom Construction</vt:lpstr>
      <vt:lpstr>#9440.01 VanMaanen Electric</vt:lpstr>
      <vt:lpstr>#9440.01 Schumacher Elevator</vt:lpstr>
      <vt:lpstr>RECAP #9455.00</vt:lpstr>
      <vt:lpstr>#9455.00 McKinnis Roofing</vt:lpstr>
      <vt:lpstr>#9455.00 PM TIME </vt:lpstr>
      <vt:lpstr>#9455.00 Misc</vt:lpstr>
      <vt:lpstr>#9455.00 Samuels Group</vt:lpstr>
      <vt:lpstr>RECAP #9483.00</vt:lpstr>
      <vt:lpstr>#9483.00 DCI Group</vt:lpstr>
      <vt:lpstr>#9483.00 PM TIME</vt:lpstr>
      <vt:lpstr>#9483.00 Misc</vt:lpstr>
      <vt:lpstr>#9483.00 Genesis Architectural</vt:lpstr>
      <vt:lpstr>#9483.00 Academy Roofing</vt:lpstr>
      <vt:lpstr>#9483.00 DCI Group (2)</vt:lpstr>
      <vt:lpstr>RECAP #9484.00</vt:lpstr>
      <vt:lpstr>#9484.00 DCI Group</vt:lpstr>
      <vt:lpstr>#9484.00 PM TIME</vt:lpstr>
      <vt:lpstr>#9484.00 Misc</vt:lpstr>
      <vt:lpstr>#9484.00 OPN Architects</vt:lpstr>
      <vt:lpstr>#9484.00 GTG Construction</vt:lpstr>
      <vt:lpstr>#9484.00 Schumacher Elevator</vt:lpstr>
      <vt:lpstr>#9484.00 DCI Group (2)</vt:lpstr>
      <vt:lpstr>#9484.00 J.Pettiecord</vt:lpstr>
      <vt:lpstr>RECAP #9491.00</vt:lpstr>
      <vt:lpstr>#9491.00 DCI Group</vt:lpstr>
      <vt:lpstr>#9491.00 PM TIME </vt:lpstr>
      <vt:lpstr>#9491.00 Misc </vt:lpstr>
      <vt:lpstr>#9491.00 KCL Engineering</vt:lpstr>
      <vt:lpstr>#9491.00 Modern Piping Service</vt:lpstr>
      <vt:lpstr>#9491.00 DCI Group (2)</vt:lpstr>
      <vt:lpstr>RECAP #9494.00</vt:lpstr>
      <vt:lpstr>#9494.00 Vendor A </vt:lpstr>
      <vt:lpstr>#9494.00 PM TIME</vt:lpstr>
      <vt:lpstr>#9494.00 Misc </vt:lpstr>
      <vt:lpstr>RECAP #9495.00</vt:lpstr>
      <vt:lpstr>#9495.00 Vendor A </vt:lpstr>
      <vt:lpstr>#9495.00 PM TIME </vt:lpstr>
      <vt:lpstr>#9495.00 Misc</vt:lpstr>
      <vt:lpstr>RECAP #9496.00</vt:lpstr>
      <vt:lpstr>#9496.00 McGough Construction</vt:lpstr>
      <vt:lpstr>#9496.00 PM TIME</vt:lpstr>
      <vt:lpstr>#9496.00 Misc</vt:lpstr>
      <vt:lpstr>#9496.00 CMB Architects</vt:lpstr>
      <vt:lpstr>#9496.00 McGough Constructi (2)</vt:lpstr>
      <vt:lpstr>#9496.00 Timekey Enterprise</vt:lpstr>
      <vt:lpstr>RECAP #9497.00</vt:lpstr>
      <vt:lpstr>#9497.00 Story Construction</vt:lpstr>
      <vt:lpstr>#9497.00 PM TIME</vt:lpstr>
      <vt:lpstr>#9497.00 Misc</vt:lpstr>
      <vt:lpstr>#9497.00 ECS Midwest</vt:lpstr>
      <vt:lpstr>#9497.00 Story Construction (2)</vt:lpstr>
      <vt:lpstr>#9497.00 Service Roofing</vt:lpstr>
      <vt:lpstr>#9497.00 Advanced Environmental</vt:lpstr>
      <vt:lpstr>RECAP #9498.00</vt:lpstr>
      <vt:lpstr>#9498.00 DCI Group</vt:lpstr>
      <vt:lpstr>#9498.00 PM TIME</vt:lpstr>
      <vt:lpstr>#9498.00 Misc</vt:lpstr>
      <vt:lpstr>#9498.00 OPN Architects</vt:lpstr>
      <vt:lpstr>#9498.00 MB Lawn Care</vt:lpstr>
      <vt:lpstr>#9498.00 DCI Group (2)</vt:lpstr>
      <vt:lpstr>#9498.00 Concrete Connections</vt:lpstr>
      <vt:lpstr>RECAP #9499.00</vt:lpstr>
      <vt:lpstr>#9499.00 Boyd Jones</vt:lpstr>
      <vt:lpstr>#9499.00 PM TIME </vt:lpstr>
      <vt:lpstr>#9499.00 Misc </vt:lpstr>
      <vt:lpstr>#9499.00 Larson Engineering</vt:lpstr>
      <vt:lpstr>#9499.00 Boyd Jones (2)</vt:lpstr>
      <vt:lpstr>#9499.00 Core Construction</vt:lpstr>
      <vt:lpstr>RECAP #9500.00</vt:lpstr>
      <vt:lpstr>#9500.00 McGough Construction</vt:lpstr>
      <vt:lpstr>#9500.00 PM TIME</vt:lpstr>
      <vt:lpstr>#9500.00 Misc</vt:lpstr>
      <vt:lpstr>#9500.00 KCL Engineering</vt:lpstr>
      <vt:lpstr>#9500.00 Terracon Consultants</vt:lpstr>
      <vt:lpstr>#9500.00 McGough Constructi (2)</vt:lpstr>
      <vt:lpstr>#9500.00 Acterra Group</vt:lpstr>
      <vt:lpstr>RECAP #9501.00</vt:lpstr>
      <vt:lpstr>#9501.00 McGough Construction</vt:lpstr>
      <vt:lpstr>#9501.00 PM TIME</vt:lpstr>
      <vt:lpstr>#9501.00 Misc</vt:lpstr>
      <vt:lpstr>#9501.00 IMEG Corp</vt:lpstr>
      <vt:lpstr>#9501.00 McGough Constructi (2)</vt:lpstr>
      <vt:lpstr>#9501.00 Winger Contracting</vt:lpstr>
      <vt:lpstr>RECAP #9502.00</vt:lpstr>
      <vt:lpstr>#9502.00 McGough Construction</vt:lpstr>
      <vt:lpstr>#9502.00 PM TIME</vt:lpstr>
      <vt:lpstr>#9502.00 Misc </vt:lpstr>
      <vt:lpstr>#9502.00 Modus Engineering</vt:lpstr>
      <vt:lpstr>#9502.00 McGough Constructi (2)</vt:lpstr>
      <vt:lpstr>#9502.00 Modern Piping</vt:lpstr>
      <vt:lpstr>RECAP #9503.00</vt:lpstr>
      <vt:lpstr>#9503.00 Story Construction</vt:lpstr>
      <vt:lpstr>#9503.00 PM TIME </vt:lpstr>
      <vt:lpstr>#9503.00 Misc</vt:lpstr>
      <vt:lpstr>#9503.00 SystemWorks</vt:lpstr>
      <vt:lpstr>#9503.00 10Fold Architecture</vt:lpstr>
      <vt:lpstr>#9503.00 Story Construction (2)</vt:lpstr>
      <vt:lpstr>#9503.00 ForSureRoofing</vt:lpstr>
      <vt:lpstr>RECAP #9504.00</vt:lpstr>
      <vt:lpstr>#9504.00 Story Construction</vt:lpstr>
      <vt:lpstr>#9504.00 PM TIME</vt:lpstr>
      <vt:lpstr>#9504.00 Misc</vt:lpstr>
      <vt:lpstr>#9504.00 OPN Architects</vt:lpstr>
      <vt:lpstr>#9504.00 Story Construction (2)</vt:lpstr>
      <vt:lpstr>#9504.00 Schumacher Elevator</vt:lpstr>
      <vt:lpstr>RECAP #9505.00</vt:lpstr>
      <vt:lpstr>#9505.00 Shive Hattery</vt:lpstr>
      <vt:lpstr>#9505.00 PM TIME</vt:lpstr>
      <vt:lpstr>#9505.00 Misc</vt:lpstr>
      <vt:lpstr>#9505.00 Boyd Jones</vt:lpstr>
      <vt:lpstr>#9505.00 Midwest Fence &amp; Gate</vt:lpstr>
      <vt:lpstr>#9505.00 Boyd Jones (2)</vt:lpstr>
      <vt:lpstr>RECAP #9506.00</vt:lpstr>
      <vt:lpstr>#9506.00 McGough Construction</vt:lpstr>
      <vt:lpstr>#9506.00 PM TIME</vt:lpstr>
      <vt:lpstr>#9506.00 Misc</vt:lpstr>
      <vt:lpstr>#9506.00 Bolton and Menk</vt:lpstr>
      <vt:lpstr>#9506.00 Terracon</vt:lpstr>
      <vt:lpstr>RECAP #9507.00</vt:lpstr>
      <vt:lpstr>#9507.00 SYSKool</vt:lpstr>
      <vt:lpstr>#9507.00 PM TIME</vt:lpstr>
      <vt:lpstr>#9507.00 Misc</vt:lpstr>
      <vt:lpstr>RECAP #9508.00</vt:lpstr>
      <vt:lpstr>#9508.00 Story Construction</vt:lpstr>
      <vt:lpstr>#9508.00 PM TIME</vt:lpstr>
      <vt:lpstr>#9508.00 Misc </vt:lpstr>
      <vt:lpstr>#9508.00 CMB Architects</vt:lpstr>
      <vt:lpstr>#9508.00 Story Construction (2)</vt:lpstr>
      <vt:lpstr>#9508.00 White Castle Roofing</vt:lpstr>
      <vt:lpstr>RECAP #9509.00</vt:lpstr>
      <vt:lpstr>#9509.00 Vendor A</vt:lpstr>
      <vt:lpstr>#9509.00 PM TIME</vt:lpstr>
      <vt:lpstr>#9509.00 Misc</vt:lpstr>
      <vt:lpstr>RECAP #9510.00</vt:lpstr>
      <vt:lpstr>#9510.00 Vendor A</vt:lpstr>
      <vt:lpstr>#9510.00 PM TIME</vt:lpstr>
      <vt:lpstr>#9510.00 Misc</vt:lpstr>
      <vt:lpstr>RECAP #9511.00</vt:lpstr>
      <vt:lpstr>#9511.00 McGough Construction</vt:lpstr>
      <vt:lpstr>#9511.00 PM TIME</vt:lpstr>
      <vt:lpstr>#9511.00 Misc</vt:lpstr>
      <vt:lpstr>#9511.00 Bolton and Menk</vt:lpstr>
      <vt:lpstr>#9511.00 Terracon Consultants</vt:lpstr>
      <vt:lpstr>#9511.00 McGough Construction 2</vt:lpstr>
      <vt:lpstr>#9511.00 Jones Contracting</vt:lpstr>
      <vt:lpstr>RECAP #9512.00</vt:lpstr>
      <vt:lpstr>#9512.00 Larson Engineering</vt:lpstr>
      <vt:lpstr>#9512.00 PM TIME</vt:lpstr>
      <vt:lpstr>#9512.00 Misc</vt:lpstr>
      <vt:lpstr>#9512.00 Boyd Jones</vt:lpstr>
      <vt:lpstr>#9512.00 Boyd Jones (2)</vt:lpstr>
      <vt:lpstr>RECAP #9513.00</vt:lpstr>
      <vt:lpstr>#9513.00 DCI Group</vt:lpstr>
      <vt:lpstr>#9513.00 PM TIME</vt:lpstr>
      <vt:lpstr>#9513.00 Misc</vt:lpstr>
      <vt:lpstr>#9513.00 Kezlo Group</vt:lpstr>
      <vt:lpstr>#9513.00 Bi-State Masonry</vt:lpstr>
      <vt:lpstr>#9513.00 DCI Group (2)</vt:lpstr>
      <vt:lpstr>RECAP #9514.00</vt:lpstr>
      <vt:lpstr>#9514.00 Horizon Architecture</vt:lpstr>
      <vt:lpstr>#9514.00 PM TIME </vt:lpstr>
      <vt:lpstr>#9514.00 Misc </vt:lpstr>
      <vt:lpstr>RECAP #9519.00</vt:lpstr>
      <vt:lpstr>#9519.00 Story Construction</vt:lpstr>
      <vt:lpstr>#9519.00 PM TIME</vt:lpstr>
      <vt:lpstr>#9519.00 Misc</vt:lpstr>
      <vt:lpstr>#9519.00 10Fold Architecture</vt:lpstr>
      <vt:lpstr>#9519.00 Story Construction (2)</vt:lpstr>
      <vt:lpstr>#9519.00 Advanced Environmental</vt:lpstr>
      <vt:lpstr>RECAP #9521.00</vt:lpstr>
      <vt:lpstr>#9521.00 Boyd Jones</vt:lpstr>
      <vt:lpstr>#9521.00 PM TIME </vt:lpstr>
      <vt:lpstr>#9521.00 Misc</vt:lpstr>
      <vt:lpstr>#9521.00 Genesis Architectural</vt:lpstr>
      <vt:lpstr>#9521.00 Academy Roofing</vt:lpstr>
      <vt:lpstr>#9521.00 Boyd Jones (2)</vt:lpstr>
      <vt:lpstr>#9521.00 McGough Construction</vt:lpstr>
      <vt:lpstr>RECAP #9524.00</vt:lpstr>
      <vt:lpstr>#9524.00 McGough Construction</vt:lpstr>
      <vt:lpstr>#9524.00 PM TIME</vt:lpstr>
      <vt:lpstr>#9524.00 Misc </vt:lpstr>
      <vt:lpstr>#9524.00 Shive Hattery</vt:lpstr>
      <vt:lpstr>RECAP #9527.00</vt:lpstr>
      <vt:lpstr>#9527.00 DCI Group</vt:lpstr>
      <vt:lpstr>#9527.00 PM TIME</vt:lpstr>
      <vt:lpstr>#9527.00 Misc</vt:lpstr>
      <vt:lpstr>#9527.00 CMBA Architects</vt:lpstr>
      <vt:lpstr>RECAP #9529.00</vt:lpstr>
      <vt:lpstr>#9529.00 DCI Group</vt:lpstr>
      <vt:lpstr>#9529.00 PM TIME</vt:lpstr>
      <vt:lpstr>#9529.00 Misc </vt:lpstr>
      <vt:lpstr>#9529.00 CMB Architects</vt:lpstr>
      <vt:lpstr>RECAP #9530.00</vt:lpstr>
      <vt:lpstr>#9530.00 Story Construction</vt:lpstr>
      <vt:lpstr>#9530.00 PM TIME</vt:lpstr>
      <vt:lpstr>#9530.00 Misc</vt:lpstr>
      <vt:lpstr>#9530.00 10Fold Architecture</vt:lpstr>
      <vt:lpstr>RECAP #XXXX.XX </vt:lpstr>
      <vt:lpstr>#XXXX.XX Vendor A</vt:lpstr>
      <vt:lpstr>#XXXX.XX PM TIME</vt:lpstr>
      <vt:lpstr>#XXXX.XX Misc</vt:lpstr>
      <vt:lpstr>'#9491.00 DCI Group'!Print_Area</vt:lpstr>
      <vt:lpstr>'#9491.00 DCI Group (2)'!Print_Area</vt:lpstr>
      <vt:lpstr>'#9491.00 KCL Engineering'!Print_Area</vt:lpstr>
      <vt:lpstr>FINANCIAL!Print_Area</vt:lpstr>
      <vt:lpstr>FINANCIAL!Print_Titles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Huggins, Joni [DAS]</dc:creator>
  <cp:lastModifiedBy>Huggins, Joni</cp:lastModifiedBy>
  <cp:lastPrinted>2026-10-01T13:03:06Z</cp:lastPrinted>
  <dcterms:created xsi:type="dcterms:W3CDTF">2015-06-05T18:17:20Z</dcterms:created>
  <dcterms:modified xsi:type="dcterms:W3CDTF">2026-10-01T14:03:36Z</dcterms:modified>
</cp:coreProperties>
</file>