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90BB4962-0650-4DF3-BC6A-AE1A3456D8AF}" xr6:coauthVersionLast="47" xr6:coauthVersionMax="47" xr10:uidLastSave="{00000000-0000-0000-0000-000000000000}"/>
  <bookViews>
    <workbookView xWindow="-28920" yWindow="-135" windowWidth="29040" windowHeight="15720" tabRatio="950" xr2:uid="{00000000-000D-0000-FFFF-FFFF00000000}"/>
  </bookViews>
  <sheets>
    <sheet name="FINANCIAL" sheetId="17" r:id="rId1"/>
    <sheet name="RECAP #9279.50" sheetId="88" r:id="rId2"/>
    <sheet name="#9279.50 Funds Rec'd" sheetId="89" r:id="rId3"/>
    <sheet name="#9279.50 Shive Hattery" sheetId="90" r:id="rId4"/>
    <sheet name="#9279.50 PM TIME" sheetId="91" r:id="rId5"/>
    <sheet name="#9279.50 Misc" sheetId="92" r:id="rId6"/>
    <sheet name="#9279.50 StoryConstruction" sheetId="108" r:id="rId7"/>
    <sheet name="RECAP #9438.00" sheetId="74" r:id="rId8"/>
    <sheet name="#9438.00 Funds Rec'd" sheetId="75" r:id="rId9"/>
    <sheet name="#9438.00 Jasper Construction" sheetId="76" r:id="rId10"/>
    <sheet name="#9438.00 PM TIME" sheetId="77" r:id="rId11"/>
    <sheet name="#9438.00 Misc" sheetId="78" r:id="rId12"/>
    <sheet name="RECAP #9471.00" sheetId="59" r:id="rId13"/>
    <sheet name="#9471.00 Funds Rec'd " sheetId="60" r:id="rId14"/>
    <sheet name="#9471.00 MidState Plumbing" sheetId="61" r:id="rId15"/>
    <sheet name="#9471.00 PM TIME" sheetId="62" r:id="rId16"/>
    <sheet name="#9471.00 Misc" sheetId="63" r:id="rId17"/>
    <sheet name="RECAP #9480.01" sheetId="23" r:id="rId18"/>
    <sheet name="#9480.01 Funds Rec'd " sheetId="24" r:id="rId19"/>
    <sheet name="#9480.01 TB Rigid Edge Exterior" sheetId="25" r:id="rId20"/>
    <sheet name="#9480.01 PM TIME " sheetId="26" r:id="rId21"/>
    <sheet name="#9480.01 Misc " sheetId="27" r:id="rId22"/>
    <sheet name="#9480.01 Genesis Architectural" sheetId="79" r:id="rId23"/>
    <sheet name="#9480.01 McGough Construction" sheetId="80" r:id="rId24"/>
    <sheet name="#9480.01 Hilsabeck Schacht" sheetId="83" r:id="rId25"/>
    <sheet name="#9480.01 MTS Contracting" sheetId="84" r:id="rId26"/>
    <sheet name="#9480.01 Kinzler Construction" sheetId="85" r:id="rId27"/>
    <sheet name="RECAP #9481.00" sheetId="18" r:id="rId28"/>
    <sheet name="#9481.00 Funds Rec'd " sheetId="19" r:id="rId29"/>
    <sheet name="#9481.00 Vendor A " sheetId="20" r:id="rId30"/>
    <sheet name="#9481.00 PM TIME " sheetId="21" r:id="rId31"/>
    <sheet name="#9481.00 Misc" sheetId="22" r:id="rId32"/>
    <sheet name="RECAP #9482.00" sheetId="54" r:id="rId33"/>
    <sheet name="#9482.00 Funds Rec'd" sheetId="55" r:id="rId34"/>
    <sheet name="#9482.00 McGough Construction" sheetId="56" r:id="rId35"/>
    <sheet name="#9482.00 PM TIME" sheetId="57" r:id="rId36"/>
    <sheet name="#9482.00 Misc" sheetId="58" r:id="rId37"/>
    <sheet name="#9482.00 KCL Engineering" sheetId="82" r:id="rId38"/>
    <sheet name="#9482.00 Systems Management" sheetId="106" r:id="rId39"/>
    <sheet name="RECAP #9486.00" sheetId="28" r:id="rId40"/>
    <sheet name="#9486.00 Funds Rec'd" sheetId="29" r:id="rId41"/>
    <sheet name="#9486.00 DCI Group" sheetId="30" r:id="rId42"/>
    <sheet name="#9486.00 PM TIME" sheetId="31" r:id="rId43"/>
    <sheet name="#9486.00 Misc" sheetId="32" r:id="rId44"/>
    <sheet name="#9486.00 Ralph N Smith Flooring" sheetId="86" r:id="rId45"/>
    <sheet name="#9486.00 DCI Group (2)" sheetId="95" r:id="rId46"/>
    <sheet name="RECAP #9487.00" sheetId="33" r:id="rId47"/>
    <sheet name="#9487.00 Funds Rec'd" sheetId="34" r:id="rId48"/>
    <sheet name="#9487.00 DCI Group" sheetId="35" r:id="rId49"/>
    <sheet name="#9487.00 PM TIME" sheetId="36" r:id="rId50"/>
    <sheet name="#9487.00 Misc" sheetId="37" r:id="rId51"/>
    <sheet name="#9487.00 Genesis Architectural" sheetId="87" r:id="rId52"/>
    <sheet name="#9487.00 Genesis Architectu (2)" sheetId="109" r:id="rId53"/>
    <sheet name="RECAP #9488.00" sheetId="43" r:id="rId54"/>
    <sheet name="#9488.00 Funds Rec'd " sheetId="44" r:id="rId55"/>
    <sheet name="#9488.00 Samuels Group" sheetId="45" r:id="rId56"/>
    <sheet name="#9488.00 PM TIME" sheetId="46" r:id="rId57"/>
    <sheet name="#9488.00 Misc" sheetId="47" r:id="rId58"/>
    <sheet name="#9488.00 SVPA Architects" sheetId="94" r:id="rId59"/>
    <sheet name="RECAP #9489.00" sheetId="48" r:id="rId60"/>
    <sheet name="#9489.00 Funds Rec'd" sheetId="49" r:id="rId61"/>
    <sheet name="#9489.00 McGough Construction" sheetId="50" r:id="rId62"/>
    <sheet name="#9489.00 PM TIME" sheetId="51" r:id="rId63"/>
    <sheet name="#9489.00 Misc" sheetId="52" r:id="rId64"/>
    <sheet name="RECAP #9490.00" sheetId="64" r:id="rId65"/>
    <sheet name="#9490.00 Funds Rec'd " sheetId="65" r:id="rId66"/>
    <sheet name="#9490.00 Vendor A " sheetId="66" r:id="rId67"/>
    <sheet name="#9490.00 PM TIME" sheetId="67" r:id="rId68"/>
    <sheet name="#9490.00 Misc " sheetId="68" r:id="rId69"/>
    <sheet name="RECAP #9492.00" sheetId="69" r:id="rId70"/>
    <sheet name="#9492.00 Funds Rec'd" sheetId="70" r:id="rId71"/>
    <sheet name="#9492.00 Samuels Group" sheetId="71" r:id="rId72"/>
    <sheet name="#9492.00 PM TIME" sheetId="72" r:id="rId73"/>
    <sheet name="#9492.00 Misc" sheetId="73" r:id="rId74"/>
    <sheet name="#9492.00 Quick Enterprise LLC" sheetId="93" r:id="rId75"/>
    <sheet name="RECAP #9515.00" sheetId="96" r:id="rId76"/>
    <sheet name="#9515.00 Funds Rec'd" sheetId="97" r:id="rId77"/>
    <sheet name="#9515.00 Vendor A " sheetId="98" r:id="rId78"/>
    <sheet name="#9515.00 PM TIME " sheetId="99" r:id="rId79"/>
    <sheet name="#9515.00 Misc " sheetId="100" r:id="rId80"/>
    <sheet name="RECAP #9517.00" sheetId="101" r:id="rId81"/>
    <sheet name="#9517.00 Funds Rec'd " sheetId="102" r:id="rId82"/>
    <sheet name="#9517.00 DCI Group" sheetId="103" r:id="rId83"/>
    <sheet name="#9517.00 PM TIME" sheetId="104" r:id="rId84"/>
    <sheet name="#9517.00 Misc" sheetId="105" r:id="rId85"/>
    <sheet name="#9517.00 Shive Hattery" sheetId="107" r:id="rId86"/>
    <sheet name=" Funds Rec'd incorrectly" sheetId="81" r:id="rId87"/>
    <sheet name="RECAP #XXXX.XX" sheetId="38" r:id="rId88"/>
    <sheet name="#XXXX.XX Funds Rec'd" sheetId="39" r:id="rId89"/>
    <sheet name="#XXXX.XX Vendor A " sheetId="40" r:id="rId90"/>
    <sheet name="#XXXX.XX PM TIME" sheetId="41" r:id="rId91"/>
    <sheet name="#XXXX.XX Misc" sheetId="42" r:id="rId92"/>
  </sheets>
  <externalReferences>
    <externalReference r:id="rId93"/>
    <externalReference r:id="rId94"/>
    <externalReference r:id="rId95"/>
  </externalReferences>
  <definedNames>
    <definedName name="_xlnm._FilterDatabase" localSheetId="0" hidden="1">FINANCIAL!$A$13:$K$13</definedName>
    <definedName name="_xlnm.Print_Titles" localSheetId="0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3" l="1"/>
  <c r="F23" i="109"/>
  <c r="E14" i="33" s="1"/>
  <c r="D23" i="109"/>
  <c r="G10" i="109"/>
  <c r="G11" i="109" s="1"/>
  <c r="G12" i="109" s="1"/>
  <c r="G13" i="109" s="1"/>
  <c r="G14" i="109" s="1"/>
  <c r="G15" i="109" s="1"/>
  <c r="G16" i="109" s="1"/>
  <c r="G17" i="109" s="1"/>
  <c r="G18" i="109" s="1"/>
  <c r="G19" i="109" s="1"/>
  <c r="G20" i="109" s="1"/>
  <c r="G21" i="109" s="1"/>
  <c r="E9" i="109"/>
  <c r="E10" i="109" s="1"/>
  <c r="E11" i="109" s="1"/>
  <c r="E12" i="109" s="1"/>
  <c r="E13" i="109" s="1"/>
  <c r="E14" i="109" s="1"/>
  <c r="E15" i="109" s="1"/>
  <c r="E16" i="109" s="1"/>
  <c r="E17" i="109" s="1"/>
  <c r="E18" i="109" s="1"/>
  <c r="E19" i="109" s="1"/>
  <c r="E20" i="109" s="1"/>
  <c r="E21" i="109" s="1"/>
  <c r="A6" i="109"/>
  <c r="D3" i="109"/>
  <c r="A3" i="109"/>
  <c r="A2" i="109"/>
  <c r="A1" i="109"/>
  <c r="F28" i="108"/>
  <c r="D28" i="108"/>
  <c r="H27" i="108"/>
  <c r="H26" i="108"/>
  <c r="F23" i="108"/>
  <c r="E13" i="88" s="1"/>
  <c r="D23" i="108"/>
  <c r="D13" i="88" s="1"/>
  <c r="G10" i="108"/>
  <c r="G11" i="108" s="1"/>
  <c r="G12" i="108" s="1"/>
  <c r="G13" i="108" s="1"/>
  <c r="G14" i="108" s="1"/>
  <c r="G15" i="108" s="1"/>
  <c r="G16" i="108" s="1"/>
  <c r="G17" i="108" s="1"/>
  <c r="G18" i="108" s="1"/>
  <c r="G19" i="108" s="1"/>
  <c r="G20" i="108" s="1"/>
  <c r="G21" i="108" s="1"/>
  <c r="E9" i="108"/>
  <c r="H9" i="108" s="1"/>
  <c r="H10" i="108" s="1"/>
  <c r="H11" i="108" s="1"/>
  <c r="H12" i="108" s="1"/>
  <c r="H13" i="108" s="1"/>
  <c r="H14" i="108" s="1"/>
  <c r="H15" i="108" s="1"/>
  <c r="H16" i="108" s="1"/>
  <c r="H17" i="108" s="1"/>
  <c r="H18" i="108" s="1"/>
  <c r="H19" i="108" s="1"/>
  <c r="H20" i="108" s="1"/>
  <c r="H21" i="108" s="1"/>
  <c r="A6" i="108"/>
  <c r="D3" i="108"/>
  <c r="A3" i="108"/>
  <c r="A2" i="108"/>
  <c r="A1" i="108"/>
  <c r="F32" i="94"/>
  <c r="F27" i="94"/>
  <c r="F26" i="94"/>
  <c r="H28" i="108" l="1"/>
  <c r="H23" i="108"/>
  <c r="F13" i="88" s="1"/>
  <c r="H23" i="109"/>
  <c r="F14" i="33" s="1"/>
  <c r="H9" i="109"/>
  <c r="H10" i="109" s="1"/>
  <c r="H11" i="109" s="1"/>
  <c r="H12" i="109" s="1"/>
  <c r="H13" i="109" s="1"/>
  <c r="H14" i="109" s="1"/>
  <c r="H15" i="109" s="1"/>
  <c r="H16" i="109" s="1"/>
  <c r="H17" i="109" s="1"/>
  <c r="H18" i="109" s="1"/>
  <c r="H19" i="109" s="1"/>
  <c r="H20" i="109" s="1"/>
  <c r="H21" i="109" s="1"/>
  <c r="E10" i="108"/>
  <c r="E11" i="108" s="1"/>
  <c r="E12" i="108" s="1"/>
  <c r="E13" i="108" s="1"/>
  <c r="E14" i="108" s="1"/>
  <c r="E15" i="108" s="1"/>
  <c r="E16" i="108" s="1"/>
  <c r="E17" i="108" s="1"/>
  <c r="E18" i="108" s="1"/>
  <c r="E19" i="108" s="1"/>
  <c r="E20" i="108" s="1"/>
  <c r="E21" i="108" s="1"/>
  <c r="F26" i="35"/>
  <c r="F28" i="95"/>
  <c r="F27" i="95"/>
  <c r="F26" i="95"/>
  <c r="H27" i="90" l="1"/>
  <c r="H28" i="90"/>
  <c r="H29" i="90"/>
  <c r="H26" i="90"/>
  <c r="F33" i="107" l="1"/>
  <c r="H27" i="107"/>
  <c r="H28" i="107"/>
  <c r="H29" i="107"/>
  <c r="H30" i="107"/>
  <c r="H31" i="107"/>
  <c r="H32" i="107"/>
  <c r="H26" i="107"/>
  <c r="D33" i="107"/>
  <c r="F23" i="107"/>
  <c r="E13" i="101" s="1"/>
  <c r="D23" i="107"/>
  <c r="G10" i="107"/>
  <c r="G11" i="107" s="1"/>
  <c r="G12" i="107" s="1"/>
  <c r="G13" i="107" s="1"/>
  <c r="G14" i="107" s="1"/>
  <c r="G15" i="107" s="1"/>
  <c r="G16" i="107" s="1"/>
  <c r="G17" i="107" s="1"/>
  <c r="G18" i="107" s="1"/>
  <c r="G19" i="107" s="1"/>
  <c r="G20" i="107" s="1"/>
  <c r="G21" i="107" s="1"/>
  <c r="E9" i="107"/>
  <c r="H9" i="107" s="1"/>
  <c r="H10" i="107" s="1"/>
  <c r="H11" i="107" s="1"/>
  <c r="H12" i="107" s="1"/>
  <c r="H13" i="107" s="1"/>
  <c r="H14" i="107" s="1"/>
  <c r="H15" i="107" s="1"/>
  <c r="H16" i="107" s="1"/>
  <c r="H17" i="107" s="1"/>
  <c r="H18" i="107" s="1"/>
  <c r="H19" i="107" s="1"/>
  <c r="H20" i="107" s="1"/>
  <c r="H21" i="107" s="1"/>
  <c r="A6" i="107"/>
  <c r="D3" i="107"/>
  <c r="A3" i="107"/>
  <c r="A2" i="107"/>
  <c r="A1" i="107"/>
  <c r="E10" i="107" l="1"/>
  <c r="E11" i="107" s="1"/>
  <c r="E12" i="107" s="1"/>
  <c r="E13" i="107" s="1"/>
  <c r="E14" i="107" s="1"/>
  <c r="E15" i="107" s="1"/>
  <c r="E16" i="107" s="1"/>
  <c r="E17" i="107" s="1"/>
  <c r="E18" i="107" s="1"/>
  <c r="E19" i="107" s="1"/>
  <c r="E20" i="107" s="1"/>
  <c r="E21" i="107" s="1"/>
  <c r="H33" i="107"/>
  <c r="H23" i="107"/>
  <c r="F13" i="101" s="1"/>
  <c r="D13" i="101"/>
  <c r="F20" i="72"/>
  <c r="F21" i="72"/>
  <c r="F22" i="72"/>
  <c r="F23" i="72"/>
  <c r="F24" i="72"/>
  <c r="F20" i="46"/>
  <c r="F21" i="46"/>
  <c r="F22" i="46"/>
  <c r="F23" i="46"/>
  <c r="E9" i="26"/>
  <c r="E9" i="91" l="1"/>
  <c r="E9" i="72"/>
  <c r="F26" i="80" l="1"/>
  <c r="I12" i="61" l="1"/>
  <c r="I13" i="61" s="1"/>
  <c r="F26" i="45" l="1"/>
  <c r="F23" i="106" l="1"/>
  <c r="E14" i="54" s="1"/>
  <c r="D23" i="106"/>
  <c r="D14" i="54" s="1"/>
  <c r="G10" i="106"/>
  <c r="G11" i="106" s="1"/>
  <c r="G12" i="106" s="1"/>
  <c r="G13" i="106" s="1"/>
  <c r="G14" i="106" s="1"/>
  <c r="G15" i="106" s="1"/>
  <c r="G16" i="106" s="1"/>
  <c r="G17" i="106" s="1"/>
  <c r="G18" i="106" s="1"/>
  <c r="G19" i="106" s="1"/>
  <c r="G20" i="106" s="1"/>
  <c r="G21" i="106" s="1"/>
  <c r="E9" i="106"/>
  <c r="E10" i="106" s="1"/>
  <c r="E11" i="106" s="1"/>
  <c r="E12" i="106" s="1"/>
  <c r="E13" i="106" s="1"/>
  <c r="E14" i="106" s="1"/>
  <c r="E15" i="106" s="1"/>
  <c r="E16" i="106" s="1"/>
  <c r="E17" i="106" s="1"/>
  <c r="E18" i="106" s="1"/>
  <c r="E19" i="106" s="1"/>
  <c r="E20" i="106" s="1"/>
  <c r="E21" i="106" s="1"/>
  <c r="A6" i="106"/>
  <c r="D3" i="106"/>
  <c r="A3" i="106"/>
  <c r="A2" i="106"/>
  <c r="A1" i="106"/>
  <c r="H23" i="106" l="1"/>
  <c r="F14" i="54" s="1"/>
  <c r="H9" i="106"/>
  <c r="H10" i="106" s="1"/>
  <c r="H11" i="106" s="1"/>
  <c r="H12" i="106" s="1"/>
  <c r="H13" i="106" s="1"/>
  <c r="H14" i="106" s="1"/>
  <c r="H15" i="106" s="1"/>
  <c r="H16" i="106" s="1"/>
  <c r="H17" i="106" s="1"/>
  <c r="H18" i="106" s="1"/>
  <c r="H19" i="106" s="1"/>
  <c r="H20" i="106" s="1"/>
  <c r="H21" i="106" s="1"/>
  <c r="I11" i="61" l="1"/>
  <c r="F23" i="61"/>
  <c r="E10" i="59" l="1"/>
  <c r="E9" i="57"/>
  <c r="D27" i="84" l="1"/>
  <c r="D26" i="84"/>
  <c r="F26" i="84"/>
  <c r="F27" i="84"/>
  <c r="G22" i="105" l="1"/>
  <c r="H9" i="105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A6" i="105"/>
  <c r="E3" i="105"/>
  <c r="A3" i="105"/>
  <c r="A2" i="105"/>
  <c r="G23" i="104"/>
  <c r="E23" i="104"/>
  <c r="D11" i="101" s="1"/>
  <c r="F21" i="104"/>
  <c r="F20" i="104"/>
  <c r="F19" i="104"/>
  <c r="F18" i="104"/>
  <c r="F17" i="104"/>
  <c r="F16" i="104"/>
  <c r="F15" i="104"/>
  <c r="F14" i="104"/>
  <c r="F13" i="104"/>
  <c r="F12" i="104"/>
  <c r="F11" i="104"/>
  <c r="H10" i="104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F10" i="104"/>
  <c r="F9" i="104"/>
  <c r="I9" i="104" s="1"/>
  <c r="I10" i="104" s="1"/>
  <c r="I11" i="104" s="1"/>
  <c r="I12" i="104" s="1"/>
  <c r="I13" i="104" s="1"/>
  <c r="I14" i="104" s="1"/>
  <c r="I15" i="104" s="1"/>
  <c r="I16" i="104" s="1"/>
  <c r="I17" i="104" s="1"/>
  <c r="I18" i="104" s="1"/>
  <c r="I19" i="104" s="1"/>
  <c r="I20" i="104" s="1"/>
  <c r="I21" i="104" s="1"/>
  <c r="A6" i="104"/>
  <c r="E3" i="104"/>
  <c r="A3" i="104"/>
  <c r="A2" i="104"/>
  <c r="A1" i="104"/>
  <c r="A1" i="105" s="1"/>
  <c r="F28" i="103"/>
  <c r="D28" i="103"/>
  <c r="H27" i="103"/>
  <c r="H26" i="103"/>
  <c r="F23" i="103"/>
  <c r="E10" i="101" s="1"/>
  <c r="D23" i="103"/>
  <c r="D10" i="101" s="1"/>
  <c r="G10" i="103"/>
  <c r="G11" i="103" s="1"/>
  <c r="G12" i="103" s="1"/>
  <c r="G13" i="103" s="1"/>
  <c r="G14" i="103" s="1"/>
  <c r="G15" i="103" s="1"/>
  <c r="G16" i="103" s="1"/>
  <c r="G17" i="103" s="1"/>
  <c r="G18" i="103" s="1"/>
  <c r="G19" i="103" s="1"/>
  <c r="G20" i="103" s="1"/>
  <c r="G21" i="103" s="1"/>
  <c r="E9" i="103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A6" i="103"/>
  <c r="D3" i="103"/>
  <c r="A3" i="103"/>
  <c r="A2" i="103"/>
  <c r="A1" i="103"/>
  <c r="H24" i="102"/>
  <c r="C8" i="101" s="1"/>
  <c r="C15" i="101" s="1"/>
  <c r="F27" i="17" s="1"/>
  <c r="G27" i="17" s="1"/>
  <c r="G24" i="102"/>
  <c r="C24" i="102"/>
  <c r="A6" i="102"/>
  <c r="D3" i="102"/>
  <c r="A3" i="102"/>
  <c r="A2" i="102"/>
  <c r="A1" i="102"/>
  <c r="E12" i="101"/>
  <c r="D12" i="101"/>
  <c r="E11" i="101"/>
  <c r="F12" i="101" l="1"/>
  <c r="H28" i="103"/>
  <c r="E10" i="103"/>
  <c r="E11" i="103" s="1"/>
  <c r="E12" i="103" s="1"/>
  <c r="E13" i="103" s="1"/>
  <c r="E14" i="103" s="1"/>
  <c r="E15" i="103" s="1"/>
  <c r="E16" i="103" s="1"/>
  <c r="E17" i="103" s="1"/>
  <c r="E18" i="103" s="1"/>
  <c r="E19" i="103" s="1"/>
  <c r="E20" i="103" s="1"/>
  <c r="E21" i="103" s="1"/>
  <c r="D15" i="101"/>
  <c r="H27" i="17" s="1"/>
  <c r="E15" i="101"/>
  <c r="I27" i="17" s="1"/>
  <c r="I23" i="104"/>
  <c r="F11" i="101" s="1"/>
  <c r="H23" i="103"/>
  <c r="F10" i="101" s="1"/>
  <c r="F15" i="101" l="1"/>
  <c r="J27" i="17" s="1"/>
  <c r="G15" i="101"/>
  <c r="K27" i="17" s="1"/>
  <c r="F27" i="87"/>
  <c r="F26" i="87"/>
  <c r="G22" i="100"/>
  <c r="D12" i="96" s="1"/>
  <c r="H9" i="100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A6" i="100"/>
  <c r="E3" i="100"/>
  <c r="A3" i="100"/>
  <c r="A2" i="100"/>
  <c r="G23" i="99"/>
  <c r="E11" i="96" s="1"/>
  <c r="E23" i="99"/>
  <c r="D11" i="96" s="1"/>
  <c r="F21" i="99"/>
  <c r="F20" i="99"/>
  <c r="F19" i="99"/>
  <c r="F18" i="99"/>
  <c r="F17" i="99"/>
  <c r="F16" i="99"/>
  <c r="F15" i="99"/>
  <c r="F14" i="99"/>
  <c r="F13" i="99"/>
  <c r="F12" i="99"/>
  <c r="F11" i="99"/>
  <c r="H10" i="99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F10" i="99"/>
  <c r="F9" i="99"/>
  <c r="I9" i="99" s="1"/>
  <c r="I10" i="99" s="1"/>
  <c r="I11" i="99" s="1"/>
  <c r="I12" i="99" s="1"/>
  <c r="I13" i="99" s="1"/>
  <c r="I14" i="99" s="1"/>
  <c r="I15" i="99" s="1"/>
  <c r="I16" i="99" s="1"/>
  <c r="I17" i="99" s="1"/>
  <c r="I18" i="99" s="1"/>
  <c r="I19" i="99" s="1"/>
  <c r="I20" i="99" s="1"/>
  <c r="I21" i="99" s="1"/>
  <c r="A6" i="99"/>
  <c r="E3" i="99"/>
  <c r="A3" i="99"/>
  <c r="A2" i="99"/>
  <c r="A1" i="99"/>
  <c r="A1" i="100" s="1"/>
  <c r="F28" i="98"/>
  <c r="D28" i="98"/>
  <c r="H27" i="98"/>
  <c r="H26" i="98"/>
  <c r="F23" i="98"/>
  <c r="D23" i="98"/>
  <c r="D10" i="96" s="1"/>
  <c r="G10" i="98"/>
  <c r="G11" i="98" s="1"/>
  <c r="G12" i="98" s="1"/>
  <c r="G13" i="98" s="1"/>
  <c r="G14" i="98" s="1"/>
  <c r="G15" i="98" s="1"/>
  <c r="G16" i="98" s="1"/>
  <c r="G17" i="98" s="1"/>
  <c r="G18" i="98" s="1"/>
  <c r="G19" i="98" s="1"/>
  <c r="G20" i="98" s="1"/>
  <c r="G21" i="98" s="1"/>
  <c r="E9" i="98"/>
  <c r="E10" i="98" s="1"/>
  <c r="E11" i="98" s="1"/>
  <c r="E12" i="98" s="1"/>
  <c r="E13" i="98" s="1"/>
  <c r="E14" i="98" s="1"/>
  <c r="E15" i="98" s="1"/>
  <c r="E16" i="98" s="1"/>
  <c r="E17" i="98" s="1"/>
  <c r="E18" i="98" s="1"/>
  <c r="E19" i="98" s="1"/>
  <c r="E20" i="98" s="1"/>
  <c r="E21" i="98" s="1"/>
  <c r="A6" i="98"/>
  <c r="D3" i="98"/>
  <c r="A3" i="98"/>
  <c r="A2" i="98"/>
  <c r="A1" i="98"/>
  <c r="H24" i="97"/>
  <c r="C8" i="96" s="1"/>
  <c r="G24" i="97"/>
  <c r="C24" i="97"/>
  <c r="A6" i="97"/>
  <c r="D3" i="97"/>
  <c r="A3" i="97"/>
  <c r="A2" i="97"/>
  <c r="A1" i="97"/>
  <c r="C14" i="96"/>
  <c r="F26" i="17" s="1"/>
  <c r="G26" i="17" s="1"/>
  <c r="D14" i="96" l="1"/>
  <c r="H26" i="17" s="1"/>
  <c r="I23" i="99"/>
  <c r="F11" i="96" s="1"/>
  <c r="E12" i="96"/>
  <c r="F12" i="96" s="1"/>
  <c r="H23" i="98"/>
  <c r="F10" i="96" s="1"/>
  <c r="H28" i="98"/>
  <c r="E10" i="96"/>
  <c r="H9" i="98"/>
  <c r="H10" i="98" s="1"/>
  <c r="H11" i="98" s="1"/>
  <c r="H12" i="98" s="1"/>
  <c r="H13" i="98" s="1"/>
  <c r="H14" i="98" s="1"/>
  <c r="H15" i="98" s="1"/>
  <c r="H16" i="98" s="1"/>
  <c r="H17" i="98" s="1"/>
  <c r="H18" i="98" s="1"/>
  <c r="H19" i="98" s="1"/>
  <c r="H20" i="98" s="1"/>
  <c r="H21" i="98" s="1"/>
  <c r="E14" i="96" l="1"/>
  <c r="I26" i="17" s="1"/>
  <c r="G14" i="96"/>
  <c r="K26" i="17" s="1"/>
  <c r="F27" i="80"/>
  <c r="F27" i="45"/>
  <c r="I12" i="85"/>
  <c r="F27" i="35"/>
  <c r="F14" i="96" l="1"/>
  <c r="J26" i="17" s="1"/>
  <c r="F26" i="82"/>
  <c r="G11" i="21"/>
  <c r="E9" i="67" l="1"/>
  <c r="G10" i="21"/>
  <c r="H27" i="95" l="1"/>
  <c r="H28" i="95"/>
  <c r="F29" i="95"/>
  <c r="D29" i="95"/>
  <c r="H26" i="95"/>
  <c r="F23" i="95"/>
  <c r="E14" i="28" s="1"/>
  <c r="D23" i="95"/>
  <c r="G10" i="95"/>
  <c r="G11" i="95" s="1"/>
  <c r="G12" i="95" s="1"/>
  <c r="G13" i="95" s="1"/>
  <c r="G14" i="95" s="1"/>
  <c r="G15" i="95" s="1"/>
  <c r="G16" i="95" s="1"/>
  <c r="G17" i="95" s="1"/>
  <c r="G18" i="95" s="1"/>
  <c r="G19" i="95" s="1"/>
  <c r="G20" i="95" s="1"/>
  <c r="G21" i="95" s="1"/>
  <c r="E9" i="95"/>
  <c r="E10" i="95" s="1"/>
  <c r="E11" i="95" s="1"/>
  <c r="E12" i="95" s="1"/>
  <c r="E13" i="95" s="1"/>
  <c r="E14" i="95" s="1"/>
  <c r="E15" i="95" s="1"/>
  <c r="E16" i="95" s="1"/>
  <c r="E17" i="95" s="1"/>
  <c r="E18" i="95" s="1"/>
  <c r="E19" i="95" s="1"/>
  <c r="E20" i="95" s="1"/>
  <c r="E21" i="95" s="1"/>
  <c r="A6" i="95"/>
  <c r="D3" i="95"/>
  <c r="A3" i="95"/>
  <c r="A2" i="95"/>
  <c r="A1" i="95"/>
  <c r="F34" i="94"/>
  <c r="H27" i="94"/>
  <c r="H28" i="94"/>
  <c r="H29" i="94"/>
  <c r="H30" i="94"/>
  <c r="H31" i="94"/>
  <c r="H32" i="94"/>
  <c r="H33" i="94"/>
  <c r="H26" i="94"/>
  <c r="D34" i="94"/>
  <c r="F23" i="94"/>
  <c r="E13" i="43" s="1"/>
  <c r="D23" i="94"/>
  <c r="D13" i="43" s="1"/>
  <c r="G10" i="94"/>
  <c r="G11" i="94" s="1"/>
  <c r="G12" i="94" s="1"/>
  <c r="G13" i="94" s="1"/>
  <c r="G14" i="94" s="1"/>
  <c r="G15" i="94" s="1"/>
  <c r="G16" i="94" s="1"/>
  <c r="G17" i="94" s="1"/>
  <c r="G18" i="94" s="1"/>
  <c r="G19" i="94" s="1"/>
  <c r="G20" i="94" s="1"/>
  <c r="G21" i="94" s="1"/>
  <c r="E9" i="94"/>
  <c r="E10" i="94" s="1"/>
  <c r="E11" i="94" s="1"/>
  <c r="E12" i="94" s="1"/>
  <c r="E13" i="94" s="1"/>
  <c r="E14" i="94" s="1"/>
  <c r="E15" i="94" s="1"/>
  <c r="E16" i="94" s="1"/>
  <c r="E17" i="94" s="1"/>
  <c r="E18" i="94" s="1"/>
  <c r="E19" i="94" s="1"/>
  <c r="E20" i="94" s="1"/>
  <c r="E21" i="94" s="1"/>
  <c r="A6" i="94"/>
  <c r="D3" i="94"/>
  <c r="A3" i="94"/>
  <c r="A2" i="94"/>
  <c r="A1" i="94"/>
  <c r="H23" i="95" l="1"/>
  <c r="F14" i="28" s="1"/>
  <c r="D14" i="28"/>
  <c r="H34" i="94"/>
  <c r="H29" i="95"/>
  <c r="H9" i="95"/>
  <c r="H10" i="95" s="1"/>
  <c r="H11" i="95" s="1"/>
  <c r="H12" i="95" s="1"/>
  <c r="H13" i="95" s="1"/>
  <c r="H14" i="95" s="1"/>
  <c r="H15" i="95" s="1"/>
  <c r="H16" i="95" s="1"/>
  <c r="H17" i="95" s="1"/>
  <c r="H18" i="95" s="1"/>
  <c r="H19" i="95" s="1"/>
  <c r="H20" i="95" s="1"/>
  <c r="H21" i="95" s="1"/>
  <c r="H23" i="94"/>
  <c r="F13" i="43" s="1"/>
  <c r="H9" i="94"/>
  <c r="H10" i="94" s="1"/>
  <c r="H11" i="94" s="1"/>
  <c r="H12" i="94" s="1"/>
  <c r="H13" i="94" s="1"/>
  <c r="H14" i="94" s="1"/>
  <c r="H15" i="94" s="1"/>
  <c r="H16" i="94" s="1"/>
  <c r="H17" i="94" s="1"/>
  <c r="H18" i="94" s="1"/>
  <c r="H19" i="94" s="1"/>
  <c r="H20" i="94" s="1"/>
  <c r="H21" i="94" s="1"/>
  <c r="F23" i="93"/>
  <c r="E13" i="69" s="1"/>
  <c r="D23" i="93"/>
  <c r="G10" i="93"/>
  <c r="G11" i="93" s="1"/>
  <c r="G12" i="93" s="1"/>
  <c r="G13" i="93" s="1"/>
  <c r="G14" i="93" s="1"/>
  <c r="G15" i="93" s="1"/>
  <c r="G16" i="93" s="1"/>
  <c r="G17" i="93" s="1"/>
  <c r="G18" i="93" s="1"/>
  <c r="G19" i="93" s="1"/>
  <c r="G20" i="93" s="1"/>
  <c r="G21" i="93" s="1"/>
  <c r="E9" i="93"/>
  <c r="E10" i="93" s="1"/>
  <c r="E11" i="93" s="1"/>
  <c r="E12" i="93" s="1"/>
  <c r="E13" i="93" s="1"/>
  <c r="E14" i="93" s="1"/>
  <c r="E15" i="93" s="1"/>
  <c r="E16" i="93" s="1"/>
  <c r="E17" i="93" s="1"/>
  <c r="E18" i="93" s="1"/>
  <c r="E19" i="93" s="1"/>
  <c r="E20" i="93" s="1"/>
  <c r="E21" i="93" s="1"/>
  <c r="A6" i="93"/>
  <c r="D3" i="93"/>
  <c r="A3" i="93"/>
  <c r="A2" i="93"/>
  <c r="A1" i="93"/>
  <c r="H9" i="22"/>
  <c r="I10" i="83"/>
  <c r="I11" i="83" s="1"/>
  <c r="I12" i="83" s="1"/>
  <c r="G14" i="17"/>
  <c r="A1" i="92"/>
  <c r="G22" i="92"/>
  <c r="E12" i="88" s="1"/>
  <c r="H9" i="92"/>
  <c r="H10" i="92" s="1"/>
  <c r="H11" i="92" s="1"/>
  <c r="H12" i="92" s="1"/>
  <c r="H13" i="92" s="1"/>
  <c r="H14" i="92" s="1"/>
  <c r="H15" i="92" s="1"/>
  <c r="H16" i="92" s="1"/>
  <c r="H17" i="92" s="1"/>
  <c r="H18" i="92" s="1"/>
  <c r="H19" i="92" s="1"/>
  <c r="H20" i="92" s="1"/>
  <c r="A6" i="92"/>
  <c r="E3" i="92"/>
  <c r="A3" i="92"/>
  <c r="A2" i="92"/>
  <c r="G23" i="91"/>
  <c r="E11" i="88" s="1"/>
  <c r="E23" i="91"/>
  <c r="D11" i="88" s="1"/>
  <c r="F21" i="91"/>
  <c r="F20" i="91"/>
  <c r="F19" i="91"/>
  <c r="F18" i="91"/>
  <c r="F17" i="91"/>
  <c r="F16" i="91"/>
  <c r="F15" i="91"/>
  <c r="F14" i="91"/>
  <c r="F13" i="91"/>
  <c r="F12" i="91"/>
  <c r="F11" i="91"/>
  <c r="H10" i="91"/>
  <c r="H11" i="91" s="1"/>
  <c r="H12" i="91" s="1"/>
  <c r="H13" i="91" s="1"/>
  <c r="H14" i="91" s="1"/>
  <c r="H15" i="91" s="1"/>
  <c r="H16" i="91" s="1"/>
  <c r="H17" i="91" s="1"/>
  <c r="H18" i="91" s="1"/>
  <c r="H19" i="91" s="1"/>
  <c r="H20" i="91" s="1"/>
  <c r="H21" i="91" s="1"/>
  <c r="F10" i="91"/>
  <c r="F9" i="91"/>
  <c r="I9" i="91" s="1"/>
  <c r="I10" i="91" s="1"/>
  <c r="I11" i="91" s="1"/>
  <c r="I12" i="91" s="1"/>
  <c r="I13" i="91" s="1"/>
  <c r="I14" i="91" s="1"/>
  <c r="I15" i="91" s="1"/>
  <c r="I16" i="91" s="1"/>
  <c r="I17" i="91" s="1"/>
  <c r="I18" i="91" s="1"/>
  <c r="I19" i="91" s="1"/>
  <c r="I20" i="91" s="1"/>
  <c r="I21" i="91" s="1"/>
  <c r="A6" i="91"/>
  <c r="E3" i="91"/>
  <c r="A3" i="91"/>
  <c r="A2" i="91"/>
  <c r="A1" i="91"/>
  <c r="F30" i="90"/>
  <c r="D30" i="90"/>
  <c r="F23" i="90"/>
  <c r="D23" i="90"/>
  <c r="D10" i="88" s="1"/>
  <c r="G10" i="90"/>
  <c r="G11" i="90" s="1"/>
  <c r="G12" i="90" s="1"/>
  <c r="G13" i="90" s="1"/>
  <c r="G14" i="90" s="1"/>
  <c r="G15" i="90" s="1"/>
  <c r="G16" i="90" s="1"/>
  <c r="G17" i="90" s="1"/>
  <c r="G18" i="90" s="1"/>
  <c r="G19" i="90" s="1"/>
  <c r="G20" i="90" s="1"/>
  <c r="G21" i="90" s="1"/>
  <c r="E9" i="90"/>
  <c r="E10" i="90" s="1"/>
  <c r="E11" i="90" s="1"/>
  <c r="E12" i="90" s="1"/>
  <c r="E13" i="90" s="1"/>
  <c r="E14" i="90" s="1"/>
  <c r="E15" i="90" s="1"/>
  <c r="E16" i="90" s="1"/>
  <c r="E17" i="90" s="1"/>
  <c r="E18" i="90" s="1"/>
  <c r="E19" i="90" s="1"/>
  <c r="E20" i="90" s="1"/>
  <c r="E21" i="90" s="1"/>
  <c r="A6" i="90"/>
  <c r="D3" i="90"/>
  <c r="A3" i="90"/>
  <c r="A2" i="90"/>
  <c r="A1" i="90"/>
  <c r="H24" i="89"/>
  <c r="C8" i="88" s="1"/>
  <c r="C15" i="88" s="1"/>
  <c r="F14" i="17" s="1"/>
  <c r="G24" i="89"/>
  <c r="C24" i="89"/>
  <c r="A6" i="89"/>
  <c r="D3" i="89"/>
  <c r="A3" i="89"/>
  <c r="A2" i="89"/>
  <c r="A1" i="89"/>
  <c r="E10" i="88"/>
  <c r="D12" i="88" l="1"/>
  <c r="F12" i="88" s="1"/>
  <c r="H30" i="90"/>
  <c r="H9" i="90"/>
  <c r="H10" i="90" s="1"/>
  <c r="H11" i="90" s="1"/>
  <c r="H12" i="90" s="1"/>
  <c r="H13" i="90" s="1"/>
  <c r="H14" i="90" s="1"/>
  <c r="H15" i="90" s="1"/>
  <c r="H16" i="90" s="1"/>
  <c r="H17" i="90" s="1"/>
  <c r="H18" i="90" s="1"/>
  <c r="H19" i="90" s="1"/>
  <c r="H20" i="90" s="1"/>
  <c r="H21" i="90" s="1"/>
  <c r="D15" i="88"/>
  <c r="H14" i="17" s="1"/>
  <c r="H23" i="90"/>
  <c r="F10" i="88" s="1"/>
  <c r="I23" i="91"/>
  <c r="F11" i="88" s="1"/>
  <c r="H23" i="93"/>
  <c r="F13" i="69" s="1"/>
  <c r="D13" i="69"/>
  <c r="H9" i="93"/>
  <c r="H10" i="93" s="1"/>
  <c r="H11" i="93" s="1"/>
  <c r="H12" i="93" s="1"/>
  <c r="H13" i="93" s="1"/>
  <c r="H14" i="93" s="1"/>
  <c r="H15" i="93" s="1"/>
  <c r="H16" i="93" s="1"/>
  <c r="H17" i="93" s="1"/>
  <c r="H18" i="93" s="1"/>
  <c r="H19" i="93" s="1"/>
  <c r="H20" i="93" s="1"/>
  <c r="H21" i="93" s="1"/>
  <c r="E15" i="88"/>
  <c r="G15" i="88" l="1"/>
  <c r="K14" i="17" s="1"/>
  <c r="F15" i="88"/>
  <c r="J14" i="17" s="1"/>
  <c r="I14" i="17"/>
  <c r="F28" i="40"/>
  <c r="D28" i="40"/>
  <c r="H27" i="40"/>
  <c r="H26" i="40"/>
  <c r="H28" i="40" l="1"/>
  <c r="F28" i="50"/>
  <c r="D28" i="50"/>
  <c r="H27" i="50"/>
  <c r="H26" i="50"/>
  <c r="D13" i="33"/>
  <c r="F28" i="87"/>
  <c r="D28" i="87"/>
  <c r="H27" i="87"/>
  <c r="H26" i="87"/>
  <c r="F23" i="87"/>
  <c r="E13" i="33" s="1"/>
  <c r="D23" i="87"/>
  <c r="G10" i="87"/>
  <c r="G11" i="87" s="1"/>
  <c r="G12" i="87" s="1"/>
  <c r="G13" i="87" s="1"/>
  <c r="G14" i="87" s="1"/>
  <c r="G15" i="87" s="1"/>
  <c r="G16" i="87" s="1"/>
  <c r="G17" i="87" s="1"/>
  <c r="G18" i="87" s="1"/>
  <c r="G19" i="87" s="1"/>
  <c r="G20" i="87" s="1"/>
  <c r="G21" i="87" s="1"/>
  <c r="E9" i="87"/>
  <c r="E10" i="87" s="1"/>
  <c r="E11" i="87" s="1"/>
  <c r="E12" i="87" s="1"/>
  <c r="E13" i="87" s="1"/>
  <c r="E14" i="87" s="1"/>
  <c r="E15" i="87" s="1"/>
  <c r="E16" i="87" s="1"/>
  <c r="E17" i="87" s="1"/>
  <c r="E18" i="87" s="1"/>
  <c r="E19" i="87" s="1"/>
  <c r="E20" i="87" s="1"/>
  <c r="E21" i="87" s="1"/>
  <c r="A6" i="87"/>
  <c r="D3" i="87"/>
  <c r="A3" i="87"/>
  <c r="A2" i="87"/>
  <c r="A1" i="87"/>
  <c r="F23" i="86"/>
  <c r="E13" i="28" s="1"/>
  <c r="D23" i="86"/>
  <c r="G10" i="86"/>
  <c r="G11" i="86" s="1"/>
  <c r="G12" i="86" s="1"/>
  <c r="G13" i="86" s="1"/>
  <c r="G14" i="86" s="1"/>
  <c r="G15" i="86" s="1"/>
  <c r="G16" i="86" s="1"/>
  <c r="G17" i="86" s="1"/>
  <c r="G18" i="86" s="1"/>
  <c r="G19" i="86" s="1"/>
  <c r="G20" i="86" s="1"/>
  <c r="G21" i="86" s="1"/>
  <c r="E9" i="86"/>
  <c r="H9" i="86" s="1"/>
  <c r="H10" i="86" s="1"/>
  <c r="H11" i="86" s="1"/>
  <c r="H12" i="86" s="1"/>
  <c r="H13" i="86" s="1"/>
  <c r="H14" i="86" s="1"/>
  <c r="H15" i="86" s="1"/>
  <c r="H16" i="86" s="1"/>
  <c r="H17" i="86" s="1"/>
  <c r="H18" i="86" s="1"/>
  <c r="H19" i="86" s="1"/>
  <c r="H20" i="86" s="1"/>
  <c r="H21" i="86" s="1"/>
  <c r="A6" i="86"/>
  <c r="D3" i="86"/>
  <c r="A3" i="86"/>
  <c r="A2" i="86"/>
  <c r="A1" i="86"/>
  <c r="F23" i="85"/>
  <c r="E17" i="23" s="1"/>
  <c r="D23" i="85"/>
  <c r="G10" i="85"/>
  <c r="G11" i="85" s="1"/>
  <c r="G12" i="85" s="1"/>
  <c r="G13" i="85" s="1"/>
  <c r="G14" i="85" s="1"/>
  <c r="G15" i="85" s="1"/>
  <c r="G16" i="85" s="1"/>
  <c r="G17" i="85" s="1"/>
  <c r="G18" i="85" s="1"/>
  <c r="G19" i="85" s="1"/>
  <c r="G20" i="85" s="1"/>
  <c r="G21" i="85" s="1"/>
  <c r="E9" i="85"/>
  <c r="E10" i="85" s="1"/>
  <c r="E11" i="85" s="1"/>
  <c r="E12" i="85" s="1"/>
  <c r="E13" i="85" s="1"/>
  <c r="E14" i="85" s="1"/>
  <c r="E15" i="85" s="1"/>
  <c r="E16" i="85" s="1"/>
  <c r="E17" i="85" s="1"/>
  <c r="E18" i="85" s="1"/>
  <c r="E19" i="85" s="1"/>
  <c r="E20" i="85" s="1"/>
  <c r="E21" i="85" s="1"/>
  <c r="A6" i="85"/>
  <c r="D3" i="85"/>
  <c r="A3" i="85"/>
  <c r="A2" i="85"/>
  <c r="A1" i="85"/>
  <c r="H27" i="45"/>
  <c r="F29" i="45"/>
  <c r="D29" i="45"/>
  <c r="H28" i="45"/>
  <c r="H26" i="45"/>
  <c r="H23" i="87" l="1"/>
  <c r="F13" i="33" s="1"/>
  <c r="H23" i="85"/>
  <c r="F17" i="23" s="1"/>
  <c r="H23" i="86"/>
  <c r="F13" i="28" s="1"/>
  <c r="H28" i="50"/>
  <c r="H28" i="87"/>
  <c r="H9" i="87"/>
  <c r="H10" i="87" s="1"/>
  <c r="H11" i="87" s="1"/>
  <c r="H12" i="87" s="1"/>
  <c r="H13" i="87" s="1"/>
  <c r="H14" i="87" s="1"/>
  <c r="H15" i="87" s="1"/>
  <c r="H16" i="87" s="1"/>
  <c r="H17" i="87" s="1"/>
  <c r="H18" i="87" s="1"/>
  <c r="H19" i="87" s="1"/>
  <c r="H20" i="87" s="1"/>
  <c r="H21" i="87" s="1"/>
  <c r="D17" i="23"/>
  <c r="D13" i="28"/>
  <c r="E10" i="86"/>
  <c r="E11" i="86" s="1"/>
  <c r="E12" i="86" s="1"/>
  <c r="E13" i="86" s="1"/>
  <c r="E14" i="86" s="1"/>
  <c r="E15" i="86" s="1"/>
  <c r="E16" i="86" s="1"/>
  <c r="E17" i="86" s="1"/>
  <c r="E18" i="86" s="1"/>
  <c r="E19" i="86" s="1"/>
  <c r="E20" i="86" s="1"/>
  <c r="E21" i="86" s="1"/>
  <c r="H9" i="85"/>
  <c r="H10" i="85" s="1"/>
  <c r="H11" i="85" s="1"/>
  <c r="H12" i="85" s="1"/>
  <c r="H13" i="85" s="1"/>
  <c r="H14" i="85" s="1"/>
  <c r="H15" i="85" s="1"/>
  <c r="H16" i="85" s="1"/>
  <c r="H17" i="85" s="1"/>
  <c r="H18" i="85" s="1"/>
  <c r="H19" i="85" s="1"/>
  <c r="H20" i="85" s="1"/>
  <c r="H21" i="85" s="1"/>
  <c r="H29" i="45"/>
  <c r="D16" i="23"/>
  <c r="D28" i="84"/>
  <c r="H27" i="84"/>
  <c r="F28" i="84"/>
  <c r="F23" i="84"/>
  <c r="E16" i="23" s="1"/>
  <c r="D23" i="84"/>
  <c r="G10" i="84"/>
  <c r="G11" i="84" s="1"/>
  <c r="G12" i="84" s="1"/>
  <c r="G13" i="84" s="1"/>
  <c r="G14" i="84" s="1"/>
  <c r="G15" i="84" s="1"/>
  <c r="G16" i="84" s="1"/>
  <c r="G17" i="84" s="1"/>
  <c r="G18" i="84" s="1"/>
  <c r="G19" i="84" s="1"/>
  <c r="G20" i="84" s="1"/>
  <c r="G21" i="84" s="1"/>
  <c r="E9" i="84"/>
  <c r="E10" i="84" s="1"/>
  <c r="E11" i="84" s="1"/>
  <c r="E12" i="84" s="1"/>
  <c r="E13" i="84" s="1"/>
  <c r="E14" i="84" s="1"/>
  <c r="E15" i="84" s="1"/>
  <c r="E16" i="84" s="1"/>
  <c r="E17" i="84" s="1"/>
  <c r="E18" i="84" s="1"/>
  <c r="E19" i="84" s="1"/>
  <c r="E20" i="84" s="1"/>
  <c r="E21" i="84" s="1"/>
  <c r="A6" i="84"/>
  <c r="D3" i="84"/>
  <c r="A3" i="84"/>
  <c r="A2" i="84"/>
  <c r="A1" i="84"/>
  <c r="H9" i="84" l="1"/>
  <c r="H10" i="84" s="1"/>
  <c r="H11" i="84" s="1"/>
  <c r="H12" i="84" s="1"/>
  <c r="H13" i="84" s="1"/>
  <c r="H14" i="84" s="1"/>
  <c r="H15" i="84" s="1"/>
  <c r="H16" i="84" s="1"/>
  <c r="H17" i="84" s="1"/>
  <c r="H18" i="84" s="1"/>
  <c r="H19" i="84" s="1"/>
  <c r="H20" i="84" s="1"/>
  <c r="H21" i="84" s="1"/>
  <c r="H23" i="84"/>
  <c r="F16" i="23" s="1"/>
  <c r="H26" i="84"/>
  <c r="H28" i="84" s="1"/>
  <c r="F23" i="83"/>
  <c r="E15" i="23" s="1"/>
  <c r="D23" i="83"/>
  <c r="D15" i="23" s="1"/>
  <c r="G10" i="83"/>
  <c r="G11" i="83" s="1"/>
  <c r="G12" i="83" s="1"/>
  <c r="G13" i="83" s="1"/>
  <c r="G14" i="83" s="1"/>
  <c r="G15" i="83" s="1"/>
  <c r="G16" i="83" s="1"/>
  <c r="G17" i="83" s="1"/>
  <c r="G18" i="83" s="1"/>
  <c r="G19" i="83" s="1"/>
  <c r="G20" i="83" s="1"/>
  <c r="G21" i="83" s="1"/>
  <c r="E9" i="83"/>
  <c r="E10" i="83" s="1"/>
  <c r="E11" i="83" s="1"/>
  <c r="E12" i="83" s="1"/>
  <c r="E13" i="83" s="1"/>
  <c r="E14" i="83" s="1"/>
  <c r="E15" i="83" s="1"/>
  <c r="E16" i="83" s="1"/>
  <c r="E17" i="83" s="1"/>
  <c r="E18" i="83" s="1"/>
  <c r="E19" i="83" s="1"/>
  <c r="E20" i="83" s="1"/>
  <c r="E21" i="83" s="1"/>
  <c r="A6" i="83"/>
  <c r="D3" i="83"/>
  <c r="A3" i="83"/>
  <c r="A2" i="83"/>
  <c r="A1" i="83"/>
  <c r="H23" i="83" l="1"/>
  <c r="F15" i="23" s="1"/>
  <c r="H9" i="83"/>
  <c r="H10" i="83" s="1"/>
  <c r="H11" i="83" s="1"/>
  <c r="H12" i="83" s="1"/>
  <c r="H13" i="83" s="1"/>
  <c r="H14" i="83" s="1"/>
  <c r="H15" i="83" s="1"/>
  <c r="H16" i="83" s="1"/>
  <c r="H17" i="83" s="1"/>
  <c r="H18" i="83" s="1"/>
  <c r="H19" i="83" s="1"/>
  <c r="H20" i="83" s="1"/>
  <c r="H21" i="83" s="1"/>
  <c r="D28" i="82" l="1"/>
  <c r="H27" i="82"/>
  <c r="H26" i="82"/>
  <c r="F28" i="82"/>
  <c r="F23" i="82"/>
  <c r="E13" i="54" s="1"/>
  <c r="D23" i="82"/>
  <c r="D13" i="54" s="1"/>
  <c r="G10" i="82"/>
  <c r="G11" i="82" s="1"/>
  <c r="G12" i="82" s="1"/>
  <c r="G13" i="82" s="1"/>
  <c r="G14" i="82" s="1"/>
  <c r="G15" i="82" s="1"/>
  <c r="G16" i="82" s="1"/>
  <c r="G17" i="82" s="1"/>
  <c r="G18" i="82" s="1"/>
  <c r="G19" i="82" s="1"/>
  <c r="G20" i="82" s="1"/>
  <c r="G21" i="82" s="1"/>
  <c r="E9" i="82"/>
  <c r="E10" i="82" s="1"/>
  <c r="E11" i="82" s="1"/>
  <c r="E12" i="82" s="1"/>
  <c r="E13" i="82" s="1"/>
  <c r="E14" i="82" s="1"/>
  <c r="E15" i="82" s="1"/>
  <c r="E16" i="82" s="1"/>
  <c r="E17" i="82" s="1"/>
  <c r="E18" i="82" s="1"/>
  <c r="E19" i="82" s="1"/>
  <c r="E20" i="82" s="1"/>
  <c r="E21" i="82" s="1"/>
  <c r="A6" i="82"/>
  <c r="D3" i="82"/>
  <c r="A3" i="82"/>
  <c r="A2" i="82"/>
  <c r="A1" i="82"/>
  <c r="H28" i="82" l="1"/>
  <c r="H23" i="82"/>
  <c r="F13" i="54" s="1"/>
  <c r="H9" i="82"/>
  <c r="H10" i="82" s="1"/>
  <c r="H11" i="82" s="1"/>
  <c r="H12" i="82" s="1"/>
  <c r="H13" i="82" s="1"/>
  <c r="H14" i="82" s="1"/>
  <c r="H15" i="82" s="1"/>
  <c r="H16" i="82" s="1"/>
  <c r="H17" i="82" s="1"/>
  <c r="H18" i="82" s="1"/>
  <c r="H19" i="82" s="1"/>
  <c r="H20" i="82" s="1"/>
  <c r="H21" i="82" s="1"/>
  <c r="F28" i="35" l="1"/>
  <c r="D28" i="35"/>
  <c r="H27" i="35"/>
  <c r="H26" i="35"/>
  <c r="H28" i="35" l="1"/>
  <c r="H24" i="81"/>
  <c r="G24" i="81"/>
  <c r="C24" i="81"/>
  <c r="A6" i="81"/>
  <c r="D3" i="81"/>
  <c r="A3" i="81"/>
  <c r="A2" i="81"/>
  <c r="A1" i="81"/>
  <c r="F28" i="80" l="1"/>
  <c r="H27" i="80"/>
  <c r="H26" i="80"/>
  <c r="D28" i="80"/>
  <c r="F23" i="80"/>
  <c r="E14" i="23" s="1"/>
  <c r="D23" i="80"/>
  <c r="D14" i="23" s="1"/>
  <c r="G10" i="80"/>
  <c r="G11" i="80" s="1"/>
  <c r="G12" i="80" s="1"/>
  <c r="G13" i="80" s="1"/>
  <c r="G14" i="80" s="1"/>
  <c r="G15" i="80" s="1"/>
  <c r="G16" i="80" s="1"/>
  <c r="G17" i="80" s="1"/>
  <c r="G18" i="80" s="1"/>
  <c r="G19" i="80" s="1"/>
  <c r="G20" i="80" s="1"/>
  <c r="G21" i="80" s="1"/>
  <c r="E9" i="80"/>
  <c r="E10" i="80" s="1"/>
  <c r="E11" i="80" s="1"/>
  <c r="E12" i="80" s="1"/>
  <c r="E13" i="80" s="1"/>
  <c r="E14" i="80" s="1"/>
  <c r="E15" i="80" s="1"/>
  <c r="E16" i="80" s="1"/>
  <c r="E17" i="80" s="1"/>
  <c r="E18" i="80" s="1"/>
  <c r="E19" i="80" s="1"/>
  <c r="E20" i="80" s="1"/>
  <c r="E21" i="80" s="1"/>
  <c r="A6" i="80"/>
  <c r="D3" i="80"/>
  <c r="A3" i="80"/>
  <c r="A2" i="80"/>
  <c r="A1" i="80"/>
  <c r="H28" i="80" l="1"/>
  <c r="H9" i="80"/>
  <c r="H10" i="80" s="1"/>
  <c r="H11" i="80" s="1"/>
  <c r="H12" i="80" s="1"/>
  <c r="H13" i="80" s="1"/>
  <c r="H14" i="80" s="1"/>
  <c r="H15" i="80" s="1"/>
  <c r="H16" i="80" s="1"/>
  <c r="H17" i="80" s="1"/>
  <c r="H18" i="80" s="1"/>
  <c r="H19" i="80" s="1"/>
  <c r="H20" i="80" s="1"/>
  <c r="H21" i="80" s="1"/>
  <c r="H23" i="80"/>
  <c r="F14" i="23" s="1"/>
  <c r="F26" i="79" l="1"/>
  <c r="D26" i="79" l="1"/>
  <c r="H26" i="79" l="1"/>
  <c r="F23" i="79" l="1"/>
  <c r="D23" i="79"/>
  <c r="G10" i="79"/>
  <c r="G11" i="79" s="1"/>
  <c r="G12" i="79" s="1"/>
  <c r="G13" i="79" s="1"/>
  <c r="G14" i="79" s="1"/>
  <c r="G15" i="79" s="1"/>
  <c r="G16" i="79" s="1"/>
  <c r="G17" i="79" s="1"/>
  <c r="G18" i="79" s="1"/>
  <c r="G19" i="79" s="1"/>
  <c r="G20" i="79" s="1"/>
  <c r="G21" i="79" s="1"/>
  <c r="E9" i="79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A6" i="79"/>
  <c r="D3" i="79"/>
  <c r="A3" i="79"/>
  <c r="A2" i="79"/>
  <c r="A1" i="79"/>
  <c r="D13" i="23" l="1"/>
  <c r="E13" i="23"/>
  <c r="F27" i="79"/>
  <c r="D27" i="79"/>
  <c r="H23" i="79"/>
  <c r="H9" i="79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F13" i="23" l="1"/>
  <c r="H27" i="79"/>
  <c r="G22" i="78"/>
  <c r="E12" i="74" s="1"/>
  <c r="H9" i="78"/>
  <c r="H10" i="78" s="1"/>
  <c r="H11" i="78" s="1"/>
  <c r="H12" i="78" s="1"/>
  <c r="H13" i="78" s="1"/>
  <c r="H14" i="78" s="1"/>
  <c r="H15" i="78" s="1"/>
  <c r="H16" i="78" s="1"/>
  <c r="H17" i="78" s="1"/>
  <c r="H18" i="78" s="1"/>
  <c r="H19" i="78" s="1"/>
  <c r="H20" i="78" s="1"/>
  <c r="A6" i="78"/>
  <c r="E3" i="78"/>
  <c r="A3" i="78"/>
  <c r="A2" i="78"/>
  <c r="G23" i="77"/>
  <c r="E23" i="77"/>
  <c r="F21" i="77"/>
  <c r="F20" i="77"/>
  <c r="F19" i="77"/>
  <c r="F18" i="77"/>
  <c r="F17" i="77"/>
  <c r="F16" i="77"/>
  <c r="F15" i="77"/>
  <c r="F14" i="77"/>
  <c r="F13" i="77"/>
  <c r="F12" i="77"/>
  <c r="F11" i="77"/>
  <c r="H10" i="77"/>
  <c r="H11" i="77" s="1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F10" i="77"/>
  <c r="F9" i="77"/>
  <c r="I9" i="77" s="1"/>
  <c r="I10" i="77" s="1"/>
  <c r="I11" i="77" s="1"/>
  <c r="I12" i="77" s="1"/>
  <c r="I13" i="77" s="1"/>
  <c r="I14" i="77" s="1"/>
  <c r="I15" i="77" s="1"/>
  <c r="I16" i="77" s="1"/>
  <c r="I17" i="77" s="1"/>
  <c r="I18" i="77" s="1"/>
  <c r="I19" i="77" s="1"/>
  <c r="I20" i="77" s="1"/>
  <c r="I21" i="77" s="1"/>
  <c r="A6" i="77"/>
  <c r="E3" i="77"/>
  <c r="A3" i="77"/>
  <c r="A2" i="77"/>
  <c r="A1" i="77"/>
  <c r="A1" i="78" s="1"/>
  <c r="F23" i="76"/>
  <c r="D23" i="76"/>
  <c r="G10" i="76"/>
  <c r="G11" i="76" s="1"/>
  <c r="G12" i="76" s="1"/>
  <c r="G13" i="76" s="1"/>
  <c r="G14" i="76" s="1"/>
  <c r="G15" i="76" s="1"/>
  <c r="G16" i="76" s="1"/>
  <c r="G17" i="76" s="1"/>
  <c r="G18" i="76" s="1"/>
  <c r="G19" i="76" s="1"/>
  <c r="G20" i="76" s="1"/>
  <c r="G21" i="76" s="1"/>
  <c r="E9" i="76"/>
  <c r="H9" i="76" s="1"/>
  <c r="H10" i="76" s="1"/>
  <c r="H11" i="76" s="1"/>
  <c r="H12" i="76" s="1"/>
  <c r="H13" i="76" s="1"/>
  <c r="H14" i="76" s="1"/>
  <c r="H15" i="76" s="1"/>
  <c r="H16" i="76" s="1"/>
  <c r="H17" i="76" s="1"/>
  <c r="H18" i="76" s="1"/>
  <c r="H19" i="76" s="1"/>
  <c r="H20" i="76" s="1"/>
  <c r="H21" i="76" s="1"/>
  <c r="A6" i="76"/>
  <c r="D3" i="76"/>
  <c r="A3" i="76"/>
  <c r="A2" i="76"/>
  <c r="A1" i="76"/>
  <c r="H24" i="75"/>
  <c r="C8" i="74" s="1"/>
  <c r="C14" i="74" s="1"/>
  <c r="F15" i="17" s="1"/>
  <c r="G24" i="75"/>
  <c r="C24" i="75"/>
  <c r="A6" i="75"/>
  <c r="D3" i="75"/>
  <c r="A3" i="75"/>
  <c r="A2" i="75"/>
  <c r="A1" i="75"/>
  <c r="G15" i="17"/>
  <c r="F27" i="76" l="1"/>
  <c r="E10" i="74"/>
  <c r="I23" i="77"/>
  <c r="F11" i="74" s="1"/>
  <c r="D10" i="74"/>
  <c r="H23" i="76"/>
  <c r="D11" i="74"/>
  <c r="E11" i="74"/>
  <c r="E14" i="74" s="1"/>
  <c r="I15" i="17" s="1"/>
  <c r="E10" i="76"/>
  <c r="E11" i="76" s="1"/>
  <c r="E12" i="76" s="1"/>
  <c r="E13" i="76" s="1"/>
  <c r="E14" i="76" s="1"/>
  <c r="E15" i="76" s="1"/>
  <c r="E16" i="76" s="1"/>
  <c r="E17" i="76" s="1"/>
  <c r="E18" i="76" s="1"/>
  <c r="E19" i="76" s="1"/>
  <c r="E20" i="76" s="1"/>
  <c r="E21" i="76" s="1"/>
  <c r="D12" i="74"/>
  <c r="F12" i="74" s="1"/>
  <c r="F10" i="74" l="1"/>
  <c r="D14" i="74"/>
  <c r="H15" i="17" s="1"/>
  <c r="G14" i="74" l="1"/>
  <c r="K15" i="17" s="1"/>
  <c r="F14" i="74"/>
  <c r="J15" i="17" s="1"/>
  <c r="G22" i="73" l="1"/>
  <c r="E12" i="69" s="1"/>
  <c r="H9" i="73"/>
  <c r="H10" i="73" s="1"/>
  <c r="H11" i="73" s="1"/>
  <c r="H12" i="73" s="1"/>
  <c r="H13" i="73" s="1"/>
  <c r="H14" i="73" s="1"/>
  <c r="H15" i="73" s="1"/>
  <c r="H16" i="73" s="1"/>
  <c r="H17" i="73" s="1"/>
  <c r="H18" i="73" s="1"/>
  <c r="H19" i="73" s="1"/>
  <c r="H20" i="73" s="1"/>
  <c r="A6" i="73"/>
  <c r="E3" i="73"/>
  <c r="A3" i="73"/>
  <c r="A2" i="73"/>
  <c r="G26" i="72"/>
  <c r="E26" i="72"/>
  <c r="F19" i="72"/>
  <c r="F18" i="72"/>
  <c r="F17" i="72"/>
  <c r="F16" i="72"/>
  <c r="F15" i="72"/>
  <c r="F14" i="72"/>
  <c r="F13" i="72"/>
  <c r="F12" i="72"/>
  <c r="F11" i="72"/>
  <c r="H10" i="72"/>
  <c r="H11" i="72" s="1"/>
  <c r="H12" i="72" s="1"/>
  <c r="H13" i="72" s="1"/>
  <c r="H14" i="72" s="1"/>
  <c r="H15" i="72" s="1"/>
  <c r="H16" i="72" s="1"/>
  <c r="H17" i="72" s="1"/>
  <c r="H18" i="72" s="1"/>
  <c r="H19" i="72" s="1"/>
  <c r="H20" i="72" s="1"/>
  <c r="H21" i="72" s="1"/>
  <c r="H22" i="72" s="1"/>
  <c r="H23" i="72" s="1"/>
  <c r="H24" i="72" s="1"/>
  <c r="F10" i="72"/>
  <c r="F9" i="72"/>
  <c r="I9" i="72" s="1"/>
  <c r="I10" i="72" s="1"/>
  <c r="I11" i="72" s="1"/>
  <c r="I12" i="72" s="1"/>
  <c r="I13" i="72" s="1"/>
  <c r="I14" i="72" s="1"/>
  <c r="I15" i="72" s="1"/>
  <c r="I16" i="72" s="1"/>
  <c r="I17" i="72" s="1"/>
  <c r="I18" i="72" s="1"/>
  <c r="I19" i="72" s="1"/>
  <c r="I20" i="72" s="1"/>
  <c r="I21" i="72" s="1"/>
  <c r="I22" i="72" s="1"/>
  <c r="I23" i="72" s="1"/>
  <c r="I24" i="72" s="1"/>
  <c r="A6" i="72"/>
  <c r="E3" i="72"/>
  <c r="A3" i="72"/>
  <c r="A2" i="72"/>
  <c r="A1" i="72"/>
  <c r="A1" i="73" s="1"/>
  <c r="F23" i="71"/>
  <c r="D23" i="71"/>
  <c r="D10" i="69" s="1"/>
  <c r="G10" i="71"/>
  <c r="G11" i="71" s="1"/>
  <c r="G12" i="71" s="1"/>
  <c r="G13" i="71" s="1"/>
  <c r="G14" i="71" s="1"/>
  <c r="G15" i="71" s="1"/>
  <c r="G16" i="71" s="1"/>
  <c r="G17" i="71" s="1"/>
  <c r="G18" i="71" s="1"/>
  <c r="G19" i="71" s="1"/>
  <c r="G20" i="71" s="1"/>
  <c r="G21" i="71" s="1"/>
  <c r="E9" i="71"/>
  <c r="E10" i="71" s="1"/>
  <c r="E11" i="71" s="1"/>
  <c r="E12" i="71" s="1"/>
  <c r="E13" i="71" s="1"/>
  <c r="E14" i="71" s="1"/>
  <c r="E15" i="71" s="1"/>
  <c r="E16" i="71" s="1"/>
  <c r="E17" i="71" s="1"/>
  <c r="E18" i="71" s="1"/>
  <c r="E19" i="71" s="1"/>
  <c r="E20" i="71" s="1"/>
  <c r="E21" i="71" s="1"/>
  <c r="A6" i="71"/>
  <c r="D3" i="71"/>
  <c r="A3" i="71"/>
  <c r="A2" i="71"/>
  <c r="A1" i="71"/>
  <c r="H24" i="70"/>
  <c r="C8" i="69" s="1"/>
  <c r="C15" i="69" s="1"/>
  <c r="F25" i="17" s="1"/>
  <c r="G25" i="17" s="1"/>
  <c r="G24" i="70"/>
  <c r="C24" i="70"/>
  <c r="A6" i="70"/>
  <c r="D3" i="70"/>
  <c r="A3" i="70"/>
  <c r="A2" i="70"/>
  <c r="A1" i="70"/>
  <c r="D11" i="69" l="1"/>
  <c r="I26" i="72"/>
  <c r="F11" i="69" s="1"/>
  <c r="H23" i="71"/>
  <c r="F10" i="69" s="1"/>
  <c r="E10" i="69"/>
  <c r="E11" i="69"/>
  <c r="H9" i="71"/>
  <c r="H10" i="71" s="1"/>
  <c r="H11" i="71" s="1"/>
  <c r="H12" i="71" s="1"/>
  <c r="H13" i="71" s="1"/>
  <c r="H14" i="71" s="1"/>
  <c r="H15" i="71" s="1"/>
  <c r="H16" i="71" s="1"/>
  <c r="H17" i="71" s="1"/>
  <c r="H18" i="71" s="1"/>
  <c r="H19" i="71" s="1"/>
  <c r="H20" i="71" s="1"/>
  <c r="H21" i="71" s="1"/>
  <c r="D12" i="69"/>
  <c r="E15" i="69" l="1"/>
  <c r="I25" i="17" s="1"/>
  <c r="F12" i="69"/>
  <c r="D15" i="69"/>
  <c r="H25" i="17" s="1"/>
  <c r="G15" i="69" l="1"/>
  <c r="K25" i="17" s="1"/>
  <c r="F15" i="69"/>
  <c r="J25" i="17" s="1"/>
  <c r="G11" i="36"/>
  <c r="G10" i="36"/>
  <c r="G11" i="31"/>
  <c r="G10" i="31"/>
  <c r="G11" i="57"/>
  <c r="G10" i="57"/>
  <c r="G22" i="68" l="1"/>
  <c r="E12" i="64" s="1"/>
  <c r="H9" i="68"/>
  <c r="H10" i="68" s="1"/>
  <c r="H11" i="68" s="1"/>
  <c r="H12" i="68" s="1"/>
  <c r="H13" i="68" s="1"/>
  <c r="H14" i="68" s="1"/>
  <c r="H15" i="68" s="1"/>
  <c r="H16" i="68" s="1"/>
  <c r="H17" i="68" s="1"/>
  <c r="H18" i="68" s="1"/>
  <c r="H19" i="68" s="1"/>
  <c r="H20" i="68" s="1"/>
  <c r="A6" i="68"/>
  <c r="E3" i="68"/>
  <c r="A3" i="68"/>
  <c r="A2" i="68"/>
  <c r="G23" i="67"/>
  <c r="E23" i="67"/>
  <c r="D11" i="64" s="1"/>
  <c r="F21" i="67"/>
  <c r="F20" i="67"/>
  <c r="F19" i="67"/>
  <c r="F18" i="67"/>
  <c r="F17" i="67"/>
  <c r="F16" i="67"/>
  <c r="F15" i="67"/>
  <c r="F14" i="67"/>
  <c r="F13" i="67"/>
  <c r="F12" i="67"/>
  <c r="F11" i="67"/>
  <c r="H10" i="67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F10" i="67"/>
  <c r="F9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A6" i="67"/>
  <c r="E3" i="67"/>
  <c r="A3" i="67"/>
  <c r="A2" i="67"/>
  <c r="A1" i="67"/>
  <c r="A1" i="68" s="1"/>
  <c r="F23" i="66"/>
  <c r="E10" i="64" s="1"/>
  <c r="D23" i="66"/>
  <c r="G10" i="66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E9" i="66"/>
  <c r="H9" i="66" s="1"/>
  <c r="H10" i="66" s="1"/>
  <c r="H11" i="66" s="1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A6" i="66"/>
  <c r="D3" i="66"/>
  <c r="A3" i="66"/>
  <c r="A2" i="66"/>
  <c r="A1" i="66"/>
  <c r="H24" i="65"/>
  <c r="C8" i="64" s="1"/>
  <c r="G24" i="65"/>
  <c r="C24" i="65"/>
  <c r="A6" i="65"/>
  <c r="D3" i="65"/>
  <c r="A3" i="65"/>
  <c r="A2" i="65"/>
  <c r="A1" i="65"/>
  <c r="D12" i="64" l="1"/>
  <c r="F12" i="64" s="1"/>
  <c r="I23" i="67"/>
  <c r="F11" i="64" s="1"/>
  <c r="H23" i="66"/>
  <c r="F10" i="64" s="1"/>
  <c r="D10" i="64"/>
  <c r="E11" i="64"/>
  <c r="E14" i="64" s="1"/>
  <c r="I24" i="17" s="1"/>
  <c r="E10" i="66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44" i="17"/>
  <c r="G22" i="63"/>
  <c r="E12" i="59" s="1"/>
  <c r="H9" i="63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A6" i="63"/>
  <c r="E3" i="63"/>
  <c r="A3" i="63"/>
  <c r="A2" i="63"/>
  <c r="G23" i="62"/>
  <c r="E11" i="59" s="1"/>
  <c r="E23" i="62"/>
  <c r="F21" i="62"/>
  <c r="F20" i="62"/>
  <c r="F19" i="62"/>
  <c r="F18" i="62"/>
  <c r="F17" i="62"/>
  <c r="F16" i="62"/>
  <c r="F15" i="62"/>
  <c r="F14" i="62"/>
  <c r="F13" i="62"/>
  <c r="F12" i="62"/>
  <c r="F11" i="62"/>
  <c r="H10" i="62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F10" i="62"/>
  <c r="F9" i="62"/>
  <c r="I9" i="62" s="1"/>
  <c r="I10" i="62" s="1"/>
  <c r="I11" i="62" s="1"/>
  <c r="I12" i="62" s="1"/>
  <c r="I13" i="62" s="1"/>
  <c r="I14" i="62" s="1"/>
  <c r="I15" i="62" s="1"/>
  <c r="I16" i="62" s="1"/>
  <c r="I17" i="62" s="1"/>
  <c r="I18" i="62" s="1"/>
  <c r="I19" i="62" s="1"/>
  <c r="I20" i="62" s="1"/>
  <c r="I21" i="62" s="1"/>
  <c r="A6" i="62"/>
  <c r="E3" i="62"/>
  <c r="A3" i="62"/>
  <c r="A2" i="62"/>
  <c r="A1" i="62"/>
  <c r="A1" i="63" s="1"/>
  <c r="D23" i="61"/>
  <c r="G10" i="6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E9" i="6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A6" i="61"/>
  <c r="D3" i="61"/>
  <c r="A3" i="61"/>
  <c r="A2" i="61"/>
  <c r="A1" i="61"/>
  <c r="H24" i="60"/>
  <c r="C8" i="59" s="1"/>
  <c r="C14" i="59" s="1"/>
  <c r="F16" i="17" s="1"/>
  <c r="G24" i="60"/>
  <c r="C24" i="60"/>
  <c r="A6" i="60"/>
  <c r="D3" i="60"/>
  <c r="A3" i="60"/>
  <c r="A2" i="60"/>
  <c r="A1" i="60"/>
  <c r="I23" i="62" l="1"/>
  <c r="F11" i="59" s="1"/>
  <c r="G16" i="17"/>
  <c r="D14" i="64"/>
  <c r="H24" i="17" s="1"/>
  <c r="E14" i="59"/>
  <c r="I16" i="17" s="1"/>
  <c r="D11" i="59"/>
  <c r="D10" i="59"/>
  <c r="D12" i="59"/>
  <c r="F12" i="59" s="1"/>
  <c r="H9" i="61"/>
  <c r="H10" i="61" s="1"/>
  <c r="H11" i="61" s="1"/>
  <c r="H12" i="61" s="1"/>
  <c r="H13" i="61" s="1"/>
  <c r="H14" i="61" s="1"/>
  <c r="H15" i="61" s="1"/>
  <c r="H16" i="61" s="1"/>
  <c r="H17" i="61" s="1"/>
  <c r="H18" i="61" s="1"/>
  <c r="H19" i="61" s="1"/>
  <c r="H20" i="61" s="1"/>
  <c r="H21" i="61" s="1"/>
  <c r="G22" i="58"/>
  <c r="D12" i="54" s="1"/>
  <c r="H9" i="58"/>
  <c r="H10" i="58" s="1"/>
  <c r="H11" i="58" s="1"/>
  <c r="H12" i="58" s="1"/>
  <c r="H13" i="58" s="1"/>
  <c r="H14" i="58" s="1"/>
  <c r="H15" i="58" s="1"/>
  <c r="H16" i="58" s="1"/>
  <c r="H17" i="58" s="1"/>
  <c r="H18" i="58" s="1"/>
  <c r="H19" i="58" s="1"/>
  <c r="H20" i="58" s="1"/>
  <c r="A6" i="58"/>
  <c r="E3" i="58"/>
  <c r="A3" i="58"/>
  <c r="A2" i="58"/>
  <c r="G28" i="57"/>
  <c r="E11" i="54" s="1"/>
  <c r="E28" i="57"/>
  <c r="H10" i="57"/>
  <c r="H11" i="57" s="1"/>
  <c r="H12" i="57" s="1"/>
  <c r="H13" i="57" s="1"/>
  <c r="H14" i="57" s="1"/>
  <c r="H15" i="57" s="1"/>
  <c r="H16" i="57" s="1"/>
  <c r="H17" i="57" s="1"/>
  <c r="H18" i="57" s="1"/>
  <c r="H19" i="57" s="1"/>
  <c r="H20" i="57" s="1"/>
  <c r="H21" i="57" s="1"/>
  <c r="H22" i="57" s="1"/>
  <c r="H23" i="57" s="1"/>
  <c r="H24" i="57" s="1"/>
  <c r="H25" i="57" s="1"/>
  <c r="H26" i="57" s="1"/>
  <c r="F9" i="57"/>
  <c r="A6" i="57"/>
  <c r="E3" i="57"/>
  <c r="A3" i="57"/>
  <c r="A2" i="57"/>
  <c r="A1" i="57"/>
  <c r="A1" i="58" s="1"/>
  <c r="F23" i="56"/>
  <c r="E10" i="54" s="1"/>
  <c r="D23" i="56"/>
  <c r="D10" i="54" s="1"/>
  <c r="G10" i="56"/>
  <c r="G11" i="56" s="1"/>
  <c r="G12" i="56" s="1"/>
  <c r="G13" i="56" s="1"/>
  <c r="G14" i="56" s="1"/>
  <c r="G15" i="56" s="1"/>
  <c r="G16" i="56" s="1"/>
  <c r="G17" i="56" s="1"/>
  <c r="G18" i="56" s="1"/>
  <c r="G19" i="56" s="1"/>
  <c r="G20" i="56" s="1"/>
  <c r="G21" i="56" s="1"/>
  <c r="E9" i="56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A6" i="56"/>
  <c r="D3" i="56"/>
  <c r="A3" i="56"/>
  <c r="A2" i="56"/>
  <c r="A1" i="56"/>
  <c r="H24" i="55"/>
  <c r="C8" i="54" s="1"/>
  <c r="C16" i="54" s="1"/>
  <c r="F19" i="17" s="1"/>
  <c r="G19" i="17" s="1"/>
  <c r="G24" i="55"/>
  <c r="C24" i="55"/>
  <c r="A6" i="55"/>
  <c r="D3" i="55"/>
  <c r="A3" i="55"/>
  <c r="A2" i="55"/>
  <c r="A1" i="55"/>
  <c r="I9" i="57" l="1"/>
  <c r="I10" i="57" s="1"/>
  <c r="I11" i="57" s="1"/>
  <c r="I12" i="57" s="1"/>
  <c r="I13" i="57" s="1"/>
  <c r="I14" i="57" s="1"/>
  <c r="I15" i="57" s="1"/>
  <c r="I16" i="57" s="1"/>
  <c r="I17" i="57" s="1"/>
  <c r="I18" i="57" s="1"/>
  <c r="I19" i="57" s="1"/>
  <c r="I20" i="57" s="1"/>
  <c r="I21" i="57" s="1"/>
  <c r="I22" i="57" s="1"/>
  <c r="I23" i="57" s="1"/>
  <c r="I24" i="57" s="1"/>
  <c r="I25" i="57" s="1"/>
  <c r="I26" i="57" s="1"/>
  <c r="F10" i="57"/>
  <c r="F11" i="57" s="1"/>
  <c r="F12" i="57" s="1"/>
  <c r="F13" i="57" s="1"/>
  <c r="F14" i="57" s="1"/>
  <c r="F15" i="57" s="1"/>
  <c r="F16" i="57" s="1"/>
  <c r="F17" i="57" s="1"/>
  <c r="F18" i="57" s="1"/>
  <c r="F19" i="57" s="1"/>
  <c r="F20" i="57" s="1"/>
  <c r="F21" i="57" s="1"/>
  <c r="F22" i="57" s="1"/>
  <c r="F23" i="57" s="1"/>
  <c r="F24" i="57" s="1"/>
  <c r="F25" i="57" s="1"/>
  <c r="F26" i="57" s="1"/>
  <c r="F14" i="64"/>
  <c r="J24" i="17" s="1"/>
  <c r="E12" i="54"/>
  <c r="F12" i="54" s="1"/>
  <c r="D14" i="59"/>
  <c r="I28" i="57"/>
  <c r="F11" i="54" s="1"/>
  <c r="D11" i="54"/>
  <c r="D16" i="54" s="1"/>
  <c r="H19" i="17" s="1"/>
  <c r="E16" i="54"/>
  <c r="I19" i="17" s="1"/>
  <c r="H23" i="56"/>
  <c r="F10" i="54" s="1"/>
  <c r="H9" i="56"/>
  <c r="H10" i="56" s="1"/>
  <c r="H11" i="56" s="1"/>
  <c r="H12" i="56" s="1"/>
  <c r="H13" i="56" s="1"/>
  <c r="H14" i="56" s="1"/>
  <c r="H15" i="56" s="1"/>
  <c r="H16" i="56" s="1"/>
  <c r="H17" i="56" s="1"/>
  <c r="H18" i="56" s="1"/>
  <c r="H19" i="56" s="1"/>
  <c r="H20" i="56" s="1"/>
  <c r="H21" i="56" s="1"/>
  <c r="H16" i="17" l="1"/>
  <c r="G14" i="59"/>
  <c r="K16" i="17" s="1"/>
  <c r="F14" i="59"/>
  <c r="J16" i="17" s="1"/>
  <c r="G16" i="54"/>
  <c r="K19" i="17" s="1"/>
  <c r="F16" i="54"/>
  <c r="J19" i="17" s="1"/>
  <c r="G22" i="52" l="1"/>
  <c r="D12" i="48" s="1"/>
  <c r="H9" i="52"/>
  <c r="H10" i="52" s="1"/>
  <c r="H11" i="52" s="1"/>
  <c r="H12" i="52" s="1"/>
  <c r="H13" i="52" s="1"/>
  <c r="H14" i="52" s="1"/>
  <c r="H15" i="52" s="1"/>
  <c r="H16" i="52" s="1"/>
  <c r="H17" i="52" s="1"/>
  <c r="H18" i="52" s="1"/>
  <c r="H19" i="52" s="1"/>
  <c r="H20" i="52" s="1"/>
  <c r="A6" i="52"/>
  <c r="E3" i="52"/>
  <c r="A3" i="52"/>
  <c r="A2" i="52"/>
  <c r="G23" i="51"/>
  <c r="E11" i="48" s="1"/>
  <c r="E23" i="51"/>
  <c r="F21" i="51"/>
  <c r="F20" i="51"/>
  <c r="F19" i="51"/>
  <c r="F18" i="51"/>
  <c r="F17" i="51"/>
  <c r="F16" i="51"/>
  <c r="F15" i="51"/>
  <c r="F14" i="51"/>
  <c r="F13" i="51"/>
  <c r="F12" i="51"/>
  <c r="F11" i="51"/>
  <c r="H10" i="51"/>
  <c r="H11" i="51" s="1"/>
  <c r="H12" i="51" s="1"/>
  <c r="H13" i="51" s="1"/>
  <c r="H14" i="51" s="1"/>
  <c r="H15" i="51" s="1"/>
  <c r="H16" i="51" s="1"/>
  <c r="H17" i="51" s="1"/>
  <c r="H18" i="51" s="1"/>
  <c r="H19" i="51" s="1"/>
  <c r="H20" i="51" s="1"/>
  <c r="H21" i="51" s="1"/>
  <c r="F10" i="51"/>
  <c r="F9" i="5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I21" i="51" s="1"/>
  <c r="A6" i="51"/>
  <c r="E3" i="51"/>
  <c r="A3" i="51"/>
  <c r="A2" i="51"/>
  <c r="A1" i="51"/>
  <c r="A1" i="52" s="1"/>
  <c r="F23" i="50"/>
  <c r="E10" i="48" s="1"/>
  <c r="D23" i="50"/>
  <c r="G10" i="50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E9" i="50"/>
  <c r="H9" i="50" s="1"/>
  <c r="H10" i="50" s="1"/>
  <c r="H11" i="50" s="1"/>
  <c r="H12" i="50" s="1"/>
  <c r="H13" i="50" s="1"/>
  <c r="H14" i="50" s="1"/>
  <c r="H15" i="50" s="1"/>
  <c r="H16" i="50" s="1"/>
  <c r="H17" i="50" s="1"/>
  <c r="H18" i="50" s="1"/>
  <c r="H19" i="50" s="1"/>
  <c r="H20" i="50" s="1"/>
  <c r="H21" i="50" s="1"/>
  <c r="A6" i="50"/>
  <c r="D3" i="50"/>
  <c r="A3" i="50"/>
  <c r="A2" i="50"/>
  <c r="A1" i="50"/>
  <c r="H24" i="49"/>
  <c r="C8" i="48" s="1"/>
  <c r="G24" i="49"/>
  <c r="C24" i="49"/>
  <c r="A6" i="49"/>
  <c r="D3" i="49"/>
  <c r="A3" i="49"/>
  <c r="A2" i="49"/>
  <c r="A1" i="49"/>
  <c r="C14" i="48"/>
  <c r="F23" i="17" s="1"/>
  <c r="G23" i="17" s="1"/>
  <c r="G22" i="47"/>
  <c r="E12" i="43" s="1"/>
  <c r="H9" i="47"/>
  <c r="H10" i="47" s="1"/>
  <c r="H11" i="47" s="1"/>
  <c r="H12" i="47" s="1"/>
  <c r="H13" i="47" s="1"/>
  <c r="H14" i="47" s="1"/>
  <c r="H15" i="47" s="1"/>
  <c r="H16" i="47" s="1"/>
  <c r="H17" i="47" s="1"/>
  <c r="H18" i="47" s="1"/>
  <c r="H19" i="47" s="1"/>
  <c r="H20" i="47" s="1"/>
  <c r="A6" i="47"/>
  <c r="E3" i="47"/>
  <c r="A3" i="47"/>
  <c r="A2" i="47"/>
  <c r="G25" i="46"/>
  <c r="E11" i="43" s="1"/>
  <c r="E25" i="46"/>
  <c r="F19" i="46"/>
  <c r="F18" i="46"/>
  <c r="F17" i="46"/>
  <c r="F16" i="46"/>
  <c r="F15" i="46"/>
  <c r="F14" i="46"/>
  <c r="F13" i="46"/>
  <c r="F12" i="46"/>
  <c r="F11" i="46"/>
  <c r="H10" i="46"/>
  <c r="H11" i="46" s="1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F10" i="46"/>
  <c r="F9" i="46"/>
  <c r="I9" i="46" s="1"/>
  <c r="I10" i="46" s="1"/>
  <c r="I11" i="46" s="1"/>
  <c r="I12" i="46" s="1"/>
  <c r="I13" i="46" s="1"/>
  <c r="I14" i="46" s="1"/>
  <c r="I15" i="46" s="1"/>
  <c r="I16" i="46" s="1"/>
  <c r="I17" i="46" s="1"/>
  <c r="I18" i="46" s="1"/>
  <c r="I19" i="46" s="1"/>
  <c r="I20" i="46" s="1"/>
  <c r="I21" i="46" s="1"/>
  <c r="I22" i="46" s="1"/>
  <c r="I23" i="46" s="1"/>
  <c r="A6" i="46"/>
  <c r="E3" i="46"/>
  <c r="A3" i="46"/>
  <c r="A2" i="46"/>
  <c r="A1" i="46"/>
  <c r="A1" i="47" s="1"/>
  <c r="F23" i="45"/>
  <c r="E10" i="43" s="1"/>
  <c r="D23" i="45"/>
  <c r="D10" i="43" s="1"/>
  <c r="G10" i="45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E9" i="45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A6" i="45"/>
  <c r="D3" i="45"/>
  <c r="A3" i="45"/>
  <c r="A2" i="45"/>
  <c r="A1" i="45"/>
  <c r="H24" i="44"/>
  <c r="C8" i="43" s="1"/>
  <c r="C15" i="43" s="1"/>
  <c r="F22" i="17" s="1"/>
  <c r="G22" i="17" s="1"/>
  <c r="G24" i="44"/>
  <c r="C24" i="44"/>
  <c r="A6" i="44"/>
  <c r="D3" i="44"/>
  <c r="A3" i="44"/>
  <c r="A2" i="44"/>
  <c r="A1" i="44"/>
  <c r="H23" i="50" l="1"/>
  <c r="F10" i="48" s="1"/>
  <c r="D12" i="43"/>
  <c r="F12" i="43" s="1"/>
  <c r="H9" i="45"/>
  <c r="H10" i="45" s="1"/>
  <c r="H11" i="45" s="1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I25" i="46"/>
  <c r="F11" i="43" s="1"/>
  <c r="D10" i="48"/>
  <c r="E12" i="48"/>
  <c r="F12" i="48" s="1"/>
  <c r="I23" i="51"/>
  <c r="F11" i="48" s="1"/>
  <c r="H23" i="45"/>
  <c r="F10" i="43" s="1"/>
  <c r="E15" i="43"/>
  <c r="I22" i="17" s="1"/>
  <c r="C14" i="64"/>
  <c r="F24" i="17" s="1"/>
  <c r="G14" i="64"/>
  <c r="K24" i="17" s="1"/>
  <c r="D11" i="43"/>
  <c r="D11" i="48"/>
  <c r="E10" i="50"/>
  <c r="E11" i="50" s="1"/>
  <c r="E12" i="50" s="1"/>
  <c r="E13" i="50" s="1"/>
  <c r="E14" i="50" s="1"/>
  <c r="E15" i="50" s="1"/>
  <c r="E16" i="50" s="1"/>
  <c r="E17" i="50" s="1"/>
  <c r="E18" i="50" s="1"/>
  <c r="E19" i="50" s="1"/>
  <c r="E20" i="50" s="1"/>
  <c r="E21" i="50" s="1"/>
  <c r="D14" i="48" l="1"/>
  <c r="E14" i="48"/>
  <c r="I23" i="17" s="1"/>
  <c r="G24" i="17"/>
  <c r="D15" i="43"/>
  <c r="G15" i="43" s="1"/>
  <c r="K22" i="17" s="1"/>
  <c r="H23" i="17"/>
  <c r="F14" i="48"/>
  <c r="J23" i="17" s="1"/>
  <c r="G14" i="48"/>
  <c r="K23" i="17" s="1"/>
  <c r="H24" i="39"/>
  <c r="G24" i="39"/>
  <c r="E3" i="42"/>
  <c r="A6" i="42"/>
  <c r="A3" i="42"/>
  <c r="A2" i="42"/>
  <c r="E23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9" i="41"/>
  <c r="I9" i="41" s="1"/>
  <c r="I10" i="41" s="1"/>
  <c r="I11" i="41" s="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E3" i="41"/>
  <c r="A6" i="41"/>
  <c r="A3" i="41"/>
  <c r="A2" i="41"/>
  <c r="A1" i="41"/>
  <c r="A1" i="42" s="1"/>
  <c r="D3" i="40"/>
  <c r="A6" i="40"/>
  <c r="A3" i="40"/>
  <c r="A2" i="40"/>
  <c r="A1" i="40"/>
  <c r="D3" i="39"/>
  <c r="A6" i="39"/>
  <c r="A3" i="39"/>
  <c r="A2" i="39"/>
  <c r="A1" i="39"/>
  <c r="F15" i="43" l="1"/>
  <c r="J22" i="17" s="1"/>
  <c r="H22" i="17"/>
  <c r="D11" i="38"/>
  <c r="G22" i="42"/>
  <c r="H9" i="42"/>
  <c r="H10" i="42" s="1"/>
  <c r="H11" i="42" s="1"/>
  <c r="H12" i="42" s="1"/>
  <c r="H13" i="42" s="1"/>
  <c r="H14" i="42" s="1"/>
  <c r="H15" i="42" s="1"/>
  <c r="H16" i="42" s="1"/>
  <c r="H17" i="42" s="1"/>
  <c r="H18" i="42" s="1"/>
  <c r="H19" i="42" s="1"/>
  <c r="H20" i="42" s="1"/>
  <c r="G23" i="41"/>
  <c r="E11" i="38" s="1"/>
  <c r="H10" i="41"/>
  <c r="H11" i="41" s="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F23" i="40"/>
  <c r="E10" i="38" s="1"/>
  <c r="D23" i="40"/>
  <c r="G10" i="40"/>
  <c r="G11" i="40" s="1"/>
  <c r="G12" i="40" s="1"/>
  <c r="G13" i="40" s="1"/>
  <c r="G14" i="40" s="1"/>
  <c r="G15" i="40" s="1"/>
  <c r="G16" i="40" s="1"/>
  <c r="G17" i="40" s="1"/>
  <c r="G18" i="40" s="1"/>
  <c r="G19" i="40" s="1"/>
  <c r="G20" i="40" s="1"/>
  <c r="G21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E20" i="40" s="1"/>
  <c r="E21" i="40" s="1"/>
  <c r="C24" i="39"/>
  <c r="C14" i="38"/>
  <c r="E12" i="38"/>
  <c r="D12" i="38"/>
  <c r="I23" i="41" l="1"/>
  <c r="F11" i="38" s="1"/>
  <c r="H23" i="40"/>
  <c r="F10" i="38" s="1"/>
  <c r="D10" i="38"/>
  <c r="D14" i="38" s="1"/>
  <c r="F12" i="38"/>
  <c r="G14" i="38"/>
  <c r="H9" i="40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E14" i="38"/>
  <c r="F14" i="38" s="1"/>
  <c r="A3" i="29" l="1"/>
  <c r="A2" i="29"/>
  <c r="A1" i="29"/>
  <c r="G22" i="37"/>
  <c r="H9" i="37"/>
  <c r="H10" i="37" s="1"/>
  <c r="H11" i="37" s="1"/>
  <c r="H12" i="37" s="1"/>
  <c r="H13" i="37" s="1"/>
  <c r="H14" i="37" s="1"/>
  <c r="H15" i="37" s="1"/>
  <c r="H16" i="37" s="1"/>
  <c r="H17" i="37" s="1"/>
  <c r="H18" i="37" s="1"/>
  <c r="H19" i="37" s="1"/>
  <c r="H20" i="37" s="1"/>
  <c r="A6" i="37"/>
  <c r="E3" i="37"/>
  <c r="A3" i="37"/>
  <c r="A2" i="37"/>
  <c r="A1" i="37"/>
  <c r="G28" i="36"/>
  <c r="E11" i="33" s="1"/>
  <c r="E28" i="36"/>
  <c r="H10" i="36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F9" i="36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A6" i="36"/>
  <c r="E3" i="36"/>
  <c r="A3" i="36"/>
  <c r="A2" i="36"/>
  <c r="A1" i="36"/>
  <c r="F23" i="35"/>
  <c r="E10" i="33" s="1"/>
  <c r="D23" i="35"/>
  <c r="D10" i="33" s="1"/>
  <c r="G10" i="35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E9" i="35"/>
  <c r="H9" i="35" s="1"/>
  <c r="H10" i="35" s="1"/>
  <c r="H11" i="35" s="1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A6" i="35"/>
  <c r="D3" i="35"/>
  <c r="A3" i="35"/>
  <c r="A2" i="35"/>
  <c r="A1" i="35"/>
  <c r="G24" i="34"/>
  <c r="C24" i="34"/>
  <c r="H24" i="34"/>
  <c r="C8" i="33" s="1"/>
  <c r="A6" i="34"/>
  <c r="D3" i="34"/>
  <c r="A3" i="34"/>
  <c r="A2" i="34"/>
  <c r="A1" i="34"/>
  <c r="E12" i="33"/>
  <c r="D12" i="33"/>
  <c r="F12" i="33" s="1"/>
  <c r="G22" i="32"/>
  <c r="D12" i="28" s="1"/>
  <c r="H9" i="32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A6" i="32"/>
  <c r="E3" i="32"/>
  <c r="A3" i="32"/>
  <c r="A2" i="32"/>
  <c r="A1" i="32"/>
  <c r="G28" i="31"/>
  <c r="E11" i="28" s="1"/>
  <c r="E28" i="31"/>
  <c r="D11" i="28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F9" i="3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A6" i="31"/>
  <c r="E3" i="31"/>
  <c r="A3" i="31"/>
  <c r="A2" i="31"/>
  <c r="A1" i="31"/>
  <c r="F23" i="30"/>
  <c r="E10" i="28" s="1"/>
  <c r="D23" i="30"/>
  <c r="D10" i="28" s="1"/>
  <c r="G10" i="30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E9" i="30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A6" i="30"/>
  <c r="D3" i="30"/>
  <c r="A3" i="30"/>
  <c r="A2" i="30"/>
  <c r="A1" i="30"/>
  <c r="G24" i="29"/>
  <c r="C24" i="29"/>
  <c r="H10" i="29"/>
  <c r="H24" i="29" s="1"/>
  <c r="C8" i="28" s="1"/>
  <c r="A6" i="29"/>
  <c r="D3" i="29"/>
  <c r="E12" i="28" l="1"/>
  <c r="F12" i="28" s="1"/>
  <c r="I9" i="3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8" i="36"/>
  <c r="F11" i="33" s="1"/>
  <c r="E16" i="33"/>
  <c r="I21" i="17" s="1"/>
  <c r="I28" i="31"/>
  <c r="F11" i="28" s="1"/>
  <c r="D11" i="33"/>
  <c r="D16" i="33" s="1"/>
  <c r="D16" i="28"/>
  <c r="C16" i="28"/>
  <c r="F20" i="17" s="1"/>
  <c r="G20" i="17" s="1"/>
  <c r="C16" i="33"/>
  <c r="F21" i="17" s="1"/>
  <c r="G21" i="17" s="1"/>
  <c r="I9" i="36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I26" i="36" s="1"/>
  <c r="H9" i="30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3" i="30"/>
  <c r="F10" i="28" s="1"/>
  <c r="E10" i="35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H23" i="35"/>
  <c r="F10" i="33" s="1"/>
  <c r="E16" i="28" l="1"/>
  <c r="I20" i="17" s="1"/>
  <c r="F16" i="33"/>
  <c r="J21" i="17" s="1"/>
  <c r="H21" i="17"/>
  <c r="G16" i="33"/>
  <c r="K21" i="17" s="1"/>
  <c r="H20" i="17"/>
  <c r="G16" i="28"/>
  <c r="K20" i="17" s="1"/>
  <c r="A1" i="22"/>
  <c r="F16" i="28" l="1"/>
  <c r="J20" i="17" s="1"/>
  <c r="G22" i="27"/>
  <c r="E12" i="23" s="1"/>
  <c r="H9" i="27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A6" i="27"/>
  <c r="E3" i="27"/>
  <c r="A3" i="27"/>
  <c r="A2" i="27"/>
  <c r="A1" i="27"/>
  <c r="G23" i="26"/>
  <c r="E11" i="23" s="1"/>
  <c r="E23" i="26"/>
  <c r="H10" i="26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F9" i="26"/>
  <c r="I9" i="26" s="1"/>
  <c r="I10" i="26" s="1"/>
  <c r="I11" i="26" s="1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A6" i="26"/>
  <c r="E3" i="26"/>
  <c r="A3" i="26"/>
  <c r="A2" i="26"/>
  <c r="A1" i="26"/>
  <c r="F23" i="25"/>
  <c r="E10" i="23" s="1"/>
  <c r="D23" i="25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E9" i="25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A6" i="25"/>
  <c r="D3" i="25"/>
  <c r="A3" i="25"/>
  <c r="A2" i="25"/>
  <c r="A1" i="25"/>
  <c r="G24" i="24"/>
  <c r="C24" i="24"/>
  <c r="H24" i="24"/>
  <c r="C8" i="23" s="1"/>
  <c r="A6" i="24"/>
  <c r="D3" i="24"/>
  <c r="A3" i="24"/>
  <c r="A2" i="24"/>
  <c r="A1" i="24"/>
  <c r="H23" i="25" l="1"/>
  <c r="F10" i="23" s="1"/>
  <c r="D10" i="23"/>
  <c r="E19" i="23"/>
  <c r="I17" i="17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I23" i="26"/>
  <c r="F11" i="23" s="1"/>
  <c r="D12" i="23"/>
  <c r="F12" i="23" s="1"/>
  <c r="D11" i="23"/>
  <c r="H9" i="25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C19" i="23"/>
  <c r="F17" i="17" s="1"/>
  <c r="D19" i="23" l="1"/>
  <c r="G19" i="23" s="1"/>
  <c r="G17" i="17"/>
  <c r="G22" i="22"/>
  <c r="E12" i="18" s="1"/>
  <c r="H10" i="22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A6" i="22"/>
  <c r="E3" i="22"/>
  <c r="A3" i="22"/>
  <c r="A2" i="22"/>
  <c r="G23" i="21"/>
  <c r="E11" i="18" s="1"/>
  <c r="E23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9" i="2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A6" i="21"/>
  <c r="E3" i="21"/>
  <c r="A3" i="21"/>
  <c r="A2" i="21"/>
  <c r="A1" i="21"/>
  <c r="F23" i="20"/>
  <c r="E10" i="18" s="1"/>
  <c r="D23" i="20"/>
  <c r="D10" i="1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G24" i="19"/>
  <c r="C24" i="19"/>
  <c r="H24" i="19"/>
  <c r="C8" i="18" s="1"/>
  <c r="A6" i="19"/>
  <c r="D3" i="19"/>
  <c r="A3" i="19"/>
  <c r="A2" i="19"/>
  <c r="A1" i="19"/>
  <c r="F19" i="23" l="1"/>
  <c r="J17" i="17" s="1"/>
  <c r="I23" i="21"/>
  <c r="F11" i="18" s="1"/>
  <c r="H17" i="17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K17" i="17"/>
  <c r="D12" i="18"/>
  <c r="F12" i="18" s="1"/>
  <c r="E14" i="18"/>
  <c r="I18" i="17" s="1"/>
  <c r="I44" i="17" s="1"/>
  <c r="I9" i="2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D11" i="18"/>
  <c r="C14" i="18"/>
  <c r="F18" i="17" s="1"/>
  <c r="F44" i="17" s="1"/>
  <c r="H23" i="20"/>
  <c r="F10" i="18" s="1"/>
  <c r="D14" i="18" l="1"/>
  <c r="F14" i="18" s="1"/>
  <c r="G18" i="17"/>
  <c r="G44" i="17" s="1"/>
  <c r="D3" i="17"/>
  <c r="E6" i="17" s="1"/>
  <c r="G14" i="18" l="1"/>
  <c r="K18" i="17" s="1"/>
  <c r="K44" i="17" s="1"/>
  <c r="H18" i="17"/>
  <c r="J18" i="17"/>
  <c r="J44" i="17" s="1"/>
  <c r="H44" i="17" l="1"/>
  <c r="E7" i="17" s="1"/>
  <c r="E8" i="17" s="1"/>
  <c r="K47" i="17"/>
  <c r="H23" i="61" l="1"/>
  <c r="F10" i="59" l="1"/>
  <c r="D26" i="76"/>
  <c r="H26" i="76" l="1"/>
  <c r="H27" i="76" s="1"/>
  <c r="D27" i="76"/>
  <c r="D26" i="61"/>
  <c r="D27" i="61" s="1"/>
  <c r="H26" i="61"/>
  <c r="H27" i="61" s="1"/>
  <c r="F26" i="61" l="1"/>
  <c r="F27" i="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8691667-A411-45A9-BBBA-36815324AD5F}">
      <text>
        <r>
          <rPr>
            <sz val="11"/>
            <color indexed="81"/>
            <rFont val="Tahoma"/>
            <family val="2"/>
          </rPr>
          <t>Kleene, Jennifer
9:21 AM (3 minutes ago)
to me
Please create a DAS Costs budget of $293,189.00 for DA26 9279.50. 
Regards,
Jennifer
Jennifer Kleene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3949FAF-B606-4ED9-A701-54FC7332702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A718104D-5124-4F14-A4C2-C579CD8AE0A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(24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
Re: December PM Time has been posted
$Joni
Shimp, Oliver
11:37 AM (1 hour ago)
to me
For my projects could you please,
5800 9473.00, Add $5,000.00 from unallocated to PM time.
DA26 9492.00, Add $3,000.00 from unallocated to PM time. 
MM24 9386.01, Add $6,000.00 from unallocated to PM time.
Thank you!
Oliver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BC70419-C110-4F6F-8BEB-11BC2672A706}">
      <text>
        <r>
          <rPr>
            <sz val="11"/>
            <color indexed="81"/>
            <rFont val="Tahoma"/>
            <family val="2"/>
          </rPr>
          <t>Adams, Brandon
12:33 PM (37 minutes ago)
to me
Please set the PM Time to $2,500.
Regards,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EA368A3-794D-419F-B28F-3B2005A3A31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Jurgenson, John [DAS]</author>
  </authors>
  <commentList>
    <comment ref="E9" authorId="0" shapeId="0" xr:uid="{663DBDEE-4590-4860-B5D9-0B41E8797992}">
      <text>
        <r>
          <rPr>
            <b/>
            <sz val="9"/>
            <color indexed="81"/>
            <rFont val="Tahoma"/>
            <family val="2"/>
          </rPr>
          <t>Jurgenson, John [DAS]:</t>
        </r>
        <r>
          <rPr>
            <sz val="9"/>
            <color indexed="81"/>
            <rFont val="Tahoma"/>
            <family val="2"/>
          </rPr>
          <t xml:space="preserve">
DAS Costs Budget for DA26 9480.01
Inbox
Kleene, Jennifer
2:58 PM (2 minutes ago)
to me
Please create a DAS Costs budget for $4,000.00 for DA26 9480.01.
Regards,
Jennifer
DAS Cost Budget Increases
$Joni
Kleene, Jennifer
9:49 AM (1 minute ago)
to me
Please increase the DAS Cost budget for MM24 9277.00 by $3,000.00
Please increase the DAS Cost budget for DA26 9480.01 by $2,000.00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5E86823-DF5A-4976-A550-F1E6EE1D286C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Adams, Brandon
1:51 PM (1 hour ago)
to me
DA24 9414.00 (3,176.95) increase by $6,000
DA26 9481.00 (1302.54) set pm budget at $10,000
MM23 9450.00 (491.54) increase by $491.54 and close
MM25 9442.00 (1,198.60) increase by $2,000
Regards,
Brandon Adams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0FAFE2E-3DCD-48B6-9D04-AA248F37C08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2:04 PM (2 minutes ago)
to me
Could you please add $3000.00 to the PM time budget from the unallocated funds in project 9482.00?
Thank you very much!
--
Oliver Shimp, PE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672D44F5-0BE5-4944-BC0F-98BB91A8CFD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3C8C6B78-A001-4BCE-BBE5-2B15F048090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A600DF9-B870-4932-BDDB-0856A92966C6}">
      <text>
        <r>
          <rPr>
            <b/>
            <sz val="11"/>
            <color indexed="81"/>
            <rFont val="Tahoma"/>
            <family val="2"/>
          </rPr>
          <t>On Sat, Sep 20, 2025 at 2:15 PM Elliott, Jennie &lt;jennie.elliott@iowa.gov&gt; wrote:
Sorry about that, Please establish DAS time for $145,000.00 in 9488.00.
Thank you,
Jennie Elliott
Owner's Representative, State Design &amp; Construction Resources Bureau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7D453E67-42D8-4457-AA7F-7340D8267CD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(23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</t>
        </r>
      </text>
    </comment>
  </commentList>
</comments>
</file>

<file path=xl/sharedStrings.xml><?xml version="1.0" encoding="utf-8"?>
<sst xmlns="http://schemas.openxmlformats.org/spreadsheetml/2006/main" count="2201" uniqueCount="475">
  <si>
    <t>TRANSFERS</t>
  </si>
  <si>
    <t>CONTRACTED</t>
  </si>
  <si>
    <t>EXPENDED</t>
  </si>
  <si>
    <t xml:space="preserve"> </t>
  </si>
  <si>
    <t>Date</t>
  </si>
  <si>
    <t>Amount</t>
  </si>
  <si>
    <t>Vendor</t>
  </si>
  <si>
    <t>Date of Transfer</t>
  </si>
  <si>
    <t>Total amount of transfer</t>
  </si>
  <si>
    <t>Total Requested</t>
  </si>
  <si>
    <t>Total Transferred</t>
  </si>
  <si>
    <t>Activity</t>
  </si>
  <si>
    <t>Balance</t>
  </si>
  <si>
    <t>Vendor A</t>
  </si>
  <si>
    <t>Misc</t>
  </si>
  <si>
    <t>PROJECT NUMBER</t>
  </si>
  <si>
    <t>.</t>
  </si>
  <si>
    <t>Status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</si>
  <si>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</si>
  <si>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</si>
  <si>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</si>
  <si>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</si>
  <si>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</si>
  <si>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</si>
  <si>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</si>
  <si>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</si>
  <si>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</si>
  <si>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</si>
  <si>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</si>
  <si>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</si>
  <si>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</si>
  <si>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</si>
  <si>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</si>
  <si>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</si>
  <si>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</si>
  <si>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</si>
  <si>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>Recap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</si>
  <si>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</si>
  <si>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</si>
  <si>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</si>
  <si>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</si>
  <si>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</si>
  <si>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</si>
  <si>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</si>
  <si>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 xml:space="preserve">Funds Rec'd </t>
  </si>
  <si>
    <t>DAS Document #</t>
  </si>
  <si>
    <t xml:space="preserve"> Document #</t>
  </si>
  <si>
    <t>Vendor:</t>
  </si>
  <si>
    <t>Activity code:</t>
  </si>
  <si>
    <t>Doc
  #</t>
  </si>
  <si>
    <t>Contract 
&amp; C.O.'s</t>
  </si>
  <si>
    <t>Contract
Total</t>
  </si>
  <si>
    <t>Payment 
Amount</t>
  </si>
  <si>
    <t>Total
Paid</t>
  </si>
  <si>
    <t>Totals:</t>
  </si>
  <si>
    <t>Internal documents</t>
  </si>
  <si>
    <t>Object Code</t>
  </si>
  <si>
    <t>Activity Code</t>
  </si>
  <si>
    <t>Do not code PM, EADOC, or Builders Risk here</t>
  </si>
  <si>
    <t xml:space="preserve">Doc #  </t>
  </si>
  <si>
    <t>Invoice</t>
  </si>
  <si>
    <t>DA26 (MOU) Projects</t>
  </si>
  <si>
    <t>DA26 (MOU) Totals</t>
  </si>
  <si>
    <t>Acct. Codes-0506-335-DA26</t>
  </si>
  <si>
    <t>Acct Code: 0506-335-DA26-xxxx</t>
  </si>
  <si>
    <r>
      <t>Acct. Codes-0506-335-DA26-</t>
    </r>
    <r>
      <rPr>
        <b/>
        <sz val="11"/>
        <color indexed="10"/>
        <rFont val="Arial"/>
        <family val="2"/>
      </rPr>
      <t>xxxx</t>
    </r>
  </si>
  <si>
    <t>Acct. Codes-0506-335-DA26-xxxx</t>
  </si>
  <si>
    <t>9480.01</t>
  </si>
  <si>
    <t>HHS STS Canteen Roof Repair Design (29C20)</t>
  </si>
  <si>
    <t>Project # 9480.01</t>
  </si>
  <si>
    <t>Program code 948001</t>
  </si>
  <si>
    <t>Project Manager - Jennifer K.</t>
  </si>
  <si>
    <t>Major Program 3D02</t>
  </si>
  <si>
    <t>Jennifer K.</t>
  </si>
  <si>
    <t>eDAS:  733M</t>
  </si>
  <si>
    <t>9481.00</t>
  </si>
  <si>
    <t xml:space="preserve">Brandon A. </t>
  </si>
  <si>
    <t>Project # 9481.00</t>
  </si>
  <si>
    <t>Program code 948100</t>
  </si>
  <si>
    <t>Project Manager - Brandon A</t>
  </si>
  <si>
    <t>Major Program 4E01</t>
  </si>
  <si>
    <t>9486.00</t>
  </si>
  <si>
    <t>9487.00</t>
  </si>
  <si>
    <t>DVA IVH Fox and Ulery Carpet Replacement</t>
  </si>
  <si>
    <t>DVA IVH Loftus and Malloy Water Infiltration-Flooding (29C20)</t>
  </si>
  <si>
    <r>
      <t xml:space="preserve">DVA IVH Loftus and Malloy Water Infiltration-Flooding </t>
    </r>
    <r>
      <rPr>
        <b/>
        <sz val="10"/>
        <color rgb="FFFF0000"/>
        <rFont val="Arial"/>
        <family val="2"/>
      </rPr>
      <t>(29C20)</t>
    </r>
  </si>
  <si>
    <t>Brad T.</t>
  </si>
  <si>
    <t>Project # 9486.00</t>
  </si>
  <si>
    <t>Program code 948600</t>
  </si>
  <si>
    <t>Project # 9487.00</t>
  </si>
  <si>
    <t>Program code 948700</t>
  </si>
  <si>
    <t>Major Program 4B03</t>
  </si>
  <si>
    <t>eDAS: 733O</t>
  </si>
  <si>
    <t>eDAS: 733T</t>
  </si>
  <si>
    <t>eDAS: 733U</t>
  </si>
  <si>
    <t>DOC 5JD 150 DSM St Renovation</t>
  </si>
  <si>
    <t>Budget</t>
  </si>
  <si>
    <t>MOU</t>
  </si>
  <si>
    <t>IET 23812V26001</t>
  </si>
  <si>
    <t>IET IET072925401</t>
  </si>
  <si>
    <t>IET IET072925400</t>
  </si>
  <si>
    <t>Project Name</t>
  </si>
  <si>
    <t>Project # XXXX.XX</t>
  </si>
  <si>
    <t>Program code XXXXXX</t>
  </si>
  <si>
    <t>Project Manager - XXXXXX</t>
  </si>
  <si>
    <t>Major Program XXXX</t>
  </si>
  <si>
    <t xml:space="preserve">eDAS: </t>
  </si>
  <si>
    <t>9488.00</t>
  </si>
  <si>
    <t xml:space="preserve">DOC 4JD New Central Office Building </t>
  </si>
  <si>
    <t>Jennie E.</t>
  </si>
  <si>
    <t>Project # 9488.00</t>
  </si>
  <si>
    <t>Program code 948800</t>
  </si>
  <si>
    <t>Project Manager - Jennie E</t>
  </si>
  <si>
    <t>Major Program 4B01</t>
  </si>
  <si>
    <t>eDAS: 733W</t>
  </si>
  <si>
    <t>DOC &amp; ASP TWID Repairs</t>
  </si>
  <si>
    <t>Project # 9489.00</t>
  </si>
  <si>
    <t>Program code 948900</t>
  </si>
  <si>
    <t>Project Manager - Oliver S</t>
  </si>
  <si>
    <t>9489.00</t>
  </si>
  <si>
    <t>Oliver S.</t>
  </si>
  <si>
    <t>9482.00</t>
  </si>
  <si>
    <t>IDB - Chiller Replacement</t>
  </si>
  <si>
    <t>Project # 9482.00</t>
  </si>
  <si>
    <t>Program code 948200</t>
  </si>
  <si>
    <t>Project Manager - Oliver S.</t>
  </si>
  <si>
    <t>Acct Code: 0506-335-DA26-0304</t>
  </si>
  <si>
    <t>Major Program 4F09</t>
  </si>
  <si>
    <t>IET 13150026212001</t>
  </si>
  <si>
    <t>eDAS:  733P</t>
  </si>
  <si>
    <t>9471.00</t>
  </si>
  <si>
    <r>
      <t>DCO FDCF Bldg G Water Heater Replacement</t>
    </r>
    <r>
      <rPr>
        <b/>
        <sz val="10"/>
        <color indexed="10"/>
        <rFont val="Arial"/>
        <family val="2"/>
      </rPr>
      <t xml:space="preserve"> (29C20)</t>
    </r>
  </si>
  <si>
    <t>DOC FDCF Bldg G Water Heater Replacement (29C20)</t>
  </si>
  <si>
    <t>Project # 9471.00</t>
  </si>
  <si>
    <t>Program code 947100</t>
  </si>
  <si>
    <r>
      <t xml:space="preserve">HHS STS Canteen Roof Repair Construction </t>
    </r>
    <r>
      <rPr>
        <b/>
        <sz val="10"/>
        <color rgb="FFFF0000"/>
        <rFont val="Arial"/>
        <family val="2"/>
      </rPr>
      <t>(29C20)</t>
    </r>
  </si>
  <si>
    <t>IET 400EL26216003</t>
  </si>
  <si>
    <t>DOC NCF Forced Main Sewer Pipe Failure (29C20)</t>
  </si>
  <si>
    <t>Project # 9490.00</t>
  </si>
  <si>
    <t>Program code 949000</t>
  </si>
  <si>
    <t>Project Manager - Brad T.</t>
  </si>
  <si>
    <t>9490.00</t>
  </si>
  <si>
    <t>eDAS:  734B</t>
  </si>
  <si>
    <t>eDAS: 734C</t>
  </si>
  <si>
    <t xml:space="preserve"> eDAS: 734A</t>
  </si>
  <si>
    <t>McGough Construction</t>
  </si>
  <si>
    <t>Vendor:  00003193334</t>
  </si>
  <si>
    <t>RFP1821335228-McGough11012021</t>
  </si>
  <si>
    <t>Activity code:  CMGR</t>
  </si>
  <si>
    <t>PO 33526223900</t>
  </si>
  <si>
    <t>PO Procore</t>
  </si>
  <si>
    <t>Acct. Codes-0506-335-DA26-9255</t>
  </si>
  <si>
    <t>IET DAS202601115300001</t>
  </si>
  <si>
    <t>Finance Support for July 01-31, 2025</t>
  </si>
  <si>
    <t>DAS Support for July 01-31, 2025</t>
  </si>
  <si>
    <t>Space Planning Services July 1-31,2025</t>
  </si>
  <si>
    <t>Inv. DAS2026011153</t>
  </si>
  <si>
    <t>Midstate Plumbing</t>
  </si>
  <si>
    <t>Vendor:  00002108635</t>
  </si>
  <si>
    <t>RFB947100-01</t>
  </si>
  <si>
    <t>Activity code:  BRUM</t>
  </si>
  <si>
    <t>Total:</t>
  </si>
  <si>
    <t>MM23</t>
  </si>
  <si>
    <t>PO 33526226907</t>
  </si>
  <si>
    <t>TB Rigid Edge Exteriors</t>
  </si>
  <si>
    <t>Vendor:  00003193199</t>
  </si>
  <si>
    <t>Emergency</t>
  </si>
  <si>
    <t>PO 33526230902</t>
  </si>
  <si>
    <t xml:space="preserve">PO Procore </t>
  </si>
  <si>
    <t>Shipping Code: 200</t>
  </si>
  <si>
    <t>9492.00</t>
  </si>
  <si>
    <t>ATOD Racking Modification</t>
  </si>
  <si>
    <r>
      <t>DOC NCF Forced Main Sewer Pipe Failure</t>
    </r>
    <r>
      <rPr>
        <b/>
        <sz val="10"/>
        <color rgb="FFFF0000"/>
        <rFont val="Arial"/>
        <family val="2"/>
      </rPr>
      <t xml:space="preserve"> (29C20)</t>
    </r>
  </si>
  <si>
    <t>Project # 9492.00</t>
  </si>
  <si>
    <t>Program code 949200</t>
  </si>
  <si>
    <t>Major Program 4H06</t>
  </si>
  <si>
    <t>9438.00</t>
  </si>
  <si>
    <t>DOC FDCF Warehouse Loading Dock Ramp Repairs</t>
  </si>
  <si>
    <t>Project # 9438.00</t>
  </si>
  <si>
    <t>Program code 943800</t>
  </si>
  <si>
    <t>Project Manager - Jennie E.</t>
  </si>
  <si>
    <t>eDAS:  734H</t>
  </si>
  <si>
    <t>eDAS: 911G</t>
  </si>
  <si>
    <t>IET 25543A26002</t>
  </si>
  <si>
    <t>IET 25208202502</t>
  </si>
  <si>
    <t>Genesis Architectural</t>
  </si>
  <si>
    <t>Acct. Codes-0506-335-DA26-9260</t>
  </si>
  <si>
    <t>Vendor:  00002092152</t>
  </si>
  <si>
    <t>Activity code:  DSGN</t>
  </si>
  <si>
    <t>PO 33526181901</t>
  </si>
  <si>
    <t xml:space="preserve">CO #1 Opening in DA26 </t>
  </si>
  <si>
    <t>Split w/DA25</t>
  </si>
  <si>
    <t>IET 245269490</t>
  </si>
  <si>
    <t>IET 25543A26001</t>
  </si>
  <si>
    <t>Mc Gough Construction</t>
  </si>
  <si>
    <t>RFP1821335228-McGought11012021</t>
  </si>
  <si>
    <t>PO 33526252403</t>
  </si>
  <si>
    <t>IET IET091125100</t>
  </si>
  <si>
    <t>FY26 Funds recv'd for 9211.01</t>
  </si>
  <si>
    <t>Transfer Funds to Correct Unit</t>
  </si>
  <si>
    <t>CDR 33526255900</t>
  </si>
  <si>
    <t>DCI Group</t>
  </si>
  <si>
    <t>Vendor:  00003025029</t>
  </si>
  <si>
    <t>RFP1821335228-DCI11012021</t>
  </si>
  <si>
    <t>PO 33526255902</t>
  </si>
  <si>
    <t>PO 33526255904</t>
  </si>
  <si>
    <t>Shipping Code:  558</t>
  </si>
  <si>
    <t>PRC 3352622PA3900</t>
  </si>
  <si>
    <t>Inv. 101368.012-PC01</t>
  </si>
  <si>
    <t>PRC 3352625PA2403</t>
  </si>
  <si>
    <t>Inv. 101368.011-CA01</t>
  </si>
  <si>
    <t>Inv. 2250015060-1</t>
  </si>
  <si>
    <t>DSGN</t>
  </si>
  <si>
    <t>9500</t>
  </si>
  <si>
    <t>GAX 33526259906</t>
  </si>
  <si>
    <t>Shive Hattery V#(00002108803)</t>
  </si>
  <si>
    <t>CO #1</t>
  </si>
  <si>
    <t>IET DAS202602115300001</t>
  </si>
  <si>
    <t>Inv. DAS2026021153</t>
  </si>
  <si>
    <t>Space Planning Services August 1-31,2025</t>
  </si>
  <si>
    <t>Finance Support for August 01-31, 2025</t>
  </si>
  <si>
    <t>DAS Support for August 01-31, 2025</t>
  </si>
  <si>
    <t>IET DAS9492RACKING</t>
  </si>
  <si>
    <t>CDE 33526262901</t>
  </si>
  <si>
    <t>PRC 3352618PB1901</t>
  </si>
  <si>
    <t>Inv. 2503-02(Split w/DA25)</t>
  </si>
  <si>
    <t>DA25 Closed 09/23/25</t>
  </si>
  <si>
    <t>Jasper Construction</t>
  </si>
  <si>
    <t>Vendor:  00003016436</t>
  </si>
  <si>
    <t>RFQ943800-01</t>
  </si>
  <si>
    <t>Split w/ MM23</t>
  </si>
  <si>
    <t>PO 33526266902</t>
  </si>
  <si>
    <t>KCL Engineering</t>
  </si>
  <si>
    <t>Vendor:  00002103747</t>
  </si>
  <si>
    <t>RFP948200-01</t>
  </si>
  <si>
    <t>PO 33526266903</t>
  </si>
  <si>
    <t>Design Development Docs</t>
  </si>
  <si>
    <t>Construction Docs</t>
  </si>
  <si>
    <t>MOU 9476.00 Transfer to DAS</t>
  </si>
  <si>
    <t>IET 400EL26246001</t>
  </si>
  <si>
    <t>IET 400EL26247007</t>
  </si>
  <si>
    <t>Samuels Group</t>
  </si>
  <si>
    <t>Vendor:  00003033402</t>
  </si>
  <si>
    <t>RFP1821335228-Samuels11012021</t>
  </si>
  <si>
    <t>PO 33526269901</t>
  </si>
  <si>
    <t>Shipping Code:  137</t>
  </si>
  <si>
    <t>Hilsabeck Schacht</t>
  </si>
  <si>
    <t>Vendor:  00003178029</t>
  </si>
  <si>
    <t>PO 33526272906</t>
  </si>
  <si>
    <t>MTS Contracting</t>
  </si>
  <si>
    <t>Vendor:  00003067019</t>
  </si>
  <si>
    <t>MA00520243D</t>
  </si>
  <si>
    <t>PO 33526272908</t>
  </si>
  <si>
    <t>Tuckpointing</t>
  </si>
  <si>
    <t>Materials &amp; Supplies</t>
  </si>
  <si>
    <t>PO 33526273900</t>
  </si>
  <si>
    <t>CM Services</t>
  </si>
  <si>
    <t>Reimbursables</t>
  </si>
  <si>
    <t>Reimbursables(Geotechnical)</t>
  </si>
  <si>
    <t>Shipping Code: B90</t>
  </si>
  <si>
    <t>Kinzler Construction</t>
  </si>
  <si>
    <t>Vendor:  00003169106</t>
  </si>
  <si>
    <t>PO 33526273902</t>
  </si>
  <si>
    <t>Ralph N Smith Flooring</t>
  </si>
  <si>
    <t>Vendor:  00002106937</t>
  </si>
  <si>
    <t>MA #21175A</t>
  </si>
  <si>
    <t>Activity code:  CNST</t>
  </si>
  <si>
    <t>DO Procore</t>
  </si>
  <si>
    <t>DO 33526273904</t>
  </si>
  <si>
    <t>IET 400EL26274001</t>
  </si>
  <si>
    <t>MOU Amendment #1</t>
  </si>
  <si>
    <t>RFP 948700-01</t>
  </si>
  <si>
    <t>PO 33526275905</t>
  </si>
  <si>
    <t>50% Schematic Phase</t>
  </si>
  <si>
    <t>100% Schematic Phase</t>
  </si>
  <si>
    <t>PO 33526279900</t>
  </si>
  <si>
    <t>Shipping Code:  163</t>
  </si>
  <si>
    <t>IET DAS202603115300001</t>
  </si>
  <si>
    <t>2507</t>
  </si>
  <si>
    <t>Finance Support for September 01-30, 2025</t>
  </si>
  <si>
    <t>DAS Support for September 01-30, 2025</t>
  </si>
  <si>
    <t>Moving Expense from 9480.00</t>
  </si>
  <si>
    <t>PRC 3352625PA5902</t>
  </si>
  <si>
    <t>Inv. 25-023 PC 01</t>
  </si>
  <si>
    <t>PRC 3352622PB3900</t>
  </si>
  <si>
    <t>Inv. 101368.012-PC02</t>
  </si>
  <si>
    <t>PRC 3352625PB2403</t>
  </si>
  <si>
    <t>Inv. 101368.011-CA02</t>
  </si>
  <si>
    <t>Inv. 2250015060-2</t>
  </si>
  <si>
    <t>GAX 33526294900</t>
  </si>
  <si>
    <t>Shipping Code:</t>
  </si>
  <si>
    <t>CO #2</t>
  </si>
  <si>
    <t>PRC 3352627PA3904</t>
  </si>
  <si>
    <t>Inv. 9486.00-01</t>
  </si>
  <si>
    <t>9279.50</t>
  </si>
  <si>
    <t>HHS WRC Campus Utility Decentralization Phase 5</t>
  </si>
  <si>
    <t>Project # 9279.50</t>
  </si>
  <si>
    <t>Program code 927950</t>
  </si>
  <si>
    <t>Major Program 4B02</t>
  </si>
  <si>
    <t>PRC 3352627PA2906</t>
  </si>
  <si>
    <t>Inv. HS2172</t>
  </si>
  <si>
    <t>Retainage</t>
  </si>
  <si>
    <t>Quick Enterprise LLC</t>
  </si>
  <si>
    <t>Vendor:  00003198873</t>
  </si>
  <si>
    <t>RFQ949200-01</t>
  </si>
  <si>
    <t>PO 33526309900</t>
  </si>
  <si>
    <t>SVPA Architects</t>
  </si>
  <si>
    <t>PO 33526310900</t>
  </si>
  <si>
    <t>Scematic Design</t>
  </si>
  <si>
    <t>Desgin Development</t>
  </si>
  <si>
    <t>Construction Documents</t>
  </si>
  <si>
    <t>Bidding/ Negotiation</t>
  </si>
  <si>
    <t>Construction Admin</t>
  </si>
  <si>
    <t xml:space="preserve">Furniture </t>
  </si>
  <si>
    <t>Renovation Schematic Design</t>
  </si>
  <si>
    <t>Renovation Design Development</t>
  </si>
  <si>
    <t>Vendor:  00002109254</t>
  </si>
  <si>
    <t>RFP948800-01</t>
  </si>
  <si>
    <t>DCI Group(2)</t>
  </si>
  <si>
    <t>CM Staff Hours</t>
  </si>
  <si>
    <t>CM Fee</t>
  </si>
  <si>
    <t>PO 33526310903</t>
  </si>
  <si>
    <t>PRC 3352622PC3900</t>
  </si>
  <si>
    <t>Inv. 101368.012-PC03</t>
  </si>
  <si>
    <t>eDAS: 735I</t>
  </si>
  <si>
    <t>Shipping Code:  564</t>
  </si>
  <si>
    <t>IET DAS202604115300001</t>
  </si>
  <si>
    <t>Space Planning Services October 1-31,2025</t>
  </si>
  <si>
    <t>Inv. DAS2026041153</t>
  </si>
  <si>
    <t>Finance Support for October 01-31, 2025</t>
  </si>
  <si>
    <t>DAS Support for October 01-31, 2025</t>
  </si>
  <si>
    <t>C</t>
  </si>
  <si>
    <t>Closed 11/12/25</t>
  </si>
  <si>
    <t>IET 33526316900</t>
  </si>
  <si>
    <t>Return funds to agency- closing program</t>
  </si>
  <si>
    <t>CDE 33526317909</t>
  </si>
  <si>
    <t>Moving PM Time from 9481.00 DA26 to 9997.26 MM26</t>
  </si>
  <si>
    <t>PRC 3352625PC2403</t>
  </si>
  <si>
    <t>Inv. 101368.011-CA03</t>
  </si>
  <si>
    <t>CO #1(Split w/ DA26)</t>
  </si>
  <si>
    <t>PRC 3352626PA6903</t>
  </si>
  <si>
    <t>Inv. 12870</t>
  </si>
  <si>
    <t>PRC 3352627PA3902</t>
  </si>
  <si>
    <t>Inv. 2519028</t>
  </si>
  <si>
    <t>DCI Group (2)</t>
  </si>
  <si>
    <t>PRC 3352625PB5902</t>
  </si>
  <si>
    <t>Inv. 25-023 PC 02 FINAL</t>
  </si>
  <si>
    <t>FINAL</t>
  </si>
  <si>
    <t>PRC 3352625PA5904</t>
  </si>
  <si>
    <t>Inv. 25-024PC 01</t>
  </si>
  <si>
    <t>PRC 3352627PA5905</t>
  </si>
  <si>
    <t>Inv. 2515-01</t>
  </si>
  <si>
    <t>PRC 3352627PB2906</t>
  </si>
  <si>
    <t>Inv. 9480.01-02</t>
  </si>
  <si>
    <t>PRC 3352627PB3902</t>
  </si>
  <si>
    <t>Inv. 2519028.0014</t>
  </si>
  <si>
    <t>PRC 3352627PA3900</t>
  </si>
  <si>
    <t>Inv. 7813.01948800</t>
  </si>
  <si>
    <t>PRC 3352625PD2403</t>
  </si>
  <si>
    <t>Inv. 101368.011-CA04</t>
  </si>
  <si>
    <t>PRC 3352626PA9901</t>
  </si>
  <si>
    <t>Inv. 7815.00 CA</t>
  </si>
  <si>
    <t>PRC 3352622PD3900</t>
  </si>
  <si>
    <t>Inv. 101368.012-PC04</t>
  </si>
  <si>
    <t>9515.00</t>
  </si>
  <si>
    <t>DPS District 1 Intel Remodel</t>
  </si>
  <si>
    <t>Project # 9515.00</t>
  </si>
  <si>
    <t>Program code 951500</t>
  </si>
  <si>
    <t>Major Program 4E08</t>
  </si>
  <si>
    <t>eDAS: 735M</t>
  </si>
  <si>
    <t>Inv. 2503-03</t>
  </si>
  <si>
    <t>Closed PO to correct accounting lines link</t>
  </si>
  <si>
    <t>PO 33526181901A</t>
  </si>
  <si>
    <t>ReOpened PO To correct links in IA</t>
  </si>
  <si>
    <t>PRC 3352618PC1901A</t>
  </si>
  <si>
    <t>PRC 3352627PB5905</t>
  </si>
  <si>
    <t>Inv. 2515-02</t>
  </si>
  <si>
    <t>Team Services V#(00002121153)</t>
  </si>
  <si>
    <t>Inv. 1825258-0</t>
  </si>
  <si>
    <t>CNST</t>
  </si>
  <si>
    <t>GAX 33526349902</t>
  </si>
  <si>
    <t>PRC 3352631PA0900</t>
  </si>
  <si>
    <t>Inv. 0041003</t>
  </si>
  <si>
    <t>9517.00</t>
  </si>
  <si>
    <t>DVA IVC Columbarium And Irrigation System Expansion</t>
  </si>
  <si>
    <t>Project # 9517.00</t>
  </si>
  <si>
    <t>Program code 951700</t>
  </si>
  <si>
    <t>Major Program 4E09</t>
  </si>
  <si>
    <t>PRC 3352627PA2908</t>
  </si>
  <si>
    <t>Inv. 25-6194 - FINAL</t>
  </si>
  <si>
    <t>IET DAS202605115300001</t>
  </si>
  <si>
    <t>Finance Support for November 1-30, 2025</t>
  </si>
  <si>
    <t>DAS Support for November 1-30, 2025</t>
  </si>
  <si>
    <t>eDAS: 735N</t>
  </si>
  <si>
    <t>CDE 33526352902</t>
  </si>
  <si>
    <t>Moving expense from 9279.50 to 9279.40</t>
  </si>
  <si>
    <t>PRC 3352622PA6907</t>
  </si>
  <si>
    <t>PRC 3352631PA0903</t>
  </si>
  <si>
    <t>Inv. 25-023 CA 01</t>
  </si>
  <si>
    <t>PRC 3352625PB5904</t>
  </si>
  <si>
    <t>Inv. 25-024 PC 02</t>
  </si>
  <si>
    <t>CO #3</t>
  </si>
  <si>
    <t>IET 400KDH122325001</t>
  </si>
  <si>
    <t>Inv. P38754(Split w/MM24)</t>
  </si>
  <si>
    <t>PRC 3352627PB3904</t>
  </si>
  <si>
    <t>Inv. 9486.00-02</t>
  </si>
  <si>
    <t>PRC 3352622PB6907</t>
  </si>
  <si>
    <t>Inv. P39138(Split w/MM24)</t>
  </si>
  <si>
    <t>Systems Management</t>
  </si>
  <si>
    <t>Vendor:  00003202455</t>
  </si>
  <si>
    <t>SRVV5</t>
  </si>
  <si>
    <t>Shipping Code:  403</t>
  </si>
  <si>
    <t>PO 33526006903</t>
  </si>
  <si>
    <t>IET IET010526100</t>
  </si>
  <si>
    <t>PRC 3352627PB3900</t>
  </si>
  <si>
    <t>Inv. 7813.02948800</t>
  </si>
  <si>
    <t>PRC 3352622PC6907</t>
  </si>
  <si>
    <t>Inv. P39249(100% to MM24)</t>
  </si>
  <si>
    <t>PO 33526009906</t>
  </si>
  <si>
    <t>Shipping Code: 1012</t>
  </si>
  <si>
    <t>PRC 3352625PE2403</t>
  </si>
  <si>
    <t>Inv. 101368.011-CA05</t>
  </si>
  <si>
    <t>PRC 3352622PE3900</t>
  </si>
  <si>
    <t>Inv. 101368.012-PC05</t>
  </si>
  <si>
    <t>CO #2(100% to MM23)</t>
  </si>
  <si>
    <t>IET DAS202606115300001</t>
  </si>
  <si>
    <t>Finance Support for December 1-31, 2025</t>
  </si>
  <si>
    <t>DAS Support for December 1-31, 2025</t>
  </si>
  <si>
    <t>PRC 3352626PB9901</t>
  </si>
  <si>
    <t>Inv. 7815.01 CA</t>
  </si>
  <si>
    <t>IET 25208072504</t>
  </si>
  <si>
    <t>PRC 3352627PC3904</t>
  </si>
  <si>
    <t>Inv. 9486.00-03</t>
  </si>
  <si>
    <t>Shive Hattery</t>
  </si>
  <si>
    <t>PO 33526020902</t>
  </si>
  <si>
    <t>Vendor:  00002108803</t>
  </si>
  <si>
    <t>SS-0034</t>
  </si>
  <si>
    <t xml:space="preserve">Columbarium Schematic </t>
  </si>
  <si>
    <t>Columbarium Design</t>
  </si>
  <si>
    <t>Columbarium Construction</t>
  </si>
  <si>
    <t>Columbarium Bidding</t>
  </si>
  <si>
    <t>Columbarium Document</t>
  </si>
  <si>
    <t>IVC Irrigation Water Supply Documents</t>
  </si>
  <si>
    <t>IVC Irrigation Controls Documents</t>
  </si>
  <si>
    <t>PRC 3352627PC3902</t>
  </si>
  <si>
    <t>Inv. 9480.01-Retainage</t>
  </si>
  <si>
    <t>PRC 3352623PA0902</t>
  </si>
  <si>
    <t>Inv. 9480.01-001</t>
  </si>
  <si>
    <t>Retainage 3%</t>
  </si>
  <si>
    <t>CDE 33526021906</t>
  </si>
  <si>
    <t>Moving December Time to MM23</t>
  </si>
  <si>
    <t>RFP927900-01</t>
  </si>
  <si>
    <t>PO 33526023916</t>
  </si>
  <si>
    <t>Schematic Design</t>
  </si>
  <si>
    <t>Design Development</t>
  </si>
  <si>
    <t>Bidding Assistance</t>
  </si>
  <si>
    <t>PRC 3352627PC2906</t>
  </si>
  <si>
    <t>Inv. 9480.01-03</t>
  </si>
  <si>
    <t>PRC 3352631PB0903</t>
  </si>
  <si>
    <t>Inv. 25-023 CA-02</t>
  </si>
  <si>
    <t>PRC 3352625PC5904</t>
  </si>
  <si>
    <t>Inv. 25-024 PC 03</t>
  </si>
  <si>
    <t>PRC 3352631PB0900</t>
  </si>
  <si>
    <t>Inv. 0041049</t>
  </si>
  <si>
    <t xml:space="preserve">MOU </t>
  </si>
  <si>
    <t>IET 33528JA26KAS0126</t>
  </si>
  <si>
    <t>Story Construction</t>
  </si>
  <si>
    <t>Vendor:  00002110695</t>
  </si>
  <si>
    <t>927900-01</t>
  </si>
  <si>
    <t>PO 33526030914</t>
  </si>
  <si>
    <t>CM Service</t>
  </si>
  <si>
    <t>Genesis Architectural (2)</t>
  </si>
  <si>
    <t>PO 33526030915</t>
  </si>
  <si>
    <t>PRC 3352622PD6907</t>
  </si>
  <si>
    <t>Inv. P39322(Split w/MM24)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</si>
</sst>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12"/>
      <color indexed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1"/>
      <color indexed="10"/>
      <name val="Arial"/>
      <family val="2"/>
    </font>
    <font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0000CC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  <font>
      <b/>
      <i/>
      <sz val="12"/>
      <color rgb="FFFF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510">
    <xf numFmtId="0" fontId="0" fillId="0" borderId="0" xfId="0"/>
    <xf numFmtId="0" fontId="3" fillId="0" borderId="0" xfId="3" applyFont="1"/>
    <xf numFmtId="40" fontId="3" fillId="0" borderId="0" xfId="3" applyNumberFormat="1" applyFont="1" applyAlignment="1">
      <alignment horizontal="right"/>
    </xf>
    <xf numFmtId="40" fontId="3" fillId="0" borderId="0" xfId="3" applyNumberFormat="1" applyFont="1"/>
    <xf numFmtId="40" fontId="3" fillId="0" borderId="0" xfId="3" applyNumberFormat="1" applyFont="1" applyAlignment="1">
      <alignment horizontal="center"/>
    </xf>
    <xf numFmtId="40" fontId="3" fillId="0" borderId="0" xfId="3" applyNumberFormat="1" applyFont="1" applyBorder="1"/>
    <xf numFmtId="0" fontId="3" fillId="0" borderId="0" xfId="3" applyFont="1" applyBorder="1"/>
    <xf numFmtId="40" fontId="3" fillId="0" borderId="0" xfId="3" applyNumberFormat="1" applyFont="1" applyBorder="1" applyAlignment="1">
      <alignment horizontal="right"/>
    </xf>
    <xf numFmtId="0" fontId="5" fillId="0" borderId="0" xfId="3" applyFont="1" applyBorder="1"/>
    <xf numFmtId="4" fontId="3" fillId="0" borderId="0" xfId="4" applyNumberFormat="1" applyFont="1"/>
    <xf numFmtId="0" fontId="9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4" fontId="12" fillId="0" borderId="0" xfId="2" applyFont="1"/>
    <xf numFmtId="49" fontId="1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44" fontId="14" fillId="0" borderId="0" xfId="2" applyFont="1"/>
    <xf numFmtId="43" fontId="3" fillId="0" borderId="0" xfId="1" applyFont="1" applyAlignment="1">
      <alignment horizontal="center"/>
    </xf>
    <xf numFmtId="39" fontId="3" fillId="0" borderId="0" xfId="2" applyNumberFormat="1" applyFont="1" applyAlignment="1"/>
    <xf numFmtId="164" fontId="3" fillId="0" borderId="0" xfId="0" applyNumberFormat="1" applyFont="1" applyAlignment="1">
      <alignment horizontal="center"/>
    </xf>
    <xf numFmtId="4" fontId="14" fillId="0" borderId="0" xfId="0" applyNumberFormat="1" applyFont="1"/>
    <xf numFmtId="39" fontId="14" fillId="0" borderId="0" xfId="2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" fontId="4" fillId="0" borderId="0" xfId="2" applyNumberFormat="1" applyFont="1"/>
    <xf numFmtId="4" fontId="3" fillId="0" borderId="0" xfId="2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2" xfId="2" applyNumberFormat="1" applyFont="1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49" fontId="3" fillId="0" borderId="0" xfId="3" applyNumberFormat="1" applyFont="1" applyAlignment="1">
      <alignment horizontal="center"/>
    </xf>
    <xf numFmtId="0" fontId="17" fillId="0" borderId="0" xfId="0" applyFont="1" applyBorder="1"/>
    <xf numFmtId="40" fontId="18" fillId="0" borderId="0" xfId="3" applyNumberFormat="1" applyFont="1"/>
    <xf numFmtId="0" fontId="19" fillId="0" borderId="0" xfId="0" applyFont="1"/>
    <xf numFmtId="0" fontId="20" fillId="0" borderId="3" xfId="3" applyFont="1" applyBorder="1" applyAlignment="1">
      <alignment horizontal="center" textRotation="90" wrapText="1"/>
    </xf>
    <xf numFmtId="49" fontId="20" fillId="0" borderId="3" xfId="1" applyNumberFormat="1" applyFont="1" applyBorder="1" applyAlignment="1">
      <alignment horizontal="center" textRotation="90" wrapText="1"/>
    </xf>
    <xf numFmtId="40" fontId="20" fillId="0" borderId="3" xfId="1" applyNumberFormat="1" applyFont="1" applyBorder="1" applyAlignment="1">
      <alignment horizontal="center" wrapText="1"/>
    </xf>
    <xf numFmtId="40" fontId="5" fillId="0" borderId="3" xfId="3" applyNumberFormat="1" applyFont="1" applyBorder="1" applyAlignment="1">
      <alignment horizontal="center" wrapText="1"/>
    </xf>
    <xf numFmtId="40" fontId="5" fillId="0" borderId="3" xfId="3" applyNumberFormat="1" applyFont="1" applyFill="1" applyBorder="1" applyAlignment="1">
      <alignment horizontal="center" wrapText="1"/>
    </xf>
    <xf numFmtId="0" fontId="3" fillId="0" borderId="0" xfId="3" applyFont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40" fontId="5" fillId="2" borderId="0" xfId="3" applyNumberFormat="1" applyFont="1" applyFill="1" applyBorder="1"/>
    <xf numFmtId="40" fontId="22" fillId="0" borderId="0" xfId="3" applyNumberFormat="1" applyFont="1" applyBorder="1" applyAlignment="1">
      <alignment horizontal="center"/>
    </xf>
    <xf numFmtId="40" fontId="5" fillId="2" borderId="1" xfId="3" applyNumberFormat="1" applyFont="1" applyFill="1" applyBorder="1" applyAlignment="1">
      <alignment horizontal="right"/>
    </xf>
    <xf numFmtId="40" fontId="5" fillId="2" borderId="2" xfId="3" applyNumberFormat="1" applyFont="1" applyFill="1" applyBorder="1" applyAlignment="1">
      <alignment horizontal="right"/>
    </xf>
    <xf numFmtId="40" fontId="5" fillId="2" borderId="0" xfId="3" applyNumberFormat="1" applyFont="1" applyFill="1" applyBorder="1" applyAlignment="1">
      <alignment horizontal="right"/>
    </xf>
    <xf numFmtId="40" fontId="5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5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19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5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>
      <alignment horizontal="center" vertical="center"/>
    </xf>
    <xf numFmtId="40" fontId="23" fillId="0" borderId="5" xfId="3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0" fontId="3" fillId="0" borderId="5" xfId="3" applyNumberFormat="1" applyFont="1" applyBorder="1" applyAlignment="1">
      <alignment horizontal="center" vertical="center"/>
    </xf>
    <xf numFmtId="40" fontId="3" fillId="0" borderId="5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5" xfId="3" applyFont="1" applyBorder="1"/>
    <xf numFmtId="49" fontId="3" fillId="0" borderId="7" xfId="3" applyNumberFormat="1" applyFont="1" applyBorder="1" applyAlignment="1">
      <alignment horizontal="center"/>
    </xf>
    <xf numFmtId="40" fontId="5" fillId="0" borderId="5" xfId="3" applyNumberFormat="1" applyFont="1" applyBorder="1"/>
    <xf numFmtId="40" fontId="3" fillId="0" borderId="5" xfId="3" applyNumberFormat="1" applyFont="1" applyBorder="1"/>
    <xf numFmtId="0" fontId="24" fillId="0" borderId="5" xfId="0" applyFont="1" applyBorder="1"/>
    <xf numFmtId="40" fontId="3" fillId="0" borderId="2" xfId="3" applyNumberFormat="1" applyFont="1" applyBorder="1" applyAlignment="1">
      <alignment horizontal="center"/>
    </xf>
    <xf numFmtId="40" fontId="5" fillId="0" borderId="8" xfId="0" applyNumberFormat="1" applyFont="1" applyBorder="1"/>
    <xf numFmtId="40" fontId="21" fillId="0" borderId="9" xfId="0" applyNumberFormat="1" applyFont="1" applyBorder="1" applyAlignment="1">
      <alignment horizontal="center"/>
    </xf>
    <xf numFmtId="8" fontId="5" fillId="0" borderId="9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9" fontId="3" fillId="0" borderId="3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3" xfId="3" applyNumberFormat="1" applyFont="1" applyBorder="1" applyAlignment="1">
      <alignment horizontal="center"/>
    </xf>
    <xf numFmtId="8" fontId="3" fillId="0" borderId="3" xfId="3" applyNumberFormat="1" applyFont="1" applyBorder="1" applyAlignment="1">
      <alignment horizontal="center"/>
    </xf>
    <xf numFmtId="8" fontId="19" fillId="0" borderId="3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19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8" fontId="3" fillId="0" borderId="0" xfId="3" applyNumberFormat="1" applyFont="1" applyFill="1" applyBorder="1" applyAlignment="1">
      <alignment horizontal="center"/>
    </xf>
    <xf numFmtId="8" fontId="21" fillId="0" borderId="2" xfId="0" applyNumberFormat="1" applyFont="1" applyBorder="1" applyAlignment="1">
      <alignment horizontal="center"/>
    </xf>
    <xf numFmtId="0" fontId="5" fillId="0" borderId="0" xfId="4" applyFont="1"/>
    <xf numFmtId="0" fontId="7" fillId="0" borderId="0" xfId="4" applyFont="1"/>
    <xf numFmtId="0" fontId="8" fillId="0" borderId="0" xfId="4" applyFont="1"/>
    <xf numFmtId="0" fontId="3" fillId="0" borderId="0" xfId="4" applyFont="1"/>
    <xf numFmtId="164" fontId="10" fillId="0" borderId="0" xfId="5" applyNumberFormat="1" applyFont="1" applyFill="1"/>
    <xf numFmtId="1" fontId="25" fillId="0" borderId="0" xfId="5" applyNumberFormat="1" applyFont="1" applyAlignment="1">
      <alignment horizontal="left"/>
    </xf>
    <xf numFmtId="4" fontId="26" fillId="0" borderId="0" xfId="4" applyNumberFormat="1" applyFont="1"/>
    <xf numFmtId="40" fontId="11" fillId="0" borderId="0" xfId="5" applyNumberFormat="1" applyFont="1"/>
    <xf numFmtId="164" fontId="8" fillId="0" borderId="0" xfId="4" applyNumberFormat="1" applyFont="1"/>
    <xf numFmtId="164" fontId="8" fillId="0" borderId="0" xfId="5" applyNumberFormat="1" applyFont="1"/>
    <xf numFmtId="0" fontId="5" fillId="0" borderId="0" xfId="4" applyFont="1" applyBorder="1"/>
    <xf numFmtId="164" fontId="8" fillId="0" borderId="0" xfId="5" applyNumberFormat="1" applyFont="1" applyBorder="1"/>
    <xf numFmtId="0" fontId="8" fillId="0" borderId="0" xfId="4" applyFont="1" applyBorder="1" applyAlignment="1">
      <alignment wrapText="1"/>
    </xf>
    <xf numFmtId="4" fontId="5" fillId="0" borderId="0" xfId="4" applyNumberFormat="1" applyFont="1" applyBorder="1"/>
    <xf numFmtId="4" fontId="3" fillId="0" borderId="0" xfId="4" applyNumberFormat="1" applyFont="1" applyBorder="1"/>
    <xf numFmtId="0" fontId="3" fillId="0" borderId="0" xfId="4" applyFont="1" applyBorder="1"/>
    <xf numFmtId="0" fontId="5" fillId="0" borderId="3" xfId="4" applyFont="1" applyBorder="1"/>
    <xf numFmtId="0" fontId="5" fillId="0" borderId="3" xfId="4" applyFont="1" applyBorder="1" applyAlignment="1">
      <alignment horizontal="center" wrapText="1"/>
    </xf>
    <xf numFmtId="40" fontId="5" fillId="0" borderId="3" xfId="4" applyNumberFormat="1" applyFont="1" applyBorder="1"/>
    <xf numFmtId="40" fontId="5" fillId="0" borderId="3" xfId="4" applyNumberFormat="1" applyFont="1" applyBorder="1" applyAlignment="1">
      <alignment horizontal="center"/>
    </xf>
    <xf numFmtId="40" fontId="5" fillId="0" borderId="3" xfId="4" applyNumberFormat="1" applyFont="1" applyBorder="1" applyAlignment="1">
      <alignment horizontal="center" wrapText="1"/>
    </xf>
    <xf numFmtId="4" fontId="5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40" fontId="3" fillId="0" borderId="0" xfId="4" applyNumberFormat="1" applyFont="1" applyBorder="1"/>
    <xf numFmtId="0" fontId="27" fillId="0" borderId="0" xfId="4" applyFont="1" applyBorder="1"/>
    <xf numFmtId="0" fontId="27" fillId="0" borderId="2" xfId="4" applyFont="1" applyBorder="1" applyAlignment="1">
      <alignment horizontal="left"/>
    </xf>
    <xf numFmtId="40" fontId="27" fillId="0" borderId="2" xfId="4" applyNumberFormat="1" applyFont="1" applyBorder="1"/>
    <xf numFmtId="0" fontId="2" fillId="0" borderId="0" xfId="4"/>
    <xf numFmtId="0" fontId="28" fillId="0" borderId="0" xfId="0" applyFont="1" applyBorder="1"/>
    <xf numFmtId="0" fontId="29" fillId="0" borderId="0" xfId="3" applyFont="1"/>
    <xf numFmtId="40" fontId="5" fillId="0" borderId="0" xfId="0" applyNumberFormat="1" applyFont="1"/>
    <xf numFmtId="1" fontId="29" fillId="0" borderId="0" xfId="3" applyNumberFormat="1" applyFont="1"/>
    <xf numFmtId="40" fontId="28" fillId="0" borderId="0" xfId="3" applyNumberFormat="1" applyFont="1"/>
    <xf numFmtId="0" fontId="30" fillId="0" borderId="0" xfId="4" applyFont="1"/>
    <xf numFmtId="40" fontId="3" fillId="0" borderId="0" xfId="1" applyNumberFormat="1" applyFont="1" applyAlignment="1">
      <alignment horizontal="center"/>
    </xf>
    <xf numFmtId="0" fontId="27" fillId="0" borderId="0" xfId="4" applyFont="1"/>
    <xf numFmtId="4" fontId="1" fillId="0" borderId="0" xfId="2" applyNumberFormat="1" applyFont="1"/>
    <xf numFmtId="164" fontId="31" fillId="0" borderId="0" xfId="0" applyNumberFormat="1" applyFont="1"/>
    <xf numFmtId="44" fontId="1" fillId="0" borderId="0" xfId="2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44" fontId="5" fillId="0" borderId="3" xfId="2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4" fontId="5" fillId="0" borderId="3" xfId="2" applyFont="1" applyBorder="1" applyAlignment="1">
      <alignment horizontal="center" wrapText="1"/>
    </xf>
    <xf numFmtId="0" fontId="24" fillId="0" borderId="0" xfId="0" applyFont="1"/>
    <xf numFmtId="165" fontId="3" fillId="0" borderId="0" xfId="2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Font="1"/>
    <xf numFmtId="4" fontId="32" fillId="0" borderId="0" xfId="0" applyNumberFormat="1" applyFont="1" applyAlignment="1">
      <alignment horizontal="right"/>
    </xf>
    <xf numFmtId="39" fontId="32" fillId="0" borderId="0" xfId="2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44" fontId="5" fillId="0" borderId="2" xfId="2" applyFont="1" applyBorder="1"/>
    <xf numFmtId="40" fontId="7" fillId="0" borderId="0" xfId="5" applyNumberFormat="1" applyFont="1" applyBorder="1"/>
    <xf numFmtId="0" fontId="7" fillId="0" borderId="0" xfId="5" applyFont="1"/>
    <xf numFmtId="164" fontId="30" fillId="0" borderId="0" xfId="5" applyNumberFormat="1" applyFont="1"/>
    <xf numFmtId="0" fontId="11" fillId="0" borderId="0" xfId="5" applyFont="1"/>
    <xf numFmtId="49" fontId="11" fillId="0" borderId="0" xfId="5" applyNumberFormat="1" applyFont="1" applyBorder="1" applyAlignment="1">
      <alignment horizontal="left"/>
    </xf>
    <xf numFmtId="40" fontId="7" fillId="0" borderId="0" xfId="5" applyNumberFormat="1" applyFont="1"/>
    <xf numFmtId="164" fontId="27" fillId="0" borderId="0" xfId="0" applyNumberFormat="1" applyFont="1"/>
    <xf numFmtId="0" fontId="8" fillId="0" borderId="0" xfId="5" applyFont="1"/>
    <xf numFmtId="0" fontId="27" fillId="0" borderId="0" xfId="5" applyFont="1"/>
    <xf numFmtId="0" fontId="20" fillId="0" borderId="0" xfId="5" applyFont="1"/>
    <xf numFmtId="0" fontId="3" fillId="0" borderId="0" xfId="5" applyFont="1"/>
    <xf numFmtId="40" fontId="8" fillId="0" borderId="0" xfId="5" applyNumberFormat="1" applyFont="1" applyFill="1" applyBorder="1"/>
    <xf numFmtId="40" fontId="8" fillId="0" borderId="0" xfId="5" applyNumberFormat="1" applyFont="1" applyBorder="1"/>
    <xf numFmtId="0" fontId="8" fillId="0" borderId="0" xfId="5" applyFont="1" applyAlignment="1">
      <alignment horizontal="right"/>
    </xf>
    <xf numFmtId="40" fontId="33" fillId="0" borderId="0" xfId="5" applyNumberFormat="1" applyFont="1" applyFill="1" applyBorder="1"/>
    <xf numFmtId="0" fontId="22" fillId="0" borderId="0" xfId="5" applyFont="1"/>
    <xf numFmtId="40" fontId="20" fillId="0" borderId="0" xfId="5" applyNumberFormat="1" applyFont="1" applyFill="1" applyBorder="1"/>
    <xf numFmtId="164" fontId="8" fillId="0" borderId="0" xfId="5" applyNumberFormat="1" applyFont="1" applyBorder="1" applyAlignment="1">
      <alignment horizontal="left"/>
    </xf>
    <xf numFmtId="40" fontId="20" fillId="0" borderId="0" xfId="5" applyNumberFormat="1" applyFont="1"/>
    <xf numFmtId="40" fontId="20" fillId="0" borderId="0" xfId="5" applyNumberFormat="1" applyFont="1" applyBorder="1"/>
    <xf numFmtId="49" fontId="8" fillId="0" borderId="3" xfId="5" applyNumberFormat="1" applyFont="1" applyBorder="1" applyAlignment="1">
      <alignment horizontal="center" wrapText="1"/>
    </xf>
    <xf numFmtId="164" fontId="8" fillId="0" borderId="3" xfId="5" applyNumberFormat="1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40" fontId="8" fillId="0" borderId="3" xfId="5" applyNumberFormat="1" applyFont="1" applyBorder="1" applyAlignment="1">
      <alignment horizontal="center" wrapText="1"/>
    </xf>
    <xf numFmtId="49" fontId="3" fillId="0" borderId="0" xfId="5" applyNumberFormat="1" applyFont="1" applyBorder="1" applyAlignment="1"/>
    <xf numFmtId="164" fontId="3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4" fontId="3" fillId="0" borderId="0" xfId="5" applyNumberFormat="1" applyFont="1"/>
    <xf numFmtId="0" fontId="34" fillId="0" borderId="0" xfId="5" applyFont="1"/>
    <xf numFmtId="4" fontId="5" fillId="0" borderId="0" xfId="5" applyNumberFormat="1" applyFont="1"/>
    <xf numFmtId="0" fontId="3" fillId="0" borderId="0" xfId="5" applyFont="1" applyAlignment="1">
      <alignment horizontal="left"/>
    </xf>
    <xf numFmtId="164" fontId="3" fillId="0" borderId="0" xfId="5" applyNumberFormat="1" applyFont="1"/>
    <xf numFmtId="164" fontId="5" fillId="0" borderId="0" xfId="5" applyNumberFormat="1" applyFont="1" applyBorder="1" applyAlignment="1">
      <alignment horizontal="left"/>
    </xf>
    <xf numFmtId="164" fontId="5" fillId="0" borderId="2" xfId="5" applyNumberFormat="1" applyFont="1" applyBorder="1"/>
    <xf numFmtId="49" fontId="3" fillId="0" borderId="0" xfId="5" applyNumberFormat="1" applyFont="1" applyBorder="1"/>
    <xf numFmtId="49" fontId="3" fillId="0" borderId="0" xfId="5" applyNumberFormat="1" applyFont="1"/>
    <xf numFmtId="40" fontId="3" fillId="0" borderId="0" xfId="5" applyNumberFormat="1" applyFont="1"/>
    <xf numFmtId="164" fontId="8" fillId="0" borderId="3" xfId="5" applyNumberFormat="1" applyFont="1" applyBorder="1" applyAlignment="1">
      <alignment horizontal="center" wrapText="1"/>
    </xf>
    <xf numFmtId="0" fontId="8" fillId="0" borderId="3" xfId="5" applyFont="1" applyBorder="1" applyAlignment="1">
      <alignment horizontal="center" wrapText="1"/>
    </xf>
    <xf numFmtId="49" fontId="3" fillId="0" borderId="0" xfId="5" applyNumberFormat="1" applyFont="1" applyBorder="1" applyAlignment="1">
      <alignment horizontal="center"/>
    </xf>
    <xf numFmtId="164" fontId="3" fillId="0" borderId="0" xfId="5" applyNumberFormat="1" applyFont="1" applyAlignment="1"/>
    <xf numFmtId="4" fontId="32" fillId="0" borderId="0" xfId="5" applyNumberFormat="1" applyFont="1" applyAlignment="1">
      <alignment horizontal="center"/>
    </xf>
    <xf numFmtId="4" fontId="32" fillId="0" borderId="0" xfId="5" applyNumberFormat="1" applyFont="1"/>
    <xf numFmtId="49" fontId="11" fillId="0" borderId="0" xfId="5" applyNumberFormat="1" applyFont="1"/>
    <xf numFmtId="164" fontId="11" fillId="0" borderId="0" xfId="5" applyNumberFormat="1" applyFont="1"/>
    <xf numFmtId="0" fontId="35" fillId="0" borderId="0" xfId="5" applyFont="1"/>
    <xf numFmtId="40" fontId="8" fillId="0" borderId="0" xfId="5" applyNumberFormat="1" applyFont="1"/>
    <xf numFmtId="49" fontId="3" fillId="0" borderId="0" xfId="5" applyNumberFormat="1" applyFont="1" applyAlignment="1">
      <alignment horizontal="left"/>
    </xf>
    <xf numFmtId="40" fontId="3" fillId="0" borderId="0" xfId="5" quotePrefix="1" applyNumberFormat="1" applyFont="1"/>
    <xf numFmtId="49" fontId="3" fillId="0" borderId="0" xfId="5" applyNumberFormat="1" applyFont="1" applyAlignment="1">
      <alignment horizontal="center"/>
    </xf>
    <xf numFmtId="0" fontId="5" fillId="0" borderId="0" xfId="5" applyFont="1"/>
    <xf numFmtId="49" fontId="5" fillId="0" borderId="0" xfId="5" applyNumberFormat="1" applyFont="1"/>
    <xf numFmtId="164" fontId="5" fillId="0" borderId="0" xfId="5" applyNumberFormat="1" applyFont="1"/>
    <xf numFmtId="0" fontId="5" fillId="0" borderId="2" xfId="5" applyFont="1" applyBorder="1"/>
    <xf numFmtId="40" fontId="5" fillId="0" borderId="2" xfId="5" applyNumberFormat="1" applyFont="1" applyBorder="1"/>
    <xf numFmtId="44" fontId="5" fillId="0" borderId="3" xfId="2" applyNumberFormat="1" applyFont="1" applyBorder="1"/>
    <xf numFmtId="44" fontId="5" fillId="0" borderId="3" xfId="2" applyNumberFormat="1" applyFont="1" applyBorder="1" applyAlignment="1">
      <alignment wrapText="1"/>
    </xf>
    <xf numFmtId="49" fontId="3" fillId="0" borderId="0" xfId="5" applyNumberFormat="1" applyFont="1" applyFill="1" applyBorder="1" applyAlignment="1">
      <alignment horizontal="left"/>
    </xf>
    <xf numFmtId="164" fontId="3" fillId="0" borderId="0" xfId="5" applyNumberFormat="1" applyFont="1" applyFill="1" applyAlignment="1">
      <alignment horizontal="center"/>
    </xf>
    <xf numFmtId="1" fontId="3" fillId="0" borderId="0" xfId="5" applyNumberFormat="1" applyFont="1" applyFill="1" applyAlignment="1">
      <alignment horizontal="center"/>
    </xf>
    <xf numFmtId="0" fontId="3" fillId="0" borderId="0" xfId="0" applyFont="1"/>
    <xf numFmtId="0" fontId="24" fillId="0" borderId="0" xfId="0" applyFont="1" applyFill="1"/>
    <xf numFmtId="40" fontId="5" fillId="0" borderId="0" xfId="5" applyNumberFormat="1" applyFont="1"/>
    <xf numFmtId="40" fontId="3" fillId="0" borderId="0" xfId="5" applyNumberFormat="1" applyFont="1" applyAlignment="1">
      <alignment horizontal="left"/>
    </xf>
    <xf numFmtId="44" fontId="5" fillId="0" borderId="2" xfId="2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4" fontId="32" fillId="0" borderId="0" xfId="5" applyNumberFormat="1" applyFont="1" applyAlignment="1">
      <alignment horizontal="center" vertical="center"/>
    </xf>
    <xf numFmtId="44" fontId="5" fillId="0" borderId="0" xfId="2" applyFont="1" applyBorder="1"/>
    <xf numFmtId="164" fontId="3" fillId="0" borderId="0" xfId="5" applyNumberFormat="1" applyFont="1" applyBorder="1"/>
    <xf numFmtId="4" fontId="3" fillId="0" borderId="0" xfId="5" applyNumberFormat="1" applyFont="1" applyBorder="1"/>
    <xf numFmtId="40" fontId="5" fillId="0" borderId="0" xfId="1" applyNumberFormat="1" applyFont="1" applyAlignment="1">
      <alignment horizontal="center"/>
    </xf>
    <xf numFmtId="44" fontId="32" fillId="0" borderId="0" xfId="2" applyFont="1"/>
    <xf numFmtId="44" fontId="5" fillId="0" borderId="2" xfId="5" applyNumberFormat="1" applyFont="1" applyBorder="1"/>
    <xf numFmtId="164" fontId="22" fillId="0" borderId="0" xfId="5" applyNumberFormat="1" applyFont="1"/>
    <xf numFmtId="43" fontId="32" fillId="0" borderId="0" xfId="2" applyNumberFormat="1" applyFont="1"/>
    <xf numFmtId="49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40" fontId="30" fillId="0" borderId="3" xfId="5" applyNumberFormat="1" applyFont="1" applyBorder="1" applyAlignment="1">
      <alignment horizontal="center" wrapText="1"/>
    </xf>
    <xf numFmtId="4" fontId="22" fillId="0" borderId="0" xfId="4" applyNumberFormat="1" applyFont="1"/>
    <xf numFmtId="40" fontId="30" fillId="0" borderId="0" xfId="5" applyNumberFormat="1" applyFont="1" applyBorder="1"/>
    <xf numFmtId="0" fontId="30" fillId="0" borderId="0" xfId="5" applyFont="1"/>
    <xf numFmtId="164" fontId="30" fillId="0" borderId="0" xfId="5" applyNumberFormat="1" applyFont="1" applyFill="1"/>
    <xf numFmtId="0" fontId="22" fillId="0" borderId="0" xfId="4" applyFont="1"/>
    <xf numFmtId="1" fontId="30" fillId="0" borderId="0" xfId="5" applyNumberFormat="1" applyFont="1" applyAlignment="1">
      <alignment horizontal="left"/>
    </xf>
    <xf numFmtId="4" fontId="30" fillId="0" borderId="0" xfId="4" applyNumberFormat="1" applyFont="1"/>
    <xf numFmtId="49" fontId="30" fillId="0" borderId="0" xfId="5" applyNumberFormat="1" applyFont="1" applyBorder="1" applyAlignment="1">
      <alignment horizontal="left"/>
    </xf>
    <xf numFmtId="40" fontId="30" fillId="0" borderId="0" xfId="5" applyNumberFormat="1" applyFont="1"/>
    <xf numFmtId="164" fontId="42" fillId="0" borderId="0" xfId="0" applyNumberFormat="1" applyFont="1"/>
    <xf numFmtId="0" fontId="42" fillId="0" borderId="0" xfId="5" applyFont="1"/>
    <xf numFmtId="40" fontId="30" fillId="0" borderId="0" xfId="5" applyNumberFormat="1" applyFont="1" applyFill="1" applyBorder="1"/>
    <xf numFmtId="164" fontId="30" fillId="0" borderId="0" xfId="5" applyNumberFormat="1" applyFont="1" applyBorder="1"/>
    <xf numFmtId="0" fontId="30" fillId="0" borderId="0" xfId="5" applyFont="1" applyAlignment="1">
      <alignment horizontal="right"/>
    </xf>
    <xf numFmtId="164" fontId="30" fillId="0" borderId="0" xfId="5" applyNumberFormat="1" applyFont="1" applyBorder="1" applyAlignment="1">
      <alignment horizontal="left"/>
    </xf>
    <xf numFmtId="49" fontId="30" fillId="0" borderId="3" xfId="5" applyNumberFormat="1" applyFont="1" applyBorder="1" applyAlignment="1">
      <alignment horizontal="center" wrapText="1"/>
    </xf>
    <xf numFmtId="164" fontId="30" fillId="0" borderId="3" xfId="5" applyNumberFormat="1" applyFont="1" applyBorder="1" applyAlignment="1">
      <alignment horizontal="center"/>
    </xf>
    <xf numFmtId="164" fontId="30" fillId="0" borderId="3" xfId="5" applyNumberFormat="1" applyFont="1" applyBorder="1" applyAlignment="1">
      <alignment horizontal="center" wrapText="1"/>
    </xf>
    <xf numFmtId="0" fontId="30" fillId="0" borderId="3" xfId="5" applyFont="1" applyBorder="1" applyAlignment="1">
      <alignment horizontal="center" wrapText="1"/>
    </xf>
    <xf numFmtId="49" fontId="22" fillId="0" borderId="0" xfId="5" applyNumberFormat="1" applyFont="1" applyBorder="1" applyAlignment="1">
      <alignment horizontal="center"/>
    </xf>
    <xf numFmtId="164" fontId="22" fillId="0" borderId="0" xfId="5" applyNumberFormat="1" applyFont="1" applyAlignment="1">
      <alignment horizontal="center"/>
    </xf>
    <xf numFmtId="164" fontId="22" fillId="0" borderId="0" xfId="5" applyNumberFormat="1" applyFont="1" applyAlignment="1"/>
    <xf numFmtId="4" fontId="20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4" fontId="22" fillId="0" borderId="0" xfId="5" applyNumberFormat="1" applyFont="1"/>
    <xf numFmtId="49" fontId="22" fillId="0" borderId="0" xfId="5" applyNumberFormat="1" applyFont="1" applyFill="1" applyBorder="1" applyAlignment="1">
      <alignment horizontal="left"/>
    </xf>
    <xf numFmtId="164" fontId="22" fillId="0" borderId="0" xfId="5" applyNumberFormat="1" applyFont="1" applyFill="1" applyAlignment="1">
      <alignment horizontal="center"/>
    </xf>
    <xf numFmtId="1" fontId="22" fillId="0" borderId="0" xfId="5" applyNumberFormat="1" applyFont="1" applyFill="1" applyAlignment="1">
      <alignment horizontal="center"/>
    </xf>
    <xf numFmtId="0" fontId="22" fillId="0" borderId="0" xfId="0" applyFont="1"/>
    <xf numFmtId="4" fontId="20" fillId="0" borderId="0" xfId="5" applyNumberFormat="1" applyFont="1"/>
    <xf numFmtId="0" fontId="22" fillId="0" borderId="0" xfId="0" applyFont="1" applyFill="1"/>
    <xf numFmtId="49" fontId="22" fillId="0" borderId="0" xfId="5" applyNumberFormat="1" applyFont="1" applyAlignment="1">
      <alignment horizontal="left"/>
    </xf>
    <xf numFmtId="49" fontId="22" fillId="0" borderId="0" xfId="5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22" fillId="0" borderId="0" xfId="5" applyFont="1" applyAlignment="1"/>
    <xf numFmtId="164" fontId="22" fillId="0" borderId="0" xfId="5" applyNumberFormat="1" applyFont="1" applyAlignment="1">
      <alignment horizontal="left"/>
    </xf>
    <xf numFmtId="164" fontId="20" fillId="0" borderId="0" xfId="5" applyNumberFormat="1" applyFont="1" applyBorder="1" applyAlignment="1">
      <alignment horizontal="left"/>
    </xf>
    <xf numFmtId="164" fontId="20" fillId="0" borderId="2" xfId="5" applyNumberFormat="1" applyFont="1" applyBorder="1"/>
    <xf numFmtId="44" fontId="20" fillId="0" borderId="2" xfId="2" applyFont="1" applyBorder="1"/>
    <xf numFmtId="2" fontId="20" fillId="0" borderId="2" xfId="2" applyNumberFormat="1" applyFont="1" applyBorder="1"/>
    <xf numFmtId="49" fontId="22" fillId="0" borderId="0" xfId="5" applyNumberFormat="1" applyFont="1"/>
    <xf numFmtId="40" fontId="22" fillId="0" borderId="0" xfId="5" applyNumberFormat="1" applyFont="1"/>
    <xf numFmtId="49" fontId="30" fillId="0" borderId="0" xfId="5" applyNumberFormat="1" applyFont="1"/>
    <xf numFmtId="0" fontId="22" fillId="0" borderId="0" xfId="4" applyFont="1" applyBorder="1"/>
    <xf numFmtId="0" fontId="30" fillId="0" borderId="3" xfId="5" applyFont="1" applyBorder="1" applyAlignment="1">
      <alignment horizontal="center"/>
    </xf>
    <xf numFmtId="0" fontId="22" fillId="0" borderId="0" xfId="5" applyFont="1" applyAlignment="1">
      <alignment horizontal="left"/>
    </xf>
    <xf numFmtId="40" fontId="22" fillId="0" borderId="0" xfId="5" quotePrefix="1" applyNumberFormat="1" applyFont="1"/>
    <xf numFmtId="40" fontId="22" fillId="0" borderId="0" xfId="5" applyNumberFormat="1" applyFont="1" applyAlignment="1">
      <alignment horizontal="center"/>
    </xf>
    <xf numFmtId="49" fontId="20" fillId="0" borderId="0" xfId="5" applyNumberFormat="1" applyFont="1"/>
    <xf numFmtId="164" fontId="20" fillId="0" borderId="0" xfId="5" applyNumberFormat="1" applyFont="1"/>
    <xf numFmtId="0" fontId="20" fillId="0" borderId="2" xfId="5" applyFont="1" applyBorder="1"/>
    <xf numFmtId="40" fontId="20" fillId="0" borderId="2" xfId="5" applyNumberFormat="1" applyFont="1" applyBorder="1"/>
    <xf numFmtId="0" fontId="20" fillId="0" borderId="0" xfId="4" applyFont="1"/>
    <xf numFmtId="0" fontId="20" fillId="0" borderId="0" xfId="4" applyFont="1" applyBorder="1"/>
    <xf numFmtId="164" fontId="30" fillId="0" borderId="0" xfId="4" applyNumberFormat="1" applyFont="1"/>
    <xf numFmtId="0" fontId="30" fillId="0" borderId="0" xfId="4" applyFont="1" applyBorder="1" applyAlignment="1">
      <alignment wrapText="1"/>
    </xf>
    <xf numFmtId="4" fontId="20" fillId="0" borderId="0" xfId="4" applyNumberFormat="1" applyFont="1" applyBorder="1"/>
    <xf numFmtId="4" fontId="22" fillId="0" borderId="0" xfId="4" applyNumberFormat="1" applyFont="1" applyBorder="1"/>
    <xf numFmtId="0" fontId="20" fillId="0" borderId="3" xfId="4" applyFont="1" applyBorder="1"/>
    <xf numFmtId="0" fontId="20" fillId="0" borderId="3" xfId="4" applyFont="1" applyBorder="1" applyAlignment="1">
      <alignment horizontal="center" wrapText="1"/>
    </xf>
    <xf numFmtId="40" fontId="20" fillId="0" borderId="3" xfId="4" applyNumberFormat="1" applyFont="1" applyBorder="1"/>
    <xf numFmtId="40" fontId="20" fillId="0" borderId="3" xfId="4" applyNumberFormat="1" applyFont="1" applyBorder="1" applyAlignment="1">
      <alignment horizontal="center"/>
    </xf>
    <xf numFmtId="40" fontId="20" fillId="0" borderId="3" xfId="4" applyNumberFormat="1" applyFont="1" applyBorder="1" applyAlignment="1">
      <alignment horizontal="center" wrapText="1"/>
    </xf>
    <xf numFmtId="4" fontId="20" fillId="0" borderId="0" xfId="4" applyNumberFormat="1" applyFont="1" applyAlignment="1">
      <alignment horizontal="center"/>
    </xf>
    <xf numFmtId="40" fontId="22" fillId="0" borderId="0" xfId="4" applyNumberFormat="1" applyFont="1" applyAlignment="1">
      <alignment horizontal="center"/>
    </xf>
    <xf numFmtId="40" fontId="22" fillId="0" borderId="0" xfId="4" applyNumberFormat="1" applyFont="1"/>
    <xf numFmtId="0" fontId="22" fillId="0" borderId="0" xfId="4" applyFont="1" applyAlignment="1">
      <alignment horizontal="center"/>
    </xf>
    <xf numFmtId="4" fontId="22" fillId="0" borderId="0" xfId="4" applyNumberFormat="1" applyFont="1" applyAlignment="1">
      <alignment horizontal="center"/>
    </xf>
    <xf numFmtId="2" fontId="22" fillId="0" borderId="0" xfId="4" applyNumberFormat="1" applyFont="1" applyAlignment="1">
      <alignment horizontal="center"/>
    </xf>
    <xf numFmtId="40" fontId="22" fillId="0" borderId="0" xfId="4" applyNumberFormat="1" applyFont="1" applyBorder="1"/>
    <xf numFmtId="0" fontId="42" fillId="0" borderId="0" xfId="4" applyFont="1" applyBorder="1"/>
    <xf numFmtId="0" fontId="42" fillId="0" borderId="2" xfId="4" applyFont="1" applyBorder="1" applyAlignment="1">
      <alignment horizontal="left"/>
    </xf>
    <xf numFmtId="40" fontId="42" fillId="0" borderId="2" xfId="4" applyNumberFormat="1" applyFont="1" applyBorder="1"/>
    <xf numFmtId="0" fontId="43" fillId="0" borderId="0" xfId="4" applyFont="1"/>
    <xf numFmtId="0" fontId="42" fillId="0" borderId="0" xfId="0" applyFont="1" applyBorder="1"/>
    <xf numFmtId="0" fontId="44" fillId="0" borderId="0" xfId="0" applyFont="1"/>
    <xf numFmtId="40" fontId="22" fillId="0" borderId="0" xfId="3" applyNumberFormat="1" applyFont="1" applyAlignment="1">
      <alignment horizontal="right"/>
    </xf>
    <xf numFmtId="40" fontId="22" fillId="0" borderId="0" xfId="3" applyNumberFormat="1" applyFont="1"/>
    <xf numFmtId="0" fontId="42" fillId="0" borderId="0" xfId="3" applyFont="1"/>
    <xf numFmtId="40" fontId="20" fillId="0" borderId="0" xfId="0" applyNumberFormat="1" applyFont="1"/>
    <xf numFmtId="0" fontId="22" fillId="0" borderId="0" xfId="3" applyFont="1"/>
    <xf numFmtId="1" fontId="42" fillId="0" borderId="0" xfId="3" applyNumberFormat="1" applyFont="1"/>
    <xf numFmtId="40" fontId="42" fillId="0" borderId="0" xfId="3" applyNumberFormat="1" applyFont="1"/>
    <xf numFmtId="40" fontId="22" fillId="0" borderId="0" xfId="1" applyNumberFormat="1" applyFont="1" applyAlignment="1">
      <alignment horizontal="center"/>
    </xf>
    <xf numFmtId="0" fontId="42" fillId="0" borderId="0" xfId="4" applyFont="1"/>
    <xf numFmtId="49" fontId="41" fillId="0" borderId="0" xfId="0" applyNumberFormat="1" applyFont="1" applyAlignment="1">
      <alignment horizontal="center"/>
    </xf>
    <xf numFmtId="4" fontId="41" fillId="0" borderId="0" xfId="2" applyNumberFormat="1" applyFont="1"/>
    <xf numFmtId="164" fontId="20" fillId="0" borderId="0" xfId="0" applyNumberFormat="1" applyFont="1"/>
    <xf numFmtId="44" fontId="41" fillId="0" borderId="0" xfId="2" applyFont="1"/>
    <xf numFmtId="0" fontId="41" fillId="0" borderId="0" xfId="0" applyFont="1"/>
    <xf numFmtId="49" fontId="45" fillId="0" borderId="0" xfId="0" applyNumberFormat="1" applyFont="1" applyAlignment="1">
      <alignment horizontal="center"/>
    </xf>
    <xf numFmtId="44" fontId="45" fillId="0" borderId="0" xfId="2" applyFont="1"/>
    <xf numFmtId="0" fontId="45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 wrapText="1"/>
    </xf>
    <xf numFmtId="44" fontId="20" fillId="0" borderId="3" xfId="2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44" fontId="20" fillId="0" borderId="3" xfId="2" applyFont="1" applyBorder="1" applyAlignment="1">
      <alignment horizontal="center" wrapText="1"/>
    </xf>
    <xf numFmtId="165" fontId="22" fillId="0" borderId="0" xfId="0" applyNumberFormat="1" applyFont="1" applyAlignment="1">
      <alignment horizontal="center"/>
    </xf>
    <xf numFmtId="44" fontId="22" fillId="0" borderId="0" xfId="2" applyFont="1" applyAlignment="1">
      <alignment horizontal="right"/>
    </xf>
    <xf numFmtId="0" fontId="22" fillId="0" borderId="0" xfId="0" applyFont="1" applyAlignment="1">
      <alignment horizontal="center" wrapText="1"/>
    </xf>
    <xf numFmtId="165" fontId="22" fillId="0" borderId="0" xfId="2" applyNumberFormat="1" applyFont="1" applyAlignment="1">
      <alignment horizontal="center"/>
    </xf>
    <xf numFmtId="44" fontId="20" fillId="0" borderId="0" xfId="5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40" fontId="20" fillId="0" borderId="0" xfId="1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39" fontId="22" fillId="0" borderId="0" xfId="2" applyNumberFormat="1" applyFont="1" applyAlignment="1"/>
    <xf numFmtId="4" fontId="20" fillId="0" borderId="0" xfId="0" applyNumberFormat="1" applyFont="1"/>
    <xf numFmtId="39" fontId="20" fillId="0" borderId="0" xfId="2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165" fontId="41" fillId="0" borderId="0" xfId="0" applyNumberFormat="1" applyFont="1" applyAlignment="1">
      <alignment horizontal="center"/>
    </xf>
    <xf numFmtId="4" fontId="20" fillId="0" borderId="0" xfId="2" applyNumberFormat="1" applyFont="1"/>
    <xf numFmtId="4" fontId="22" fillId="0" borderId="0" xfId="2" applyNumberFormat="1" applyFont="1"/>
    <xf numFmtId="0" fontId="41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" fontId="20" fillId="0" borderId="2" xfId="2" applyNumberFormat="1" applyFont="1" applyBorder="1"/>
    <xf numFmtId="0" fontId="20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164" fontId="41" fillId="0" borderId="2" xfId="0" applyNumberFormat="1" applyFont="1" applyBorder="1" applyAlignment="1">
      <alignment horizontal="center"/>
    </xf>
    <xf numFmtId="40" fontId="46" fillId="0" borderId="0" xfId="5" applyNumberFormat="1" applyFont="1" applyFill="1" applyBorder="1"/>
    <xf numFmtId="49" fontId="22" fillId="0" borderId="0" xfId="5" applyNumberFormat="1" applyFont="1" applyBorder="1" applyAlignment="1"/>
    <xf numFmtId="4" fontId="30" fillId="0" borderId="3" xfId="5" applyNumberFormat="1" applyFont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8" fontId="5" fillId="0" borderId="5" xfId="2" applyNumberFormat="1" applyFont="1" applyFill="1" applyBorder="1" applyAlignment="1">
      <alignment horizontal="center" vertical="center"/>
    </xf>
    <xf numFmtId="40" fontId="3" fillId="0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0" fontId="3" fillId="0" borderId="5" xfId="3" applyNumberFormat="1" applyFont="1" applyFill="1" applyBorder="1" applyAlignment="1">
      <alignment horizontal="center" vertical="center"/>
    </xf>
    <xf numFmtId="0" fontId="3" fillId="0" borderId="5" xfId="3" applyFont="1" applyFill="1" applyBorder="1" applyAlignment="1">
      <alignment vertical="center"/>
    </xf>
    <xf numFmtId="0" fontId="22" fillId="0" borderId="5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49" fontId="3" fillId="0" borderId="6" xfId="3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3" fillId="0" borderId="6" xfId="3" applyNumberFormat="1" applyFont="1" applyFill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49" fontId="3" fillId="0" borderId="0" xfId="5" applyNumberFormat="1" applyFont="1" applyBorder="1" applyAlignment="1">
      <alignment vertical="center"/>
    </xf>
    <xf numFmtId="16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5" applyNumberFormat="1" applyFont="1" applyAlignment="1">
      <alignment horizontal="left" vertical="center"/>
    </xf>
    <xf numFmtId="4" fontId="32" fillId="0" borderId="0" xfId="5" applyNumberFormat="1" applyFont="1" applyAlignment="1">
      <alignment vertical="center"/>
    </xf>
    <xf numFmtId="4" fontId="5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164" fontId="3" fillId="0" borderId="0" xfId="5" applyNumberFormat="1" applyFont="1" applyAlignment="1">
      <alignment vertical="center"/>
    </xf>
    <xf numFmtId="164" fontId="5" fillId="0" borderId="0" xfId="5" applyNumberFormat="1" applyFont="1" applyBorder="1" applyAlignment="1">
      <alignment horizontal="left" vertical="center"/>
    </xf>
    <xf numFmtId="164" fontId="5" fillId="0" borderId="2" xfId="5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4" fontId="3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3" fillId="0" borderId="0" xfId="2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9" fontId="14" fillId="0" borderId="0" xfId="2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right" vertical="center"/>
    </xf>
    <xf numFmtId="39" fontId="32" fillId="0" borderId="0" xfId="2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" fontId="1" fillId="0" borderId="0" xfId="2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2" fillId="0" borderId="0" xfId="4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0" xfId="5" applyNumberFormat="1" applyFont="1" applyBorder="1" applyAlignment="1">
      <alignment vertical="center"/>
    </xf>
    <xf numFmtId="4" fontId="3" fillId="0" borderId="0" xfId="5" applyNumberFormat="1" applyFont="1" applyBorder="1" applyAlignment="1">
      <alignment vertical="center"/>
    </xf>
    <xf numFmtId="164" fontId="5" fillId="0" borderId="0" xfId="5" applyNumberFormat="1" applyFont="1" applyAlignment="1">
      <alignment vertical="center"/>
    </xf>
    <xf numFmtId="44" fontId="5" fillId="0" borderId="2" xfId="5" applyNumberFormat="1" applyFont="1" applyBorder="1" applyAlignment="1">
      <alignment vertical="center"/>
    </xf>
    <xf numFmtId="49" fontId="3" fillId="0" borderId="0" xfId="5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5" applyFont="1" applyAlignment="1">
      <alignment vertical="center"/>
    </xf>
    <xf numFmtId="49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left" vertical="center"/>
    </xf>
    <xf numFmtId="40" fontId="3" fillId="0" borderId="0" xfId="5" quotePrefix="1" applyNumberFormat="1" applyFont="1" applyAlignment="1">
      <alignment vertical="center"/>
    </xf>
    <xf numFmtId="40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center" vertical="center"/>
    </xf>
    <xf numFmtId="40" fontId="3" fillId="0" borderId="0" xfId="5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49" fontId="5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40" fontId="5" fillId="0" borderId="2" xfId="5" applyNumberFormat="1" applyFont="1" applyBorder="1" applyAlignment="1">
      <alignment vertical="center"/>
    </xf>
    <xf numFmtId="164" fontId="22" fillId="0" borderId="0" xfId="5" applyNumberFormat="1" applyFont="1" applyAlignment="1">
      <alignment vertical="center"/>
    </xf>
    <xf numFmtId="40" fontId="5" fillId="0" borderId="0" xfId="5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40" fontId="3" fillId="0" borderId="0" xfId="4" applyNumberFormat="1" applyFont="1" applyAlignment="1">
      <alignment vertical="center"/>
    </xf>
    <xf numFmtId="40" fontId="3" fillId="0" borderId="0" xfId="4" applyNumberFormat="1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40" fontId="3" fillId="0" borderId="0" xfId="4" applyNumberFormat="1" applyFont="1" applyBorder="1" applyAlignment="1">
      <alignment vertical="center"/>
    </xf>
    <xf numFmtId="44" fontId="32" fillId="0" borderId="0" xfId="2" applyNumberFormat="1" applyFont="1" applyAlignment="1">
      <alignment vertical="center"/>
    </xf>
    <xf numFmtId="49" fontId="3" fillId="0" borderId="0" xfId="5" applyNumberFormat="1" applyAlignment="1">
      <alignment vertical="center"/>
    </xf>
    <xf numFmtId="164" fontId="3" fillId="0" borderId="0" xfId="5" applyNumberFormat="1" applyAlignment="1">
      <alignment horizontal="left" vertical="center"/>
    </xf>
    <xf numFmtId="164" fontId="3" fillId="0" borderId="0" xfId="5" applyNumberFormat="1" applyFont="1" applyAlignment="1">
      <alignment vertical="center" wrapText="1"/>
    </xf>
    <xf numFmtId="44" fontId="5" fillId="0" borderId="0" xfId="2" applyFont="1" applyAlignment="1">
      <alignment vertical="center"/>
    </xf>
    <xf numFmtId="0" fontId="20" fillId="0" borderId="0" xfId="4" applyFont="1" applyAlignment="1">
      <alignment vertical="center"/>
    </xf>
    <xf numFmtId="49" fontId="22" fillId="0" borderId="0" xfId="5" applyNumberFormat="1" applyFont="1" applyBorder="1" applyAlignment="1">
      <alignment vertical="center"/>
    </xf>
    <xf numFmtId="16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left" vertical="center"/>
    </xf>
    <xf numFmtId="40" fontId="20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41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5" applyNumberFormat="1" applyFont="1" applyAlignment="1">
      <alignment horizontal="left" vertical="center"/>
    </xf>
    <xf numFmtId="4" fontId="20" fillId="0" borderId="0" xfId="5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0" fillId="0" borderId="0" xfId="5" applyNumberFormat="1" applyFont="1" applyBorder="1" applyAlignment="1">
      <alignment horizontal="left" vertical="center"/>
    </xf>
    <xf numFmtId="164" fontId="20" fillId="0" borderId="2" xfId="5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5" applyFont="1" applyAlignment="1">
      <alignment vertical="center"/>
    </xf>
    <xf numFmtId="164" fontId="22" fillId="0" borderId="0" xfId="5" applyNumberFormat="1" applyFont="1" applyBorder="1" applyAlignment="1">
      <alignment vertical="center"/>
    </xf>
    <xf numFmtId="4" fontId="22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44" fontId="20" fillId="0" borderId="0" xfId="2" applyFont="1" applyBorder="1" applyAlignment="1">
      <alignment vertical="center"/>
    </xf>
    <xf numFmtId="164" fontId="20" fillId="0" borderId="0" xfId="5" applyNumberFormat="1" applyFont="1" applyAlignment="1">
      <alignment vertical="center"/>
    </xf>
    <xf numFmtId="44" fontId="20" fillId="0" borderId="2" xfId="5" applyNumberFormat="1" applyFont="1" applyBorder="1" applyAlignment="1">
      <alignment vertical="center"/>
    </xf>
    <xf numFmtId="4" fontId="3" fillId="0" borderId="0" xfId="5" applyNumberFormat="1" applyAlignment="1">
      <alignment horizontal="center"/>
    </xf>
    <xf numFmtId="0" fontId="3" fillId="0" borderId="0" xfId="5" applyAlignment="1">
      <alignment horizontal="center"/>
    </xf>
    <xf numFmtId="49" fontId="3" fillId="0" borderId="0" xfId="5" applyNumberFormat="1" applyAlignment="1">
      <alignment horizontal="left" vertical="center"/>
    </xf>
    <xf numFmtId="164" fontId="3" fillId="0" borderId="0" xfId="5" applyNumberFormat="1" applyAlignment="1">
      <alignment horizontal="center" vertical="center"/>
    </xf>
    <xf numFmtId="4" fontId="3" fillId="0" borderId="0" xfId="5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5" applyAlignment="1">
      <alignment horizontal="center" vertical="center"/>
    </xf>
    <xf numFmtId="1" fontId="3" fillId="0" borderId="0" xfId="5" applyNumberFormat="1" applyFont="1" applyFill="1" applyAlignment="1">
      <alignment horizontal="center" vertical="center"/>
    </xf>
    <xf numFmtId="49" fontId="3" fillId="0" borderId="0" xfId="5" applyNumberFormat="1" applyAlignment="1">
      <alignment horizontal="center" vertical="center"/>
    </xf>
    <xf numFmtId="49" fontId="3" fillId="0" borderId="0" xfId="5" applyNumberFormat="1" applyFont="1" applyFill="1" applyBorder="1" applyAlignment="1">
      <alignment horizontal="left" vertical="center"/>
    </xf>
    <xf numFmtId="164" fontId="3" fillId="0" borderId="0" xfId="5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44" fontId="32" fillId="0" borderId="0" xfId="5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0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vertical="center"/>
    </xf>
    <xf numFmtId="0" fontId="38" fillId="0" borderId="0" xfId="5" applyFont="1" applyAlignment="1">
      <alignment vertical="center"/>
    </xf>
    <xf numFmtId="2" fontId="38" fillId="0" borderId="0" xfId="5" applyNumberFormat="1" applyFont="1" applyAlignment="1">
      <alignment vertical="center"/>
    </xf>
    <xf numFmtId="43" fontId="32" fillId="0" borderId="0" xfId="2" applyNumberFormat="1" applyFont="1" applyAlignment="1">
      <alignment vertical="center"/>
    </xf>
    <xf numFmtId="49" fontId="3" fillId="0" borderId="0" xfId="5" applyNumberFormat="1"/>
    <xf numFmtId="164" fontId="3" fillId="0" borderId="0" xfId="5" applyNumberFormat="1" applyAlignment="1">
      <alignment horizontal="left"/>
    </xf>
    <xf numFmtId="164" fontId="3" fillId="0" borderId="0" xfId="5" applyNumberFormat="1" applyFont="1" applyBorder="1" applyAlignment="1">
      <alignment horizontal="left" vertical="center"/>
    </xf>
    <xf numFmtId="164" fontId="5" fillId="0" borderId="0" xfId="5" applyNumberFormat="1" applyFont="1" applyBorder="1" applyAlignment="1">
      <alignment vertical="center"/>
    </xf>
    <xf numFmtId="44" fontId="5" fillId="0" borderId="0" xfId="5" applyNumberFormat="1" applyFont="1" applyBorder="1" applyAlignment="1">
      <alignment vertical="center"/>
    </xf>
    <xf numFmtId="4" fontId="5" fillId="0" borderId="0" xfId="5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30" fillId="0" borderId="0" xfId="5" applyNumberFormat="1" applyFont="1"/>
    <xf numFmtId="4" fontId="38" fillId="0" borderId="0" xfId="5" applyNumberFormat="1" applyFont="1" applyAlignment="1">
      <alignment vertical="center"/>
    </xf>
    <xf numFmtId="0" fontId="34" fillId="0" borderId="0" xfId="5" applyFont="1" applyBorder="1" applyAlignment="1">
      <alignment vertical="center"/>
    </xf>
  </cellXfs>
  <cellStyles count="7">
    <cellStyle name="Comma" xfId="1" builtinId="3"/>
    <cellStyle name="Currency" xfId="2" builtinId="4"/>
    <cellStyle name="Currency 2" xfId="6" xr:uid="{63B4C8F2-C09F-40C1-AE44-FC7453732B0E}"/>
    <cellStyle name="Normal" xfId="0" builtinId="0"/>
    <cellStyle name="Normal 2" xfId="5" xr:uid="{07E64D65-3A56-4FA2-B0C8-08C273F08C98}"/>
    <cellStyle name="Normal_CLARINDA" xfId="3" xr:uid="{00000000-0005-0000-0000-000003000000}"/>
    <cellStyle name="Normal_LUCAS REMODEL FOR Dept of Comm." xfId="4" xr:uid="{00000000-0005-0000-0000-000004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2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Relationship Id="rId9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3%200017-MM23\Major%20Maintenance%20FY23%20MM23.xls" TargetMode="External"/><Relationship Id="rId1" Type="http://schemas.openxmlformats.org/officeDocument/2006/relationships/externalLinkPath" Target="/DAS%20Shared%20Perm/GSE%20Infrastructure/MM%20FY23%200017-MM23/Major%20Maintenance%20FY23%20MM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4%200017-MM24\Major%20Maintenance%20FY24%20MM24.xls" TargetMode="External"/><Relationship Id="rId1" Type="http://schemas.openxmlformats.org/officeDocument/2006/relationships/externalLinkPath" Target="/DAS%20Shared%20Perm/GSE%20Infrastructure/MM%20FY24%200017-MM24/Major%20Maintenance%20FY24%20MM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DA25)%200506\MOU%20Project%20Improvements%20DA25.xlsx" TargetMode="External"/><Relationship Id="rId1" Type="http://schemas.openxmlformats.org/officeDocument/2006/relationships/externalLinkPath" Target="/DAS%20Shared%20Perm/GSE%20Infrastructure/MOU%20Project%20Improvements%20(DA25)%200506/MOU%20Project%20Improvements%20D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3 Funds Rec'd"/>
      <sheetName val="RECAP #9997.23"/>
      <sheetName val="#9997.23 PM TIME"/>
      <sheetName val="RECAP #9051.01"/>
      <sheetName val="#9051.01 DCI Group"/>
      <sheetName val="#9051.01 PM TIME"/>
      <sheetName val="#9051.01 Misc"/>
      <sheetName val="#9051.01 Bergstrom Construction"/>
      <sheetName val="RECAP #9224.00"/>
      <sheetName val="#9224.00 OPN Architects"/>
      <sheetName val="#9224.00 PM TIME "/>
      <sheetName val="#9224.00 Misc "/>
      <sheetName val="#9224.00 Esco Electric Co"/>
      <sheetName val="#9224.00 Schumacher Elevator"/>
      <sheetName val="#9224.00 Total Construction"/>
      <sheetName val="#9224.00 Samuels Group"/>
      <sheetName val="#9224.00 Controlled Asbestos"/>
      <sheetName val="RECAP #9249.00"/>
      <sheetName val="#9249.00 Vendor A"/>
      <sheetName val="#9249.00 PM TIME  "/>
      <sheetName val="#9249.00 Misc"/>
      <sheetName val="RECAP #9250.00"/>
      <sheetName val="#9250.00 Tricon General"/>
      <sheetName val="#9250.00 PM TIME "/>
      <sheetName val="#9250.00 Misc "/>
      <sheetName val="#9250.00 REW Services"/>
      <sheetName val="#9250.00 McGough Construction"/>
      <sheetName val="RECAP #9253.00"/>
      <sheetName val="#9253.00 McGough Construction"/>
      <sheetName val="#9253.00 PM TIME "/>
      <sheetName val="#9253.00 Misc "/>
      <sheetName val="#9253.00 Genesis Architectural "/>
      <sheetName val="#9253.00 Black Hawk Roof Co"/>
      <sheetName val="#9253.00 McGough Constructi (2)"/>
      <sheetName val="RECAP #9255.00"/>
      <sheetName val="#9255.00 Boyd Jones"/>
      <sheetName val="#9255.00 PM TIME "/>
      <sheetName val="#9255.00 Misc "/>
      <sheetName val="#9255.00 Genesis Architectural"/>
      <sheetName val="#9255.00 Boyd Jones (2)"/>
      <sheetName val="#9255.00 Academy Roofing"/>
      <sheetName val="RECAP #9268.01"/>
      <sheetName val="#9268.01 DCI Group"/>
      <sheetName val="#9268.01 PM TIME "/>
      <sheetName val="#9268.01 Misc"/>
      <sheetName val="#9268.01 Shive Hattery"/>
      <sheetName val="#9268.01 Terracon Consultants"/>
      <sheetName val="#9268.01 DCI Group #22-009 CA"/>
      <sheetName val="#9268.01 Pullman SST"/>
      <sheetName val="#9268.01 Iowa Contracting"/>
      <sheetName val="#9268.01 DCI Group #22-009.1 CA"/>
      <sheetName val="#9268.01 DCI Group #22-009.2 PC"/>
      <sheetName val="#9268.01 Neumann Brothers"/>
      <sheetName val="#9268.01 DCI Group #22-009.2 CA"/>
      <sheetName val="RECAP #9270.00"/>
      <sheetName val="#9270.00 Story Construction"/>
      <sheetName val="#9270.00 PM TIME"/>
      <sheetName val="#9270.00 Misc"/>
      <sheetName val="#9270.00 BiState Masonry"/>
      <sheetName val="#9270.00 RDG Planning"/>
      <sheetName val="RECAP #9276.00"/>
      <sheetName val="#9276.00 Vendor A "/>
      <sheetName val="#9276.00 PM TIME "/>
      <sheetName val="#9276.00 Misc"/>
      <sheetName val="RECAP #9279.20"/>
      <sheetName val="#9279.20 Shive Hattery"/>
      <sheetName val="#9279.20 PM TIME "/>
      <sheetName val="#9279.20 Misc "/>
      <sheetName val="#9279.20 Grainger"/>
      <sheetName val="#9279.20 Story Construction"/>
      <sheetName val="#9279.20 Van Maanen"/>
      <sheetName val="#9279.20 Pleva"/>
      <sheetName val="#9279.20 Hilsabeck Schacht"/>
      <sheetName val="#9279.20 Controlled Asbestos"/>
      <sheetName val="#9279.20 Controlled Asbestos(2)"/>
      <sheetName val="#9279.20 Black Hills Energy"/>
      <sheetName val="#9279.20 Tri-City Fire"/>
      <sheetName val="#9279.20 Controlled Asbesto (3)"/>
      <sheetName val="#9279.20 System Works"/>
      <sheetName val="RECAP #9294.00"/>
      <sheetName val="#9294.00 Story Construction PC"/>
      <sheetName val="#9294.00 PM TIME"/>
      <sheetName val="#9294.00 Misc"/>
      <sheetName val="#9294.00 Shive Hattery"/>
      <sheetName val="#9294.00 Story Construction (2)"/>
      <sheetName val="#9294.00 Van Maanen"/>
      <sheetName val="#9294.00 Hilsabeck Schacht Inc"/>
      <sheetName val="#9294.00 Controlled Asbestos"/>
      <sheetName val="#9294.00 Controlled Asbestos 2"/>
      <sheetName val="RECAP #9294.01"/>
      <sheetName val="#9294.01 Van Maanen Electric"/>
      <sheetName val="#9294.01 PM TIME"/>
      <sheetName val="#9294.01 Misc"/>
      <sheetName val="#9294.01 Shive Hattery"/>
      <sheetName val="#9294.01 Story Construction"/>
      <sheetName val="#9294.01 Earth Services"/>
      <sheetName val="#9294.01 Hilsabeck Schacht"/>
      <sheetName val="#9294.01 Schumacher Elevator"/>
      <sheetName val="RECAP #9304.00"/>
      <sheetName val="#9304.00 DCI Group #22-028 PC"/>
      <sheetName val="#9304.00 PM TIME"/>
      <sheetName val="#9304.00 Misc"/>
      <sheetName val="#9304.00 Shive Hattery"/>
      <sheetName val="#9304.00 Western Waterproofing"/>
      <sheetName val="#9304.00 DCI Group #22-028 CA"/>
      <sheetName val="#9304.00 Proctor Mechanical"/>
      <sheetName val="RECAP #9305.00"/>
      <sheetName val="#9305.00 Samuels Group"/>
      <sheetName val="#9305.00 PM TIME "/>
      <sheetName val="#9305.00 Misc "/>
      <sheetName val="#9305.00 OPN Architects"/>
      <sheetName val="#9305.00 Samuels Group (2)"/>
      <sheetName val="#9305.00 Neumann Brothers Inc"/>
      <sheetName val="#9305.00 Waldinger Electric"/>
      <sheetName val="#9305.00 MTS Contracting"/>
      <sheetName val="RECAP #9306.00"/>
      <sheetName val="#9306.00 Samuels Group"/>
      <sheetName val="#9306.00 PM Time"/>
      <sheetName val="#9306.00 Misc "/>
      <sheetName val="#9306.00 Genesis Architectural "/>
      <sheetName val="#9306.00 Septagon Construction"/>
      <sheetName val="RECAP #9307.00"/>
      <sheetName val="#9307.00 Samuels Group #123PC"/>
      <sheetName val="#9307.00 PM TIME"/>
      <sheetName val="#9307.00 Misc "/>
      <sheetName val="#9307.00 West Plains Engineerin"/>
      <sheetName val="#9307.00 Cummins"/>
      <sheetName val="#9307.00 Samuels Group #143CA"/>
      <sheetName val="RECAP #9308.00"/>
      <sheetName val="#9308.00 Story Construction"/>
      <sheetName val="#9308.00 PM TIME"/>
      <sheetName val="#9308.00 Misc  "/>
      <sheetName val="#9308.00 Innovative Engineers"/>
      <sheetName val="#9308.00 Cummins Inc."/>
      <sheetName val="#9308.00 Story Construction 2"/>
      <sheetName val="RECAP #9309.00"/>
      <sheetName val="#9309.00 Story Construction"/>
      <sheetName val="#9309.00 PM TIME "/>
      <sheetName val="#9309.00 Misc"/>
      <sheetName val="#9309.00 Genesis Architectural "/>
      <sheetName val="#9309.00 Story Construction (2)"/>
      <sheetName val="#9309.00 For Sure Roofing"/>
      <sheetName val="RECAP #9310.00"/>
      <sheetName val="#9310.00 DCI Group"/>
      <sheetName val="#9310.00 PM TIME "/>
      <sheetName val="#9310.00 Misc   "/>
      <sheetName val="#9310.00 Farnsworth Group"/>
      <sheetName val="#9310.00 BlackHawk Roofing"/>
      <sheetName val="#9310.00 DCI Group #22-031 CA"/>
      <sheetName val="#9310.00 Proctor Mechanical"/>
      <sheetName val="RECAP #9317.00"/>
      <sheetName val="#9317.00 McGough Construction"/>
      <sheetName val="#9317.00 Misc"/>
      <sheetName val="#9317.00 PM TIME"/>
      <sheetName val="#9317.00 Horizon Architecture"/>
      <sheetName val="#9317.00 Earth Services"/>
      <sheetName val="#9317.00 SG Construction"/>
      <sheetName val="#9317.00 McGough Construction 2"/>
      <sheetName val="RECAP #9319.00 "/>
      <sheetName val="#9319.00 Samuels Group"/>
      <sheetName val="#9319.00 PM TIME "/>
      <sheetName val="#9319.00 Misc"/>
      <sheetName val="#9319.00 Shive Hattery"/>
      <sheetName val="#9319.00 Proctor Mechanical"/>
      <sheetName val="#9319.00 Samuels Group 131CA"/>
      <sheetName val="RECAP #9320.00"/>
      <sheetName val="#9320.00 McGough Construction"/>
      <sheetName val="#9320.00 PM TIME "/>
      <sheetName val="#9320.00 Misc "/>
      <sheetName val="#9320.00 MA Architecture"/>
      <sheetName val="#9320.00 McGough Constructi (2)"/>
      <sheetName val="#9320.00 Boone Glass Co"/>
      <sheetName val="RECAP #9321.00"/>
      <sheetName val="#9321.00 DCI Group"/>
      <sheetName val="#9321.00 PM TIME"/>
      <sheetName val="#9321.00 Misc "/>
      <sheetName val="#9321.00 Bolton &amp; Menk, Inc"/>
      <sheetName val="#9321.00 Des Moines Asphalt"/>
      <sheetName val="#9321.00 DCI Group (2)"/>
      <sheetName val="RECAP #9322.00"/>
      <sheetName val="#9322.00 Samuels Group"/>
      <sheetName val="#9322.00 PM TIME "/>
      <sheetName val="#9322.00 Misc "/>
      <sheetName val="#9322.00 Genesis Architectural"/>
      <sheetName val="#9322.00 Samuels Group 140 CA"/>
      <sheetName val="#9322.00 Black Hawk Roof Co"/>
      <sheetName val="#9322.00 Controlled Asbestos"/>
      <sheetName val="RECAP #9324.00"/>
      <sheetName val="#9324.00 Boyd Jones"/>
      <sheetName val="#9324.00 PM TIME "/>
      <sheetName val="#9324.00 Misc "/>
      <sheetName val="#9324.00 Innovative Engineers"/>
      <sheetName val="#9324.00 Cummins Inc."/>
      <sheetName val="#9324.00 Boyd Jones 004CA"/>
      <sheetName val="RECAP #9327.00"/>
      <sheetName val="#9327.00 Samuels Group"/>
      <sheetName val="#9327.00 PM TIME "/>
      <sheetName val="#9327.00 Misc "/>
      <sheetName val="RECAP #9330.00"/>
      <sheetName val="#9330.00 DCI Group "/>
      <sheetName val="#9330.00 PM TIME "/>
      <sheetName val="#9330.00 Misc "/>
      <sheetName val="#9330.00 OPN Architects"/>
      <sheetName val="#9330.00 Bergstrom"/>
      <sheetName val="#9330.00 Waldinger Corp"/>
      <sheetName val="#9330.00 DCI Group #23-001 CA"/>
      <sheetName val="RECAP #9331.00"/>
      <sheetName val="#9331.00 Funds Rec'd "/>
      <sheetName val="#9331.00 McGough Construction"/>
      <sheetName val="#9331.00 PM TIME "/>
      <sheetName val="#9331.00 Misc "/>
      <sheetName val="#9331.00 Shive Hattery"/>
      <sheetName val="#9331.00 Midstate Plmg &amp; Htg"/>
      <sheetName val="#9331.00 McGough Constructi (2)"/>
      <sheetName val="#9331.00 Controlled Asbestos"/>
      <sheetName val="RECAP #9332.00"/>
      <sheetName val="#9332.00 Funds Rec'd"/>
      <sheetName val="#9332.00 McGough Construction "/>
      <sheetName val="#9332.00 PM TIME "/>
      <sheetName val="#9332.00 Misc "/>
      <sheetName val="#9332.00 Shive Hattery"/>
      <sheetName val="#9332.00 Midstate Plg &amp; Htg"/>
      <sheetName val="#9332.00 McGough Constructi (2)"/>
      <sheetName val="RECAP #9339.00"/>
      <sheetName val="#9339.00 Shive Hattery"/>
      <sheetName val="#9339.00 PM TIME"/>
      <sheetName val="#9339.00 Misc"/>
      <sheetName val="#9339.00 Samuels Group"/>
      <sheetName val="#9339.00 S &amp; S Plumbing"/>
      <sheetName val="RECAP #9370.00"/>
      <sheetName val="9370.00 Funds Rec'd"/>
      <sheetName val="#9370.00 Boyd Jones"/>
      <sheetName val="#9370.00 PM TIME"/>
      <sheetName val="#9370.00 Misc"/>
      <sheetName val="#9370.00 Innovative Engineers"/>
      <sheetName val="#9370.00 Florida Detention"/>
      <sheetName val="#9370.00 Boyd Jones (2)"/>
      <sheetName val="RECAP #9371.00"/>
      <sheetName val="#9371.00 Boyd Jones"/>
      <sheetName val="#9371.00 PM TIME"/>
      <sheetName val="#9371.00 Misc"/>
      <sheetName val="#9371.00 Samuels Group"/>
      <sheetName val="#9371.00 Snyder &amp; Associates"/>
      <sheetName val="#9371.00 Metro Driveway Co"/>
      <sheetName val="RECAP #9373.00"/>
      <sheetName val="#9373.00 DCI Group"/>
      <sheetName val="#9373.00 PM TIME"/>
      <sheetName val="#9373.00 Misc "/>
      <sheetName val="#9373.00 Shive Hattery"/>
      <sheetName val="#9373.00 Core Contruction"/>
      <sheetName val="#9373.00 DCI Group (2)"/>
      <sheetName val="RECAP #9388.00"/>
      <sheetName val="#9388.00 Boyd Jones"/>
      <sheetName val="#9388.00 PM TIME"/>
      <sheetName val="#9388.00 Misc"/>
      <sheetName val="#9388.00 DCI Group"/>
      <sheetName val="#9388.00 Cannon Moss Brygger"/>
      <sheetName val="#9388.00 Trinity Construction"/>
      <sheetName val="#9388.00 DCI Group (2)"/>
      <sheetName val="RECAP #9389.00"/>
      <sheetName val="#9389.00 Boyd Jones"/>
      <sheetName val="#9389.00 PM TIME"/>
      <sheetName val="#9389.00 Misc"/>
      <sheetName val="#9389.00 DCI Group"/>
      <sheetName val="#9389.00 Innovative Engineers"/>
      <sheetName val="#9389.00 Baker Group"/>
      <sheetName val="#9389.00 DCI Group (2)"/>
      <sheetName val="RECAP #9404.00"/>
      <sheetName val="#9404.00 Boyd Jones"/>
      <sheetName val="#9404.00 PM TIME"/>
      <sheetName val="#9404.00 Misc"/>
      <sheetName val="#9404.00 Innovative Engineers"/>
      <sheetName val="#9404.00 S &amp; S Plumbing"/>
      <sheetName val="#9404.00 Boyd Jones (2)"/>
      <sheetName val="RECAP #9437.00"/>
      <sheetName val="#9437.00 Shive Hattery"/>
      <sheetName val="#9437.00 PM TIME"/>
      <sheetName val="#9437.00 Misc"/>
      <sheetName val="#9437.00 DCI Group"/>
      <sheetName val="#9437.00 Shive Hattery (2)"/>
      <sheetName val="#9437.00 DCI Group (2)"/>
      <sheetName val="#9437.00 Waldinger Corp"/>
      <sheetName val="RECAP #9438.00"/>
      <sheetName val="#9438.00 McGough Construction"/>
      <sheetName val="#9438.00 PM TIME"/>
      <sheetName val="#9438.00 Misc "/>
      <sheetName val="#9438.00 Genesis Architectural"/>
      <sheetName val="#9438.00 JasperConstruction "/>
      <sheetName val="#9438.00 McGough Construction 2"/>
      <sheetName val="RECAP #9439.00"/>
      <sheetName val="#9439.00 McGough Construction"/>
      <sheetName val="#9439.00 PM TIME"/>
      <sheetName val="#9439.00 Misc "/>
      <sheetName val="#9439.00 Genesis Architectural"/>
      <sheetName val="#9439.00 MTS Contracting"/>
      <sheetName val="#9439.00 McGough Constructi (2)"/>
      <sheetName val="RECAP #9450.00"/>
      <sheetName val="#9450.00 McGough Construction"/>
      <sheetName val="#9450.00 PM TIME"/>
      <sheetName val="#9450.00 Misc "/>
      <sheetName val="#9450.00 Bolton &amp; Menk"/>
      <sheetName val="#9450.00 Jones Contracting"/>
      <sheetName val="#9450.00 McGough Constructi (2)"/>
      <sheetName val="RECAP #9465.00"/>
      <sheetName val="#9465.00 Horizon Architecture"/>
      <sheetName val="#9465.00 PM TIME"/>
      <sheetName val="#9465.00 Misc"/>
      <sheetName val="RECAP #XXXX.XX 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8">
          <cell r="D28">
            <v>770378.71000000008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>
        <row r="3">
          <cell r="E3" t="str">
            <v>Major Program 4B01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>
        <row r="23">
          <cell r="D23">
            <v>23500</v>
          </cell>
        </row>
      </sheetData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23">
          <cell r="D23">
            <v>48451.25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4 Funds Rec'd"/>
      <sheetName val="RECAP #9997.24"/>
      <sheetName val="#9997.24 PM TIME"/>
      <sheetName val="RECAP #9226.00"/>
      <sheetName val="#9226.00 DCI Group"/>
      <sheetName val="#9226.00 PM Time "/>
      <sheetName val="#9226.00 Misc "/>
      <sheetName val="#9226.00 Genesis Architectural"/>
      <sheetName val="RECAP #9277.00"/>
      <sheetName val="#9277.00 DCI Group"/>
      <sheetName val="#9277.00 PM TIME"/>
      <sheetName val="#9277.00 Misc"/>
      <sheetName val="#9277.00 Siemens"/>
      <sheetName val="#9277.00 Cummins Inc"/>
      <sheetName val="RECAP #9279.30"/>
      <sheetName val="#9729.30 Funds Recv'd"/>
      <sheetName val="#9279.30 Van Maanen Electric"/>
      <sheetName val="#9279.30 PM TIME"/>
      <sheetName val="#9279.30 Misc"/>
      <sheetName val="#9279.30 Shive Hattery"/>
      <sheetName val="#9279.30 Pleva Plumbing"/>
      <sheetName val="#9279.30 Story Construction"/>
      <sheetName val="#9279.30 Earth Services &amp; Abate"/>
      <sheetName val="#9279.30 Hilsabeck Schacht"/>
      <sheetName val="#9279.30 Black Hills Energy"/>
      <sheetName val="#9279.30 System Works"/>
      <sheetName val="RECAP #9282.00"/>
      <sheetName val="#9282.00 Core Construction"/>
      <sheetName val="#9282.00 PM TIME"/>
      <sheetName val="#9282.00 Misc"/>
      <sheetName val="#9282.00 Van Maanen"/>
      <sheetName val="#9282.00 DCI Group"/>
      <sheetName val="RECAP #9306.00"/>
      <sheetName val="#9306.00 Funds Recv'd"/>
      <sheetName val="#9306.00 Samuels Group"/>
      <sheetName val="#9306.00 PM TIME"/>
      <sheetName val="#9306.00 Misc"/>
      <sheetName val="#9306.00 Modern Builders"/>
      <sheetName val="RECAP #9342.00"/>
      <sheetName val="#9342.00 Vendor"/>
      <sheetName val="#9342.00 PM Time"/>
      <sheetName val="#9342.00 Misc"/>
      <sheetName val="RECAP #9354.00"/>
      <sheetName val="#9354.00 Foreman Construction"/>
      <sheetName val="#9354.00 PM TIME"/>
      <sheetName val="#9354.00 Misc"/>
      <sheetName val="#9354.00 McGough Construction"/>
      <sheetName val="RECAP #9357.00"/>
      <sheetName val="#9357.00 Samuels Group"/>
      <sheetName val="#9357.00 PM TIME"/>
      <sheetName val="#9357.00 Misc"/>
      <sheetName val="#9357.00 Genesis Architectural "/>
      <sheetName val="#9357.00 S.G Construction"/>
      <sheetName val="#9357.00 Samuels Group 2"/>
      <sheetName val="RECAP #9361.00"/>
      <sheetName val="#9361.00 Samuels Group"/>
      <sheetName val="#9361.00 PM TIME"/>
      <sheetName val="#9361.00 Misc"/>
      <sheetName val="#9361.00 Shive Hattery"/>
      <sheetName val="#9361.00 Schumacher Elevator"/>
      <sheetName val="#9361.00 Tricon General"/>
      <sheetName val="#9361.00 Samuels Group (2)"/>
      <sheetName val="RECAP #9362.00"/>
      <sheetName val="#9362.00 Baker Group"/>
      <sheetName val="#9362.00 PM TIME "/>
      <sheetName val="#9362.00 Misc "/>
      <sheetName val="#9362.00 Van Maanen"/>
      <sheetName val="#9362.00 DCI Group"/>
      <sheetName val="RECAP #9364.00"/>
      <sheetName val="#9364.00 Samuels Group"/>
      <sheetName val="#9364.00 PM Time "/>
      <sheetName val="#9364.00 Misc"/>
      <sheetName val="#9364.00 Genesis Architectural"/>
      <sheetName val="#9364.00 Terracon Consultants"/>
      <sheetName val="#9364.00 Hildreth Construction"/>
      <sheetName val="#9364.00 Samuels Group(2)"/>
      <sheetName val="RECAP #9366.00"/>
      <sheetName val="#9366.00 Shive Hattery"/>
      <sheetName val="#9366.00 PM Time "/>
      <sheetName val="#9366.00 Misc "/>
      <sheetName val="#9366.00 McGough Construction"/>
      <sheetName val="#9366.00 Jensen Builders"/>
      <sheetName val="RECAP #9372.00"/>
      <sheetName val="#9372.00 Samuels Group"/>
      <sheetName val="#9372.00 PM TIME"/>
      <sheetName val="#9372.00 Misc"/>
      <sheetName val="#9372.00 Shive Hattery"/>
      <sheetName val="#9372.00 Terracon Consultants"/>
      <sheetName val="#9372.00 Terracon Consultan (2)"/>
      <sheetName val="#9372.00 Tricon General"/>
      <sheetName val=" #9372.00 Samuels Group (2)"/>
      <sheetName val=" #9372.00 Advanced Environment"/>
      <sheetName val="RECAP #9376.00"/>
      <sheetName val="#9376.00 Funds Rec'd "/>
      <sheetName val="#9376.00 DCI Group"/>
      <sheetName val="#9376.00 PM TIME"/>
      <sheetName val="#9376.00 Misc"/>
      <sheetName val="#9376.00 Shive Hattery"/>
      <sheetName val="#9376.00 Central Iowa Tele"/>
      <sheetName val="#9376.00 Van Maanen"/>
      <sheetName val="#9376.00 Core Construction"/>
      <sheetName val=" #9376.00 DCI Group (2)"/>
      <sheetName val="RECAP #9380.00"/>
      <sheetName val="#9380.00 Boyd Jones"/>
      <sheetName val="#9380.00 PM TIME"/>
      <sheetName val="#9380.00 Misc"/>
      <sheetName val="#9380.00 RDG Planning &amp; Design"/>
      <sheetName val="#9380.00 CornerstoneCommercial"/>
      <sheetName val="#9380.00 Boyd Jones (2)"/>
      <sheetName val="RECAP #9386.01"/>
      <sheetName val="#9386.01 McGough Construction"/>
      <sheetName val="#9386.01 PM TIME"/>
      <sheetName val="#9386.01 Misc"/>
      <sheetName val="#9386.01 Shive Hattery"/>
      <sheetName val="#9386.01 Tricon General"/>
      <sheetName val="#9386.01 McGough Constr (2)"/>
      <sheetName val="#9386.01 McGough Constr (3)"/>
      <sheetName val="#9386.01 Bi-State Masonry"/>
      <sheetName val="RECAP #9390.00"/>
      <sheetName val="#9390.00 Boyd Jones"/>
      <sheetName val="#9390.00 PM TIME"/>
      <sheetName val="#9390.00 Misc"/>
      <sheetName val="#9390.00 Genesis Architectural"/>
      <sheetName val="#9390.00 DCI Group"/>
      <sheetName val="#9390.00 Hawkeye Electric"/>
      <sheetName val="#9390.00 Conlon Construction "/>
      <sheetName val="#9390.00 DCI Group (2)"/>
      <sheetName val="RECAP #9390.01"/>
      <sheetName val="#9390.01 Funds Rec'd"/>
      <sheetName val="#9390.01 Ralph N Smith"/>
      <sheetName val="#9390.01 PM Time "/>
      <sheetName val="#9390.01 Misc "/>
      <sheetName val="#9390.01 DCI Group"/>
      <sheetName val="RECAP #9391.00"/>
      <sheetName val="#9391.00 Boyd Jones"/>
      <sheetName val="#9391.00 PM TIME"/>
      <sheetName val="#9391.00 Misc"/>
      <sheetName val="#9391.00 Genesis Architectural"/>
      <sheetName val="#9391.00 DCI Group"/>
      <sheetName val="#9391.00 DCI Group (2)"/>
      <sheetName val="#9391.00 E &amp; H Restoration"/>
      <sheetName val="#9391.00 R3 Commercial Roofing"/>
      <sheetName val="RECAP #9392.00"/>
      <sheetName val="#9392.00 McGough Construction"/>
      <sheetName val="#9392.00 PM TIME"/>
      <sheetName val="#9392.00 Misc"/>
      <sheetName val="#9392.00 OPN Architects"/>
      <sheetName val="#9392.00 Terracon Consultants"/>
      <sheetName val="#9392.00 Tricon General"/>
      <sheetName val="#9392.00 McGough Construction 2"/>
      <sheetName val="RECAP #9393.00"/>
      <sheetName val="#9393.00 McGough Construction"/>
      <sheetName val="#9393.00 PM TIME"/>
      <sheetName val="#9393.00 Misc"/>
      <sheetName val="#9393.00 Substance Architecture"/>
      <sheetName val="#9393.00 Neumann Brothers"/>
      <sheetName val="#9393.00 Terracon Consultants"/>
      <sheetName val="RECAP #9394.00"/>
      <sheetName val="#9394.00 McGough Construction"/>
      <sheetName val="#9394.00 PM TIME"/>
      <sheetName val="#9394.00 Misc"/>
      <sheetName val="#9394.00 Genesis Architectural"/>
      <sheetName val="RECAP #9395.00"/>
      <sheetName val="#9395.00 McGough Construction"/>
      <sheetName val="#9395.00 PM TIME"/>
      <sheetName val="#9395.00 Misc"/>
      <sheetName val="#9395.00 Genesis Architectural"/>
      <sheetName val="#9395.00 Waldinger - Plumbing"/>
      <sheetName val="#9395.00 Elder Corporation"/>
      <sheetName val="RECAP #9396.00"/>
      <sheetName val="#9396.00 McGough Construction"/>
      <sheetName val="#9396.00 PM TIME"/>
      <sheetName val="#9396.00 Misc"/>
      <sheetName val="#9396.00 Innovative Engineers"/>
      <sheetName val="#9396.00 Cummins Inc"/>
      <sheetName val="#9396.00 McGough Constructi (2)"/>
      <sheetName val="RECAP #9397.00"/>
      <sheetName val="#9397.00 Funds Rec'd"/>
      <sheetName val="#9397.00 PM TIME"/>
      <sheetName val="#9397.00 DCI Group"/>
      <sheetName val="#9397.00 Misc"/>
      <sheetName val="#9397.00 Shive Hattery"/>
      <sheetName val="#9397.00 Shive Hattery (2)"/>
      <sheetName val="#9397.00 DCI Group (2)"/>
      <sheetName val="#9397.00 Edge Commercial"/>
      <sheetName val="#9397.00 Bi-State Masonry"/>
      <sheetName val="#9397.00 DCI Group (3)"/>
      <sheetName val="RECAP #9407.00"/>
      <sheetName val="#9407.00 DCI Group"/>
      <sheetName val="#9407.00 PM TIME"/>
      <sheetName val="#9407.00 Misc "/>
      <sheetName val="#9407.00 Iowa Contracting"/>
      <sheetName val="#9407.00 Waldinger-Electric"/>
      <sheetName val="#9407.00 MA Architecture"/>
      <sheetName val="RECAP #9422.00"/>
      <sheetName val="#9422.00 Vendor A "/>
      <sheetName val="#9422.00 PM TIME"/>
      <sheetName val="#9422.00 Misc "/>
      <sheetName val="RECAP #9437.00"/>
      <sheetName val="#9437.00 Jordison Construction"/>
      <sheetName val="#9437.00 PM Time "/>
      <sheetName val="#9437.00 Misc "/>
      <sheetName val="#9437.00 Waldinger Corp"/>
      <sheetName val="RECAP #9446.00"/>
      <sheetName val="#9446.00 DCI Group"/>
      <sheetName val="#9446.00 PM TIME"/>
      <sheetName val="#9446.00 Misc"/>
      <sheetName val="#9446.00 Horizon Architecture"/>
      <sheetName val="#9446.00 Tricon General"/>
      <sheetName val="#9446.00 DCI Group (2)"/>
      <sheetName val="RECAP #9464.00"/>
      <sheetName val="#9464.00 DCI Group"/>
      <sheetName val="#9464.00 PM Time "/>
      <sheetName val="#9464.00 Misc "/>
      <sheetName val="#9464.00 Shive Hattery"/>
      <sheetName val="#9464.00 Iowa Contracting"/>
      <sheetName val="#9464.00 DCI Group(2)"/>
      <sheetName val="RECAP #9471.00"/>
      <sheetName val="#9471.00 Funds Rec'd"/>
      <sheetName val="#9471.00 Shive Hattery"/>
      <sheetName val="#9471.00 PM Time "/>
      <sheetName val="#9471.00 Misc"/>
      <sheetName val="#9471.00 McGough Construction"/>
      <sheetName val="#9471.00 MidState Plumbing"/>
      <sheetName val="#9471.00 McGough Constructi (2)"/>
      <sheetName val="RECAP #9477.00"/>
      <sheetName val="#9477.00 KCL Engineering"/>
      <sheetName val="#9477.00 PM Time"/>
      <sheetName val="#9477.00 Misc"/>
      <sheetName val="RECAP #9525.00"/>
      <sheetName val="#9525.00 Vendor A"/>
      <sheetName val="#9525.00 PM Time "/>
      <sheetName val="#9525.00 Misc "/>
      <sheetName val="RECAP #XXXX.XX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D23">
            <v>30000</v>
          </cell>
        </row>
      </sheetData>
      <sheetData sheetId="19"/>
      <sheetData sheetId="20"/>
      <sheetData sheetId="21">
        <row r="23">
          <cell r="D23">
            <v>25969</v>
          </cell>
        </row>
      </sheetData>
      <sheetData sheetId="22">
        <row r="36">
          <cell r="D36">
            <v>1522119.55</v>
          </cell>
        </row>
      </sheetData>
      <sheetData sheetId="23">
        <row r="31">
          <cell r="F31">
            <v>0</v>
          </cell>
        </row>
      </sheetData>
      <sheetData sheetId="24">
        <row r="23">
          <cell r="D23">
            <v>2800</v>
          </cell>
        </row>
      </sheetData>
      <sheetData sheetId="25">
        <row r="23">
          <cell r="D23">
            <v>23081.279999999999</v>
          </cell>
        </row>
      </sheetData>
      <sheetData sheetId="26">
        <row r="23">
          <cell r="D23">
            <v>73526</v>
          </cell>
        </row>
      </sheetData>
      <sheetData sheetId="27">
        <row r="23">
          <cell r="D23">
            <v>1903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3">
          <cell r="D23">
            <v>139604.37</v>
          </cell>
        </row>
      </sheetData>
      <sheetData sheetId="66"/>
      <sheetData sheetId="67"/>
      <sheetData sheetId="68">
        <row r="23">
          <cell r="D23">
            <v>19900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>
        <row r="23">
          <cell r="D23">
            <v>124741</v>
          </cell>
          <cell r="F23">
            <v>56031.000000000007</v>
          </cell>
          <cell r="H23">
            <v>68710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"/>
      <sheetName val="RECAP #9239.02"/>
      <sheetName val="#9239.02 Funds Recv'd"/>
      <sheetName val="#9239.02 Samuels Group"/>
      <sheetName val="#9239.02 PM TIME "/>
      <sheetName val="#9239.02 Misc"/>
      <sheetName val="#9239.02 FarnsworthGroup"/>
      <sheetName val="#9239.02 FarnsworthGroup (2)"/>
      <sheetName val="#9239.02 Samuels Group (2)"/>
      <sheetName val="#9239.02 Accurate Commercial"/>
      <sheetName val="#9239.02 Proctor Mechanical"/>
      <sheetName val="#9239.02 Con-Struct Inc"/>
      <sheetName val="#9239.02 Samuels Group (3)"/>
      <sheetName val="#9239.02 Terracon Consultants"/>
      <sheetName val="RECAP #9239.03"/>
      <sheetName val="#9239.03 Funds Rec'd "/>
      <sheetName val="#9239.03 Farnsworth Group"/>
      <sheetName val="#9239.03 PM TIME "/>
      <sheetName val="#9239.03 Misc "/>
      <sheetName val="#9239.03 Samuels Group"/>
      <sheetName val="#9239.03 Procotr Mechanical"/>
      <sheetName val="#9239.03 Con-Struct Inc"/>
      <sheetName val="#9239.03 Samuels Group (2)"/>
      <sheetName val="#9239.03 Terracon Consultants"/>
      <sheetName val="RECAP #9279.40"/>
      <sheetName val="#9279.40 Funds Rec'd "/>
      <sheetName val="#9279.40 Shive Hattery"/>
      <sheetName val="#9279.40 PM TIME "/>
      <sheetName val="#9279.40 Misc"/>
      <sheetName val="#9279.40 Story Construction"/>
      <sheetName val="#9279.40 ATC Group Services"/>
      <sheetName val="#9279.40 Shive Hattery (2)"/>
      <sheetName val="#9279.40 SystemWorks"/>
      <sheetName val="#9279.40 ATC Group Services (2)"/>
      <sheetName val="#9279.40 Shive Hattery (3)"/>
      <sheetName val="#9279.40 Shive Hattery (4)"/>
      <sheetName val="#9279.40 ATC Group Services (3)"/>
      <sheetName val="#9279.40 Story Construction (2)"/>
      <sheetName val="#9279.40 Advanced Environmental"/>
      <sheetName val="#9279.40 VanMaanen Electric"/>
      <sheetName val="#9279.40 Pleva Plumbing"/>
      <sheetName val="#9279.40 SystemWorks (2)"/>
      <sheetName val="#9279.40 Kline Electrical"/>
      <sheetName val="#9279.40 Shive Hattery (5)"/>
      <sheetName val="#9279.40 Story Construction (3)"/>
      <sheetName val="#9279.40 ATC Group Services (4)"/>
      <sheetName val="RECAP #9279.41"/>
      <sheetName val="#9279.41 Funds Rec'd "/>
      <sheetName val="#9279.41 Shive Hattery"/>
      <sheetName val="#9279.41 PM TIME"/>
      <sheetName val="#9279.41 Misc"/>
      <sheetName val="#9279.41 Story Construction"/>
      <sheetName val="RECAP #9294.00"/>
      <sheetName val="#9294.00 Funds Recv'd "/>
      <sheetName val="#9294.00 Van Maanen"/>
      <sheetName val="#9294.00 PM TIME "/>
      <sheetName val="#9294.00 Misc"/>
      <sheetName val="RECAP #9358.01"/>
      <sheetName val="#9358.01 Funds Recv'd"/>
      <sheetName val="#9358.01 Commonwealth Electric"/>
      <sheetName val="#9358.01 PM TIME"/>
      <sheetName val="#9358.01 Misc"/>
      <sheetName val="#9358.01 Central IA Mechanical"/>
      <sheetName val="#9358.01 DCI Group"/>
      <sheetName val="RECAP #9360.01"/>
      <sheetName val="#9360.01 Funds Recv'd"/>
      <sheetName val="#9360.01 Air-Con Electric"/>
      <sheetName val="#9360.01 PM TIME"/>
      <sheetName val="#9360.01 Misc"/>
      <sheetName val="#9360.01 McGough Construction"/>
      <sheetName val="#9360.01 McGough Constr (2)"/>
      <sheetName val="#9360.01 KCL Engineering"/>
      <sheetName val="RECAP #9366.00"/>
      <sheetName val="#9366.00 Funds Rec'd"/>
      <sheetName val="#9366.00 Jensen Builders"/>
      <sheetName val="#9366.00 PM TIME"/>
      <sheetName val="#9366.00 Misc"/>
      <sheetName val="RECAP #9424.00"/>
      <sheetName val="#9424.00 Funds Rec'd  "/>
      <sheetName val="#9424.00 IMEG Corporation"/>
      <sheetName val="#9424.00 PM TIME "/>
      <sheetName val="#9424.00 Misc"/>
      <sheetName val="#9424.00 McGough Construction"/>
      <sheetName val="#9424.00 K&amp;W Electric"/>
      <sheetName val="RECAP #9425.01"/>
      <sheetName val="#9425.01 Funds Recv'd "/>
      <sheetName val="#9425.01 McGough Construction"/>
      <sheetName val="#9425.01 PM TIME "/>
      <sheetName val="#9425.01 Misc "/>
      <sheetName val="#9425.01 ATC Group"/>
      <sheetName val="#9425.01 JamcoAbatement Service"/>
      <sheetName val="#9425.01 McGough Constructi (2)"/>
      <sheetName val="RECAP #9429.00 "/>
      <sheetName val="#9429.00 Funds Recv'd"/>
      <sheetName val="#9429.00 OPN Architects"/>
      <sheetName val="#9429.00 PM TIME"/>
      <sheetName val="#9429.00 Misc"/>
      <sheetName val="#9429.00 OPN Architects (2)"/>
      <sheetName val="#9429.00 Weitz Company"/>
      <sheetName val="#9429.00 Terracon Consultants"/>
      <sheetName val="#9429.00 Terracon Consultan (2)"/>
      <sheetName val="#9429.00 Jaeger Corporation "/>
      <sheetName val="#9429.00 SystemWorks"/>
      <sheetName val="RECAP #9433.00"/>
      <sheetName val="#9433.00 Funds Recv'd "/>
      <sheetName val="#9433.00 Story Construction"/>
      <sheetName val="#9433.00 PM TIME "/>
      <sheetName val="#9433.00 Misc"/>
      <sheetName val="#9433.00 Genesis Architectural"/>
      <sheetName val="#9433.00 Falke Construction"/>
      <sheetName val="#9433.00 Story Construction (2)"/>
      <sheetName val="RECAP #9466.00"/>
      <sheetName val="#9466.00 Funds Rec'd "/>
      <sheetName val="#9466.00 Boyd Jones"/>
      <sheetName val="#9466.00 PM TIME"/>
      <sheetName val="#9466.00 Misc "/>
      <sheetName val="#9466.00 KCL Engineering"/>
      <sheetName val="#9466.00 Thompson Solutions"/>
      <sheetName val="#9466.00 Boyd Jones (2)"/>
      <sheetName val="RECAP #9467.00"/>
      <sheetName val="#9467.00 Funds Rec'd"/>
      <sheetName val="#9467.00 Vendor A"/>
      <sheetName val="#9467.00 PM TIME"/>
      <sheetName val="#9467.00 Misc"/>
      <sheetName val="RECAP #9468.00"/>
      <sheetName val="#9468.00 Funds Rec'd "/>
      <sheetName val="#9468.00 Vendor A "/>
      <sheetName val="#9468.00 PM TIME "/>
      <sheetName val="#9468.00 Misc "/>
      <sheetName val="RECAP #9470.00"/>
      <sheetName val="#9470.00 Funds Rec'd"/>
      <sheetName val="#9470.00 Horizon Architecture"/>
      <sheetName val="#9470.00 PM TIME"/>
      <sheetName val="#9470.00 Misc"/>
      <sheetName val="RECAP #9472.00"/>
      <sheetName val="#9472.00 Funds Rec'd"/>
      <sheetName val="#9472.00 Vendor A"/>
      <sheetName val="#9472.00 PM TIME"/>
      <sheetName val="#9472.00 Misc"/>
      <sheetName val="RECAP #9473.00"/>
      <sheetName val="#9473.00 Funds Rec'd"/>
      <sheetName val="#9473.00 Vendor A "/>
      <sheetName val="#9473.00 PM TIME "/>
      <sheetName val="#9473.00 Misc"/>
      <sheetName val="RECAP #9475.00"/>
      <sheetName val="#9475.00 Funds Rec'd"/>
      <sheetName val="#9475.00 Genesis Architectural"/>
      <sheetName val="#9475.00 PM TIME"/>
      <sheetName val="#9475.00 Misc"/>
      <sheetName val="#9475.00 DCI Group"/>
      <sheetName val="#9475.00 Christiansen Contr"/>
      <sheetName val="#9475.00 CW Suter"/>
      <sheetName val="RECAP #9476.00"/>
      <sheetName val="#9476.00 Funds Rec'd"/>
      <sheetName val="#9476.00 McGough Construction"/>
      <sheetName val="#9476.00 PM TIME"/>
      <sheetName val="#9476.00 Misc "/>
      <sheetName val="#9476.00 HGM Associates Inc"/>
      <sheetName val="RECAP #9480.00"/>
      <sheetName val="#9480.00 Funds Rec'd"/>
      <sheetName val="#9480.00 McGough Construction"/>
      <sheetName val="#9480.00 PM Time"/>
      <sheetName val="#9480.00 Misc"/>
      <sheetName val="#9480.00 Genesis Architectural"/>
      <sheetName val="#XXXX.XX Funds Recv'd Incorrect"/>
      <sheetName val="RECAP #XXXX.XX"/>
      <sheetName val="#XXXX.XX Funds Rec'd"/>
      <sheetName val="#XXXX.XX Vendor A "/>
      <sheetName val="#XXXX.XX PM TIME "/>
      <sheetName val="#XXXX.XX Misc "/>
      <sheetName val="#9279.40 ATC Group Services (5)"/>
    </sheetNames>
    <sheetDataSet>
      <sheetData sheetId="0">
        <row r="3">
          <cell r="D3">
            <v>54155847.569999993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2">
          <cell r="D22">
            <v>152949.82999999999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23">
          <cell r="D23">
            <v>696.29</v>
          </cell>
        </row>
      </sheetData>
      <sheetData sheetId="71"/>
      <sheetData sheetId="72"/>
      <sheetData sheetId="73"/>
      <sheetData sheetId="74">
        <row r="23">
          <cell r="D23">
            <v>40868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23">
          <cell r="D23">
            <v>10750</v>
          </cell>
          <cell r="F23">
            <v>10750</v>
          </cell>
          <cell r="H23">
            <v>0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9E48-8123-4147-AC0B-7CCCD598F337}">
  <sheetPr>
    <tabColor rgb="FFFF0000"/>
    <pageSetUpPr fitToPage="1"/>
  </sheetPr>
  <dimension ref="A1:K48"/>
  <sheetViews>
    <sheetView tabSelected="1" topLeftCell="A15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59.42578125" customWidth="1"/>
    <col min="4" max="4" width="14.42578125" customWidth="1"/>
    <col min="5" max="5" width="15.42578125" customWidth="1"/>
    <col min="6" max="6" width="14.42578125" bestFit="1" customWidth="1"/>
    <col min="7" max="7" width="15.5703125" bestFit="1" customWidth="1"/>
    <col min="8" max="8" width="14.5703125" customWidth="1"/>
    <col min="9" max="10" width="14.42578125" customWidth="1"/>
    <col min="11" max="11" width="14.5703125" customWidth="1"/>
    <col min="12" max="21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1" t="s">
        <v>16</v>
      </c>
      <c r="B1" s="41"/>
      <c r="C1" s="42" t="s">
        <v>3</v>
      </c>
      <c r="D1" s="4"/>
      <c r="E1" s="43" t="s">
        <v>3</v>
      </c>
      <c r="F1" s="43"/>
      <c r="G1" s="43"/>
      <c r="H1" s="3"/>
      <c r="I1" s="3"/>
      <c r="J1" s="44"/>
      <c r="K1" s="44"/>
    </row>
    <row r="2" spans="1:11" ht="54" customHeight="1" thickBot="1" x14ac:dyDescent="0.3">
      <c r="A2" s="45" t="s">
        <v>17</v>
      </c>
      <c r="B2" s="46" t="s">
        <v>15</v>
      </c>
      <c r="C2" s="47" t="s">
        <v>18</v>
      </c>
      <c r="D2" s="48" t="s">
        <v>19</v>
      </c>
      <c r="E2" s="48" t="s">
        <v>20</v>
      </c>
      <c r="F2" s="48" t="s">
        <v>21</v>
      </c>
      <c r="G2" s="48" t="s">
        <v>22</v>
      </c>
      <c r="H2" s="48" t="s">
        <v>23</v>
      </c>
      <c r="I2" s="48" t="s">
        <v>24</v>
      </c>
      <c r="J2" s="49" t="s">
        <v>25</v>
      </c>
      <c r="K2" s="49" t="s">
        <v>26</v>
      </c>
    </row>
    <row r="3" spans="1:11" x14ac:dyDescent="0.25">
      <c r="A3" s="50"/>
      <c r="B3" s="51"/>
      <c r="C3" s="52" t="s">
        <v>27</v>
      </c>
      <c r="D3" s="53">
        <f>F44</f>
        <v>22178934.559999999</v>
      </c>
      <c r="E3" s="7"/>
      <c r="F3" s="7"/>
      <c r="G3" s="7"/>
      <c r="H3" s="7"/>
      <c r="I3" s="3"/>
      <c r="J3" s="44"/>
      <c r="K3" s="44"/>
    </row>
    <row r="4" spans="1:11" x14ac:dyDescent="0.25">
      <c r="A4" s="50"/>
      <c r="B4" s="51"/>
      <c r="C4" s="52" t="s">
        <v>28</v>
      </c>
      <c r="D4" s="39"/>
      <c r="E4" s="7"/>
      <c r="F4" s="7"/>
      <c r="G4" s="7"/>
      <c r="H4" s="7"/>
      <c r="I4" s="3"/>
      <c r="J4" s="44"/>
      <c r="K4" s="44"/>
    </row>
    <row r="5" spans="1:11" x14ac:dyDescent="0.25">
      <c r="A5" s="50"/>
      <c r="B5" s="51"/>
      <c r="C5" s="52" t="s">
        <v>29</v>
      </c>
      <c r="D5" s="39"/>
      <c r="E5" s="54">
        <v>0</v>
      </c>
      <c r="F5" s="7"/>
      <c r="G5" s="7"/>
      <c r="H5" s="7"/>
      <c r="I5" s="3"/>
      <c r="J5" s="44"/>
      <c r="K5" s="44"/>
    </row>
    <row r="6" spans="1:11" ht="15.75" thickBot="1" x14ac:dyDescent="0.3">
      <c r="A6" s="50"/>
      <c r="B6" s="51"/>
      <c r="C6" s="52" t="s">
        <v>30</v>
      </c>
      <c r="D6" s="39"/>
      <c r="E6" s="55">
        <f>D3+D4-E5</f>
        <v>22178934.559999999</v>
      </c>
      <c r="F6" s="7"/>
      <c r="G6" s="7"/>
      <c r="H6" s="7"/>
      <c r="I6" s="3"/>
      <c r="J6" s="44"/>
      <c r="K6" s="44"/>
    </row>
    <row r="7" spans="1:11" ht="16.5" thickTop="1" thickBot="1" x14ac:dyDescent="0.3">
      <c r="A7" s="50"/>
      <c r="B7" s="51"/>
      <c r="C7" s="52" t="s">
        <v>31</v>
      </c>
      <c r="D7" s="39"/>
      <c r="E7" s="56">
        <f>H44</f>
        <v>3095610.9299999997</v>
      </c>
      <c r="F7" s="7"/>
      <c r="G7" s="7"/>
      <c r="H7" s="7"/>
      <c r="I7" s="3"/>
      <c r="J7" s="44"/>
      <c r="K7" s="44"/>
    </row>
    <row r="8" spans="1:11" ht="15.75" thickBot="1" x14ac:dyDescent="0.3">
      <c r="A8" s="50"/>
      <c r="B8" s="51"/>
      <c r="C8" s="52" t="s">
        <v>32</v>
      </c>
      <c r="D8" s="39"/>
      <c r="E8" s="57">
        <f>E6-E7</f>
        <v>19083323.629999999</v>
      </c>
      <c r="F8" s="7"/>
      <c r="G8" s="7"/>
      <c r="H8" s="7"/>
      <c r="I8" s="3"/>
      <c r="J8" s="44"/>
      <c r="K8" s="44"/>
    </row>
    <row r="9" spans="1:11" x14ac:dyDescent="0.25">
      <c r="A9" s="50"/>
      <c r="B9" s="51"/>
      <c r="C9" s="5"/>
      <c r="D9" s="39"/>
      <c r="E9" s="7"/>
      <c r="F9" s="7"/>
      <c r="G9" s="7"/>
      <c r="H9" s="7"/>
      <c r="I9" s="3"/>
      <c r="J9" s="44"/>
      <c r="K9" s="44"/>
    </row>
    <row r="10" spans="1:11" x14ac:dyDescent="0.25">
      <c r="A10" s="50"/>
      <c r="B10" s="51"/>
      <c r="C10" s="5"/>
      <c r="D10" s="39"/>
      <c r="E10" s="7"/>
      <c r="F10" s="7"/>
      <c r="G10" s="7"/>
      <c r="H10" s="7"/>
      <c r="I10" s="3"/>
      <c r="J10" s="44"/>
      <c r="K10" s="44"/>
    </row>
    <row r="11" spans="1:11" x14ac:dyDescent="0.25">
      <c r="A11" s="50"/>
      <c r="B11" s="51"/>
      <c r="C11" s="5"/>
      <c r="D11" s="39"/>
      <c r="E11" s="7"/>
      <c r="F11" s="7"/>
      <c r="G11" s="7"/>
      <c r="H11" s="7"/>
      <c r="I11" s="3"/>
      <c r="J11" s="44"/>
      <c r="K11" s="44"/>
    </row>
    <row r="12" spans="1:11" x14ac:dyDescent="0.25">
      <c r="A12" s="58"/>
      <c r="B12" s="59"/>
      <c r="C12" s="60" t="s">
        <v>61</v>
      </c>
      <c r="D12" s="61"/>
      <c r="E12" s="62"/>
      <c r="F12" s="62"/>
      <c r="G12" s="62"/>
      <c r="H12" s="62"/>
      <c r="I12" s="62"/>
      <c r="J12" s="63"/>
      <c r="K12" s="63"/>
    </row>
    <row r="13" spans="1:11" ht="23.25" x14ac:dyDescent="0.25">
      <c r="A13" s="64"/>
      <c r="B13" s="65"/>
      <c r="C13" s="66"/>
      <c r="D13" s="67"/>
      <c r="E13" s="68" t="s">
        <v>33</v>
      </c>
      <c r="F13" s="69" t="s">
        <v>34</v>
      </c>
      <c r="G13" s="69" t="s">
        <v>35</v>
      </c>
      <c r="H13" s="69" t="s">
        <v>34</v>
      </c>
      <c r="I13" s="69" t="s">
        <v>34</v>
      </c>
      <c r="J13" s="69" t="s">
        <v>34</v>
      </c>
      <c r="K13" s="69" t="s">
        <v>34</v>
      </c>
    </row>
    <row r="14" spans="1:11" s="365" customFormat="1" ht="12.75" customHeight="1" x14ac:dyDescent="0.25">
      <c r="A14" s="359"/>
      <c r="B14" s="360" t="s">
        <v>294</v>
      </c>
      <c r="C14" s="361" t="s">
        <v>295</v>
      </c>
      <c r="D14" s="362" t="s">
        <v>73</v>
      </c>
      <c r="E14" s="363">
        <v>0</v>
      </c>
      <c r="F14" s="364">
        <f>'RECAP #9279.50'!C15</f>
        <v>14275000</v>
      </c>
      <c r="G14" s="364">
        <f>E14+E14</f>
        <v>0</v>
      </c>
      <c r="H14" s="364">
        <f>'RECAP #9279.50'!D15</f>
        <v>776394.59</v>
      </c>
      <c r="I14" s="364">
        <f>'RECAP #9279.50'!E15</f>
        <v>264.69</v>
      </c>
      <c r="J14" s="364">
        <f>'RECAP #9279.50'!F15</f>
        <v>776129.9</v>
      </c>
      <c r="K14" s="364">
        <f>'RECAP #9279.50'!G15</f>
        <v>13498605.41</v>
      </c>
    </row>
    <row r="15" spans="1:11" s="365" customFormat="1" ht="12.75" customHeight="1" x14ac:dyDescent="0.25">
      <c r="A15" s="359"/>
      <c r="B15" s="360" t="s">
        <v>176</v>
      </c>
      <c r="C15" s="361" t="s">
        <v>177</v>
      </c>
      <c r="D15" s="366" t="s">
        <v>109</v>
      </c>
      <c r="E15" s="363">
        <v>0</v>
      </c>
      <c r="F15" s="364">
        <f>'RECAP #9438.00'!C14</f>
        <v>15650</v>
      </c>
      <c r="G15" s="364">
        <f>E15+E16</f>
        <v>0</v>
      </c>
      <c r="H15" s="364">
        <f>'RECAP #9438.00'!D14</f>
        <v>15499.2</v>
      </c>
      <c r="I15" s="364">
        <f>'RECAP #9438.00'!E14</f>
        <v>182.45</v>
      </c>
      <c r="J15" s="364">
        <f>'RECAP #9438.00'!F14</f>
        <v>15316.75</v>
      </c>
      <c r="K15" s="364">
        <f>'RECAP #9438.00'!G14</f>
        <v>150.79999999999927</v>
      </c>
    </row>
    <row r="16" spans="1:11" s="365" customFormat="1" ht="12.75" customHeight="1" x14ac:dyDescent="0.25">
      <c r="A16" s="359"/>
      <c r="B16" s="360" t="s">
        <v>130</v>
      </c>
      <c r="C16" s="361" t="s">
        <v>131</v>
      </c>
      <c r="D16" s="366" t="s">
        <v>109</v>
      </c>
      <c r="E16" s="363">
        <v>0</v>
      </c>
      <c r="F16" s="364">
        <f>'RECAP #9471.00'!C14</f>
        <v>27500</v>
      </c>
      <c r="G16" s="364">
        <f>E16+F16</f>
        <v>27500</v>
      </c>
      <c r="H16" s="364">
        <f>'RECAP #9471.00'!D14</f>
        <v>24537</v>
      </c>
      <c r="I16" s="364">
        <f>'RECAP #9471.00'!E14</f>
        <v>13230.65</v>
      </c>
      <c r="J16" s="364">
        <f>'RECAP #9471.00'!F14</f>
        <v>11306.35</v>
      </c>
      <c r="K16" s="364">
        <f>'RECAP #9471.00'!G14</f>
        <v>2963</v>
      </c>
    </row>
    <row r="17" spans="1:11" s="365" customFormat="1" ht="12.75" customHeight="1" x14ac:dyDescent="0.25">
      <c r="A17" s="359"/>
      <c r="B17" s="360" t="s">
        <v>67</v>
      </c>
      <c r="C17" s="367" t="s">
        <v>135</v>
      </c>
      <c r="D17" s="362" t="s">
        <v>73</v>
      </c>
      <c r="E17" s="363">
        <v>0</v>
      </c>
      <c r="F17" s="364">
        <f>'RECAP #9480.01'!C19</f>
        <v>265000</v>
      </c>
      <c r="G17" s="364">
        <f>E17+F17</f>
        <v>265000</v>
      </c>
      <c r="H17" s="364">
        <f>'RECAP #9480.01'!D19</f>
        <v>244751.3</v>
      </c>
      <c r="I17" s="364">
        <f>'RECAP #9480.01'!E19</f>
        <v>208961.63999999998</v>
      </c>
      <c r="J17" s="364">
        <f>'RECAP #9480.01'!F19</f>
        <v>35789.660000000003</v>
      </c>
      <c r="K17" s="364">
        <f>'RECAP #9480.01'!G19</f>
        <v>20248.700000000012</v>
      </c>
    </row>
    <row r="18" spans="1:11" s="365" customFormat="1" ht="12.75" customHeight="1" x14ac:dyDescent="0.25">
      <c r="A18" s="359"/>
      <c r="B18" s="360" t="s">
        <v>75</v>
      </c>
      <c r="C18" s="367" t="s">
        <v>95</v>
      </c>
      <c r="D18" s="362" t="s">
        <v>76</v>
      </c>
      <c r="E18" s="363">
        <v>0</v>
      </c>
      <c r="F18" s="364">
        <f>'RECAP #9481.00'!C14</f>
        <v>1400000</v>
      </c>
      <c r="G18" s="364">
        <f>E18+F18</f>
        <v>1400000</v>
      </c>
      <c r="H18" s="364">
        <f>'RECAP #9481.00'!D14</f>
        <v>10783.75</v>
      </c>
      <c r="I18" s="364">
        <f>'RECAP #9481.00'!E14</f>
        <v>3435.24</v>
      </c>
      <c r="J18" s="364">
        <f>'RECAP #9481.00'!F14</f>
        <v>7348.51</v>
      </c>
      <c r="K18" s="364">
        <f>'RECAP #9481.00'!G14</f>
        <v>1389216.25</v>
      </c>
    </row>
    <row r="19" spans="1:11" s="365" customFormat="1" ht="12.75" customHeight="1" x14ac:dyDescent="0.25">
      <c r="A19" s="359"/>
      <c r="B19" s="360" t="s">
        <v>121</v>
      </c>
      <c r="C19" s="367" t="s">
        <v>122</v>
      </c>
      <c r="D19" s="362" t="s">
        <v>120</v>
      </c>
      <c r="E19" s="363">
        <v>0</v>
      </c>
      <c r="F19" s="364">
        <f>'RECAP #9482.00'!C16</f>
        <v>50000</v>
      </c>
      <c r="G19" s="364">
        <f>E19+F19</f>
        <v>50000</v>
      </c>
      <c r="H19" s="364">
        <f>'RECAP #9482.00'!D16</f>
        <v>48299.4</v>
      </c>
      <c r="I19" s="364">
        <f>'RECAP #9482.00'!E16</f>
        <v>24831.53</v>
      </c>
      <c r="J19" s="364">
        <f>'RECAP #9482.00'!F16</f>
        <v>23467.870000000003</v>
      </c>
      <c r="K19" s="364">
        <f>'RECAP #9482.00'!G16</f>
        <v>1700.5999999999985</v>
      </c>
    </row>
    <row r="20" spans="1:11" s="365" customFormat="1" ht="12.75" customHeight="1" x14ac:dyDescent="0.25">
      <c r="A20" s="368"/>
      <c r="B20" s="360" t="s">
        <v>81</v>
      </c>
      <c r="C20" s="367" t="s">
        <v>83</v>
      </c>
      <c r="D20" s="362" t="s">
        <v>86</v>
      </c>
      <c r="E20" s="363">
        <v>0</v>
      </c>
      <c r="F20" s="364">
        <f>'RECAP #9486.00'!C16</f>
        <v>1000000</v>
      </c>
      <c r="G20" s="364">
        <f t="shared" ref="G20" si="0">E20+F20</f>
        <v>1000000</v>
      </c>
      <c r="H20" s="364">
        <f>'RECAP #9486.00'!D16</f>
        <v>959441.86</v>
      </c>
      <c r="I20" s="364">
        <f>'RECAP #9486.00'!E16</f>
        <v>535399.19999999995</v>
      </c>
      <c r="J20" s="364">
        <f>'RECAP #9486.00'!F16</f>
        <v>424042.66000000003</v>
      </c>
      <c r="K20" s="364">
        <f>'RECAP #9486.00'!G16</f>
        <v>40558.140000000014</v>
      </c>
    </row>
    <row r="21" spans="1:11" s="365" customFormat="1" ht="12.75" customHeight="1" x14ac:dyDescent="0.25">
      <c r="A21" s="359"/>
      <c r="B21" s="360" t="s">
        <v>82</v>
      </c>
      <c r="C21" s="367" t="s">
        <v>85</v>
      </c>
      <c r="D21" s="366" t="s">
        <v>86</v>
      </c>
      <c r="E21" s="363">
        <v>0</v>
      </c>
      <c r="F21" s="364">
        <f>'RECAP #9487.00'!C16</f>
        <v>500000</v>
      </c>
      <c r="G21" s="364">
        <f t="shared" ref="G21:G27" si="1">E21+F21</f>
        <v>500000</v>
      </c>
      <c r="H21" s="364">
        <f>'RECAP #9487.00'!D16</f>
        <v>66780.179999999993</v>
      </c>
      <c r="I21" s="364">
        <f>'RECAP #9487.00'!E16</f>
        <v>28709.25</v>
      </c>
      <c r="J21" s="364">
        <f>'RECAP #9487.00'!F16</f>
        <v>38070.929999999993</v>
      </c>
      <c r="K21" s="364">
        <f>'RECAP #9487.00'!G16</f>
        <v>433219.82</v>
      </c>
    </row>
    <row r="22" spans="1:11" s="365" customFormat="1" ht="12.75" customHeight="1" x14ac:dyDescent="0.25">
      <c r="A22" s="359"/>
      <c r="B22" s="360" t="s">
        <v>107</v>
      </c>
      <c r="C22" s="367" t="s">
        <v>108</v>
      </c>
      <c r="D22" s="366" t="s">
        <v>109</v>
      </c>
      <c r="E22" s="363">
        <v>0</v>
      </c>
      <c r="F22" s="364">
        <f>'RECAP #9488.00'!C15</f>
        <v>4163847</v>
      </c>
      <c r="G22" s="364">
        <f t="shared" si="1"/>
        <v>4163847</v>
      </c>
      <c r="H22" s="364">
        <f>'RECAP #9488.00'!D15</f>
        <v>633789.88</v>
      </c>
      <c r="I22" s="364">
        <f>'RECAP #9488.00'!E15</f>
        <v>118003.51</v>
      </c>
      <c r="J22" s="364">
        <f>'RECAP #9488.00'!F15</f>
        <v>515786.37</v>
      </c>
      <c r="K22" s="364">
        <f>'RECAP #9488.00'!G15</f>
        <v>3530057.12</v>
      </c>
    </row>
    <row r="23" spans="1:11" s="365" customFormat="1" ht="12.75" customHeight="1" x14ac:dyDescent="0.25">
      <c r="A23" s="359"/>
      <c r="B23" s="360" t="s">
        <v>119</v>
      </c>
      <c r="C23" s="367" t="s">
        <v>115</v>
      </c>
      <c r="D23" s="362" t="s">
        <v>120</v>
      </c>
      <c r="E23" s="363">
        <v>0</v>
      </c>
      <c r="F23" s="364">
        <f>'RECAP #9489.00'!C14</f>
        <v>50000</v>
      </c>
      <c r="G23" s="364">
        <f t="shared" si="1"/>
        <v>50000</v>
      </c>
      <c r="H23" s="364">
        <f>'RECAP #9489.00'!D14</f>
        <v>21402.42</v>
      </c>
      <c r="I23" s="364">
        <f>'RECAP #9489.00'!E14</f>
        <v>1350.47</v>
      </c>
      <c r="J23" s="364">
        <f>'RECAP #9489.00'!F14</f>
        <v>20051.949999999997</v>
      </c>
      <c r="K23" s="364">
        <f>'RECAP #9489.00'!G14</f>
        <v>28597.58</v>
      </c>
    </row>
    <row r="24" spans="1:11" s="365" customFormat="1" ht="12.75" customHeight="1" x14ac:dyDescent="0.25">
      <c r="A24" s="369" t="s">
        <v>331</v>
      </c>
      <c r="B24" s="360" t="s">
        <v>141</v>
      </c>
      <c r="C24" s="367" t="s">
        <v>172</v>
      </c>
      <c r="D24" s="366" t="s">
        <v>86</v>
      </c>
      <c r="E24" s="363">
        <v>0</v>
      </c>
      <c r="F24" s="364">
        <f>'RECAP #9490.00'!C14</f>
        <v>20787.560000000001</v>
      </c>
      <c r="G24" s="364">
        <f t="shared" si="1"/>
        <v>20787.560000000001</v>
      </c>
      <c r="H24" s="364">
        <f>'RECAP #9490.00'!D14</f>
        <v>20787.560000000001</v>
      </c>
      <c r="I24" s="364">
        <f>'RECAP #9490.00'!E14</f>
        <v>20787.560000000001</v>
      </c>
      <c r="J24" s="364">
        <f>'RECAP #9490.00'!F14</f>
        <v>0</v>
      </c>
      <c r="K24" s="364">
        <f>'RECAP #9490.00'!G14</f>
        <v>0</v>
      </c>
    </row>
    <row r="25" spans="1:11" s="365" customFormat="1" ht="12.75" customHeight="1" x14ac:dyDescent="0.25">
      <c r="A25" s="359"/>
      <c r="B25" s="360" t="s">
        <v>170</v>
      </c>
      <c r="C25" s="370" t="s">
        <v>171</v>
      </c>
      <c r="D25" s="364" t="s">
        <v>120</v>
      </c>
      <c r="E25" s="363">
        <v>0</v>
      </c>
      <c r="F25" s="364">
        <f>'RECAP #9492.00'!C15</f>
        <v>86150</v>
      </c>
      <c r="G25" s="364">
        <f t="shared" si="1"/>
        <v>86150</v>
      </c>
      <c r="H25" s="364">
        <f>'RECAP #9492.00'!D15</f>
        <v>80175.17</v>
      </c>
      <c r="I25" s="364">
        <f>'RECAP #9492.00'!E15</f>
        <v>15140.57</v>
      </c>
      <c r="J25" s="364">
        <f>'RECAP #9492.00'!F15</f>
        <v>65034.6</v>
      </c>
      <c r="K25" s="364">
        <f>'RECAP #9492.00'!G15</f>
        <v>5974.8300000000017</v>
      </c>
    </row>
    <row r="26" spans="1:11" s="365" customFormat="1" ht="12.75" customHeight="1" x14ac:dyDescent="0.25">
      <c r="A26" s="368"/>
      <c r="B26" s="371" t="s">
        <v>364</v>
      </c>
      <c r="C26" s="367" t="s">
        <v>365</v>
      </c>
      <c r="D26" s="362" t="s">
        <v>76</v>
      </c>
      <c r="E26" s="363">
        <v>0</v>
      </c>
      <c r="F26" s="364">
        <f>'RECAP #9515.00'!C14</f>
        <v>25000</v>
      </c>
      <c r="G26" s="364">
        <f t="shared" si="1"/>
        <v>25000</v>
      </c>
      <c r="H26" s="364">
        <f>'RECAP #9515.00'!D14</f>
        <v>2500</v>
      </c>
      <c r="I26" s="364">
        <f>'RECAP #9515.00'!E14</f>
        <v>762.48</v>
      </c>
      <c r="J26" s="364">
        <f>'RECAP #9515.00'!F14</f>
        <v>1737.52</v>
      </c>
      <c r="K26" s="364">
        <f>'RECAP #9515.00'!G14</f>
        <v>22500</v>
      </c>
    </row>
    <row r="27" spans="1:11" s="365" customFormat="1" ht="12.75" customHeight="1" x14ac:dyDescent="0.25">
      <c r="A27" s="368"/>
      <c r="B27" s="371" t="s">
        <v>383</v>
      </c>
      <c r="C27" s="370" t="s">
        <v>384</v>
      </c>
      <c r="D27" s="366" t="s">
        <v>86</v>
      </c>
      <c r="E27" s="363">
        <v>0</v>
      </c>
      <c r="F27" s="364">
        <f>'RECAP #9517.00'!C15</f>
        <v>300000</v>
      </c>
      <c r="G27" s="364">
        <f t="shared" si="1"/>
        <v>300000</v>
      </c>
      <c r="H27" s="364">
        <f>'RECAP #9517.00'!D15</f>
        <v>190468.62</v>
      </c>
      <c r="I27" s="364">
        <f>'RECAP #9517.00'!E15</f>
        <v>0</v>
      </c>
      <c r="J27" s="364">
        <f>'RECAP #9517.00'!F15</f>
        <v>190468.62</v>
      </c>
      <c r="K27" s="364">
        <f>'RECAP #9517.00'!G15</f>
        <v>109531.38</v>
      </c>
    </row>
    <row r="28" spans="1:11" s="365" customFormat="1" ht="12.75" customHeight="1" x14ac:dyDescent="0.25">
      <c r="A28" s="372"/>
      <c r="B28" s="70"/>
      <c r="C28" s="367"/>
      <c r="D28" s="71"/>
      <c r="E28" s="363"/>
      <c r="F28" s="364"/>
      <c r="G28" s="364"/>
      <c r="H28" s="364"/>
      <c r="I28" s="364"/>
      <c r="J28" s="364"/>
      <c r="K28" s="364"/>
    </row>
    <row r="29" spans="1:11" s="365" customFormat="1" ht="12.75" customHeight="1" x14ac:dyDescent="0.25">
      <c r="A29" s="71"/>
      <c r="B29" s="373"/>
      <c r="C29" s="367"/>
      <c r="D29" s="362"/>
      <c r="E29" s="363"/>
      <c r="F29" s="364"/>
      <c r="G29" s="364"/>
      <c r="H29" s="364"/>
      <c r="I29" s="364"/>
      <c r="J29" s="364"/>
      <c r="K29" s="364"/>
    </row>
    <row r="30" spans="1:11" s="365" customFormat="1" ht="12.75" customHeight="1" x14ac:dyDescent="0.25">
      <c r="A30" s="374"/>
      <c r="B30" s="373"/>
      <c r="C30" s="367"/>
      <c r="D30" s="362"/>
      <c r="E30" s="363"/>
      <c r="F30" s="364"/>
      <c r="G30" s="364"/>
      <c r="H30" s="364"/>
      <c r="I30" s="364"/>
      <c r="J30" s="364"/>
      <c r="K30" s="364"/>
    </row>
    <row r="31" spans="1:11" s="365" customFormat="1" ht="12.75" customHeight="1" x14ac:dyDescent="0.25">
      <c r="A31" s="375"/>
      <c r="B31" s="373"/>
      <c r="C31" s="367"/>
      <c r="D31" s="362"/>
      <c r="E31" s="363"/>
      <c r="F31" s="364"/>
      <c r="G31" s="364"/>
      <c r="H31" s="364"/>
      <c r="I31" s="364"/>
      <c r="J31" s="364"/>
      <c r="K31" s="364"/>
    </row>
    <row r="32" spans="1:11" s="365" customFormat="1" ht="12.75" customHeight="1" x14ac:dyDescent="0.25">
      <c r="A32" s="376"/>
      <c r="B32" s="360"/>
      <c r="C32" s="367"/>
      <c r="D32" s="366"/>
      <c r="E32" s="363"/>
      <c r="F32" s="364"/>
      <c r="G32" s="364"/>
      <c r="H32" s="364"/>
      <c r="I32" s="364"/>
      <c r="J32" s="364"/>
      <c r="K32" s="377"/>
    </row>
    <row r="33" spans="1:11" s="365" customFormat="1" ht="12.75" customHeight="1" x14ac:dyDescent="0.25">
      <c r="A33" s="375"/>
      <c r="B33" s="378"/>
      <c r="C33" s="379"/>
      <c r="D33" s="71"/>
      <c r="E33" s="363"/>
      <c r="F33" s="364"/>
      <c r="G33" s="364"/>
      <c r="H33" s="364"/>
      <c r="I33" s="364"/>
      <c r="J33" s="364"/>
      <c r="K33" s="364"/>
    </row>
    <row r="34" spans="1:11" s="365" customFormat="1" ht="12.75" customHeight="1" x14ac:dyDescent="0.25">
      <c r="A34" s="375"/>
      <c r="B34" s="378"/>
      <c r="C34" s="379"/>
      <c r="D34" s="71"/>
      <c r="E34" s="363"/>
      <c r="F34" s="364"/>
      <c r="G34" s="364"/>
      <c r="H34" s="364"/>
      <c r="I34" s="364"/>
      <c r="J34" s="364"/>
      <c r="K34" s="364"/>
    </row>
    <row r="35" spans="1:11" s="365" customFormat="1" ht="12.75" customHeight="1" x14ac:dyDescent="0.25">
      <c r="A35" s="375"/>
      <c r="B35" s="378"/>
      <c r="C35" s="379"/>
      <c r="D35" s="71"/>
      <c r="E35" s="363"/>
      <c r="F35" s="364"/>
      <c r="G35" s="364"/>
      <c r="H35" s="364"/>
      <c r="I35" s="364"/>
      <c r="J35" s="364"/>
      <c r="K35" s="364"/>
    </row>
    <row r="36" spans="1:11" s="365" customFormat="1" ht="12.75" customHeight="1" x14ac:dyDescent="0.25">
      <c r="A36" s="375"/>
      <c r="B36" s="378"/>
      <c r="C36" s="379"/>
      <c r="D36" s="71"/>
      <c r="E36" s="363"/>
      <c r="F36" s="364"/>
      <c r="G36" s="364"/>
      <c r="H36" s="364"/>
      <c r="I36" s="364"/>
      <c r="J36" s="364"/>
      <c r="K36" s="364"/>
    </row>
    <row r="37" spans="1:11" s="365" customFormat="1" ht="12.75" customHeight="1" x14ac:dyDescent="0.25">
      <c r="A37" s="375"/>
      <c r="B37" s="378"/>
      <c r="C37" s="379"/>
      <c r="D37" s="71"/>
      <c r="E37" s="363"/>
      <c r="F37" s="364"/>
      <c r="G37" s="364"/>
      <c r="H37" s="364"/>
      <c r="I37" s="364"/>
      <c r="J37" s="364"/>
      <c r="K37" s="364"/>
    </row>
    <row r="38" spans="1:11" s="365" customFormat="1" ht="12.75" customHeight="1" x14ac:dyDescent="0.25">
      <c r="A38" s="375"/>
      <c r="B38" s="378"/>
      <c r="C38" s="379"/>
      <c r="D38" s="71"/>
      <c r="E38" s="363"/>
      <c r="F38" s="364"/>
      <c r="G38" s="364"/>
      <c r="H38" s="364"/>
      <c r="I38" s="364"/>
      <c r="J38" s="364"/>
      <c r="K38" s="364"/>
    </row>
    <row r="39" spans="1:11" s="365" customFormat="1" ht="12.75" customHeight="1" x14ac:dyDescent="0.25">
      <c r="A39" s="375"/>
      <c r="B39" s="378"/>
      <c r="C39" s="379"/>
      <c r="D39" s="71"/>
      <c r="E39" s="363"/>
      <c r="F39" s="364"/>
      <c r="G39" s="364"/>
      <c r="H39" s="364"/>
      <c r="I39" s="364"/>
      <c r="J39" s="364"/>
      <c r="K39" s="364"/>
    </row>
    <row r="40" spans="1:11" s="365" customFormat="1" ht="12.75" customHeight="1" x14ac:dyDescent="0.25">
      <c r="A40" s="375"/>
      <c r="B40" s="378"/>
      <c r="C40" s="379"/>
      <c r="D40" s="71"/>
      <c r="E40" s="363"/>
      <c r="F40" s="364"/>
      <c r="G40" s="364"/>
      <c r="H40" s="364"/>
      <c r="I40" s="364"/>
      <c r="J40" s="364"/>
      <c r="K40" s="364"/>
    </row>
    <row r="41" spans="1:11" s="365" customFormat="1" ht="12.75" customHeight="1" x14ac:dyDescent="0.25">
      <c r="A41" s="375"/>
      <c r="B41" s="378"/>
      <c r="C41" s="379"/>
      <c r="D41" s="71"/>
      <c r="E41" s="363"/>
      <c r="F41" s="364"/>
      <c r="G41" s="364"/>
      <c r="H41" s="364"/>
      <c r="I41" s="364"/>
      <c r="J41" s="364"/>
      <c r="K41" s="364"/>
    </row>
    <row r="42" spans="1:11" s="365" customFormat="1" ht="12.75" customHeight="1" x14ac:dyDescent="0.25">
      <c r="A42" s="375"/>
      <c r="B42" s="378"/>
      <c r="C42" s="379"/>
      <c r="D42" s="71"/>
      <c r="E42" s="363"/>
      <c r="F42" s="364"/>
      <c r="G42" s="364"/>
      <c r="H42" s="364"/>
      <c r="I42" s="364"/>
      <c r="J42" s="364"/>
      <c r="K42" s="364"/>
    </row>
    <row r="43" spans="1:11" x14ac:dyDescent="0.25">
      <c r="A43" s="73"/>
      <c r="B43" s="75"/>
      <c r="C43" s="74"/>
      <c r="D43" s="72"/>
      <c r="E43" s="76"/>
      <c r="F43" s="77"/>
      <c r="G43" s="77"/>
      <c r="H43" s="77"/>
      <c r="I43" s="77"/>
      <c r="J43" s="78"/>
      <c r="K43" s="78"/>
    </row>
    <row r="44" spans="1:11" ht="15.75" thickBot="1" x14ac:dyDescent="0.3">
      <c r="A44" s="72"/>
      <c r="B44" s="79"/>
      <c r="C44" s="80" t="s">
        <v>62</v>
      </c>
      <c r="D44" s="81"/>
      <c r="E44" s="82">
        <f t="shared" ref="E44" si="2">SUM(E16:E43)</f>
        <v>0</v>
      </c>
      <c r="F44" s="82">
        <f>SUM(F14:F43)</f>
        <v>22178934.559999999</v>
      </c>
      <c r="G44" s="82">
        <f t="shared" ref="G44:K44" si="3">SUM(G14:G43)</f>
        <v>7888284.5599999996</v>
      </c>
      <c r="H44" s="82">
        <f t="shared" si="3"/>
        <v>3095610.9299999997</v>
      </c>
      <c r="I44" s="82">
        <f t="shared" si="3"/>
        <v>971059.23999999987</v>
      </c>
      <c r="J44" s="82">
        <f t="shared" si="3"/>
        <v>2124551.69</v>
      </c>
      <c r="K44" s="82">
        <f t="shared" si="3"/>
        <v>19083323.629999995</v>
      </c>
    </row>
    <row r="45" spans="1:11" ht="16.5" thickTop="1" thickBot="1" x14ac:dyDescent="0.3">
      <c r="A45" s="83"/>
      <c r="B45" s="84"/>
      <c r="C45" s="85"/>
      <c r="D45" s="86"/>
      <c r="E45" s="87"/>
      <c r="F45" s="87"/>
      <c r="G45" s="87"/>
      <c r="H45" s="87"/>
      <c r="I45" s="87"/>
      <c r="J45" s="88"/>
      <c r="K45" s="88"/>
    </row>
    <row r="46" spans="1:11" x14ac:dyDescent="0.25">
      <c r="A46" s="50"/>
      <c r="B46" s="89"/>
      <c r="C46" s="6"/>
      <c r="D46" s="39"/>
      <c r="E46" s="90"/>
      <c r="F46" s="90"/>
      <c r="G46" s="90"/>
      <c r="H46" s="90"/>
      <c r="I46" s="91"/>
      <c r="J46" s="92"/>
      <c r="K46" s="92"/>
    </row>
    <row r="47" spans="1:11" ht="15.75" thickBot="1" x14ac:dyDescent="0.3">
      <c r="A47" s="50"/>
      <c r="B47" s="93"/>
      <c r="C47" s="94" t="s">
        <v>3</v>
      </c>
      <c r="D47" s="40"/>
      <c r="E47" s="95"/>
      <c r="F47" s="95"/>
      <c r="G47" s="95"/>
      <c r="H47" s="95"/>
      <c r="I47" s="91"/>
      <c r="J47" s="92"/>
      <c r="K47" s="96">
        <f>J44+K44</f>
        <v>21207875.319999997</v>
      </c>
    </row>
    <row r="48" spans="1:11" ht="15.75" thickTop="1" x14ac:dyDescent="0.25">
      <c r="A48" s="50"/>
      <c r="B48" s="89"/>
      <c r="C48" s="8" t="s">
        <v>3</v>
      </c>
      <c r="D48" s="39"/>
      <c r="E48" s="5"/>
      <c r="F48" s="5"/>
      <c r="G48" s="5"/>
      <c r="H48" s="5"/>
      <c r="I48" s="3"/>
      <c r="J48" s="44"/>
      <c r="K48" s="44"/>
    </row>
  </sheetData>
  <pageMargins left="0.25" right="0.25" top="0.90666666666666662" bottom="0.75" header="0.3" footer="0.3"/>
  <pageSetup scale="67" orientation="landscape" r:id="rId1"/>
  <headerFooter alignWithMargins="0">
    <oddHeader>&amp;CDepartment of Administrative Services
MOU Project Improvements DA26
&amp;A
&amp;D</oddHeader>
    <oddFooter>&amp;LAcct Codes 0506-335-DA26
&amp;C&amp;Z&amp;[File&amp;R&amp;P/&amp;N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7224-B13C-4072-8A31-82CA299091D0}">
  <sheetPr>
    <pageSetUpPr fitToPage="1"/>
  </sheetPr>
  <dimension ref="A1:I28"/>
  <sheetViews>
    <sheetView zoomScaleNormal="100" workbookViewId="0">
      <selection activeCell="D16" sqref="D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6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#9438.00'!B1</f>
        <v>DOC FDCF Warehouse Loading Dock Ramp Repairs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#9438.00'!B2</f>
        <v>Project # 9438.00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#9438.00'!B3</f>
        <v>Program code 943800</v>
      </c>
      <c r="B3" s="100"/>
      <c r="C3" s="9"/>
      <c r="D3" s="103" t="str">
        <f>'RECAP #9438.00'!E3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227</v>
      </c>
      <c r="B4" s="155"/>
      <c r="C4" s="156"/>
      <c r="D4" s="157" t="s">
        <v>228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229</v>
      </c>
      <c r="E5" s="163"/>
      <c r="F5" s="164"/>
      <c r="G5" s="165"/>
      <c r="H5" s="160"/>
      <c r="I5" s="154"/>
    </row>
    <row r="6" spans="1:9" ht="15.75" x14ac:dyDescent="0.25">
      <c r="A6" s="108" t="str">
        <f>'RECAP #9438.00'!B6</f>
        <v>Project Manager - Jennie E.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230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231</v>
      </c>
      <c r="B9" s="381">
        <v>45923</v>
      </c>
      <c r="C9" s="388" t="s">
        <v>150</v>
      </c>
      <c r="D9" s="220">
        <v>14182.75</v>
      </c>
      <c r="E9" s="384">
        <f>D9</f>
        <v>14182.75</v>
      </c>
      <c r="F9" s="385"/>
      <c r="G9" s="385"/>
      <c r="H9" s="385">
        <f>E9</f>
        <v>14182.75</v>
      </c>
      <c r="I9" s="386"/>
    </row>
    <row r="10" spans="1:9" s="365" customFormat="1" ht="12.75" customHeight="1" x14ac:dyDescent="0.25">
      <c r="A10" s="454" t="s">
        <v>231</v>
      </c>
      <c r="B10" s="387">
        <v>45979</v>
      </c>
      <c r="C10" s="455" t="s">
        <v>339</v>
      </c>
      <c r="D10" s="220">
        <v>1134</v>
      </c>
      <c r="E10" s="384">
        <f t="shared" ref="E10:E21" si="0">E9+D10</f>
        <v>15316.75</v>
      </c>
      <c r="F10" s="390"/>
      <c r="G10" s="385">
        <f t="shared" ref="G10:G21" si="1">G9+F10</f>
        <v>0</v>
      </c>
      <c r="H10" s="385">
        <f t="shared" ref="H10:H21" si="2">H9-F10+D10</f>
        <v>15316.75</v>
      </c>
      <c r="I10" s="386"/>
    </row>
    <row r="11" spans="1:9" s="365" customFormat="1" ht="12.75" customHeight="1" x14ac:dyDescent="0.25">
      <c r="A11" s="454" t="s">
        <v>231</v>
      </c>
      <c r="B11" s="484">
        <v>46034</v>
      </c>
      <c r="C11" s="455" t="s">
        <v>424</v>
      </c>
      <c r="D11" s="220">
        <v>0</v>
      </c>
      <c r="E11" s="384">
        <f t="shared" si="0"/>
        <v>15316.75</v>
      </c>
      <c r="F11" s="390"/>
      <c r="G11" s="385">
        <f t="shared" si="1"/>
        <v>0</v>
      </c>
      <c r="H11" s="385">
        <f t="shared" si="2"/>
        <v>15316.75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15316.75</v>
      </c>
      <c r="F12" s="390"/>
      <c r="G12" s="385">
        <f t="shared" si="1"/>
        <v>0</v>
      </c>
      <c r="H12" s="385">
        <f t="shared" si="2"/>
        <v>15316.75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15316.75</v>
      </c>
      <c r="F13" s="390"/>
      <c r="G13" s="385">
        <f t="shared" si="1"/>
        <v>0</v>
      </c>
      <c r="H13" s="385">
        <f t="shared" si="2"/>
        <v>15316.75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15316.75</v>
      </c>
      <c r="F14" s="385"/>
      <c r="G14" s="385">
        <f t="shared" si="1"/>
        <v>0</v>
      </c>
      <c r="H14" s="385">
        <f t="shared" si="2"/>
        <v>15316.75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15316.75</v>
      </c>
      <c r="F15" s="390"/>
      <c r="G15" s="385">
        <f t="shared" si="1"/>
        <v>0</v>
      </c>
      <c r="H15" s="385">
        <f t="shared" si="2"/>
        <v>15316.75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15316.75</v>
      </c>
      <c r="F16" s="390"/>
      <c r="G16" s="385">
        <f t="shared" si="1"/>
        <v>0</v>
      </c>
      <c r="H16" s="385">
        <f t="shared" si="2"/>
        <v>15316.75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15316.75</v>
      </c>
      <c r="F17" s="390"/>
      <c r="G17" s="385">
        <f t="shared" si="1"/>
        <v>0</v>
      </c>
      <c r="H17" s="385">
        <f t="shared" si="2"/>
        <v>15316.75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15316.75</v>
      </c>
      <c r="F18" s="390"/>
      <c r="G18" s="385">
        <f t="shared" si="1"/>
        <v>0</v>
      </c>
      <c r="H18" s="385">
        <f t="shared" si="2"/>
        <v>15316.75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15316.75</v>
      </c>
      <c r="F19" s="385"/>
      <c r="G19" s="385">
        <f t="shared" si="1"/>
        <v>0</v>
      </c>
      <c r="H19" s="385">
        <f t="shared" si="2"/>
        <v>15316.75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15316.75</v>
      </c>
      <c r="F20" s="385"/>
      <c r="G20" s="385">
        <f t="shared" si="1"/>
        <v>0</v>
      </c>
      <c r="H20" s="385">
        <f t="shared" si="2"/>
        <v>15316.75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15316.75</v>
      </c>
      <c r="F21" s="385"/>
      <c r="G21" s="385">
        <f t="shared" si="1"/>
        <v>0</v>
      </c>
      <c r="H21" s="385">
        <f t="shared" si="2"/>
        <v>15316.75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15316.75</v>
      </c>
      <c r="E23" s="218"/>
      <c r="F23" s="218">
        <f>SUM(F9:F22)</f>
        <v>0</v>
      </c>
      <c r="G23" s="218"/>
      <c r="H23" s="218">
        <f>D23-F23</f>
        <v>15316.75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56" t="s">
        <v>162</v>
      </c>
      <c r="D26" s="385">
        <f>'[1]#9438.00 JasperConstruction '!$D$23</f>
        <v>48451.25</v>
      </c>
      <c r="E26" s="385"/>
      <c r="F26" s="385">
        <v>0</v>
      </c>
      <c r="G26" s="385"/>
      <c r="H26" s="385">
        <f>D26-F26</f>
        <v>48451.25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63768</v>
      </c>
      <c r="E27" s="457"/>
      <c r="F27" s="218">
        <f>SUM(F23:F26)</f>
        <v>0</v>
      </c>
      <c r="G27" s="457"/>
      <c r="H27" s="218">
        <f>SUM(H23:H26)</f>
        <v>63768</v>
      </c>
      <c r="I27" s="386"/>
    </row>
    <row r="28" spans="1:9" s="365" customFormat="1" ht="12.75" customHeight="1" thickTop="1" x14ac:dyDescent="0.25"/>
  </sheetData>
  <conditionalFormatting sqref="I9:I25">
    <cfRule type="cellIs" dxfId="23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3902-E051-4814-87CA-D5CCD21F1616}">
  <sheetPr>
    <pageSetUpPr fitToPage="1"/>
  </sheetPr>
  <dimension ref="A1:J80"/>
  <sheetViews>
    <sheetView zoomScaleNormal="100" workbookViewId="0">
      <selection activeCell="E29" sqref="E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6.28515625" bestFit="1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#9438.00'!B1</f>
        <v>DOC FDCF Warehouse Loading Dock Ramp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#9438.00'!B2</f>
        <v>Project # 9438.00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#9438.00'!B3</f>
        <v>Program code 943800</v>
      </c>
      <c r="B3" s="100"/>
      <c r="C3" s="100"/>
      <c r="D3" s="9"/>
      <c r="E3" s="103" t="str">
        <f>'RECAP #9438.00'!E3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#9438.00'!B6</f>
        <v>Project Manager - Jennie E.</v>
      </c>
      <c r="B6" s="106"/>
      <c r="C6" s="106"/>
      <c r="D6" s="166"/>
      <c r="E6" s="162" t="s">
        <v>181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/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81" t="s">
        <v>278</v>
      </c>
      <c r="D10" s="214" t="s">
        <v>426</v>
      </c>
      <c r="E10" s="384"/>
      <c r="F10" s="384">
        <f t="shared" ref="F10:F21" si="0">E10</f>
        <v>0</v>
      </c>
      <c r="G10" s="389">
        <v>32.85</v>
      </c>
      <c r="H10" s="385">
        <f t="shared" ref="H10:H21" si="1">H9+G10</f>
        <v>32.85</v>
      </c>
      <c r="I10" s="385">
        <f>I9-G10+E10</f>
        <v>-32.85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82">
        <v>9500</v>
      </c>
      <c r="D11" s="145" t="s">
        <v>427</v>
      </c>
      <c r="E11" s="384"/>
      <c r="F11" s="384">
        <f t="shared" si="0"/>
        <v>0</v>
      </c>
      <c r="G11" s="389">
        <v>371.8</v>
      </c>
      <c r="H11" s="385">
        <f t="shared" si="1"/>
        <v>404.65000000000003</v>
      </c>
      <c r="I11" s="385">
        <f t="shared" ref="I11:I21" si="2">I10-G11+E11</f>
        <v>-404.65000000000003</v>
      </c>
      <c r="J11" s="386"/>
    </row>
    <row r="12" spans="1:10" s="365" customFormat="1" ht="12.75" customHeight="1" x14ac:dyDescent="0.2">
      <c r="A12" s="396" t="s">
        <v>449</v>
      </c>
      <c r="B12" s="381">
        <v>46043</v>
      </c>
      <c r="C12" s="481" t="s">
        <v>278</v>
      </c>
      <c r="D12" s="392" t="s">
        <v>450</v>
      </c>
      <c r="E12" s="384"/>
      <c r="F12" s="384">
        <f t="shared" si="0"/>
        <v>0</v>
      </c>
      <c r="G12" s="444">
        <v>-32.85</v>
      </c>
      <c r="H12" s="385">
        <f t="shared" si="1"/>
        <v>371.8</v>
      </c>
      <c r="I12" s="385">
        <f t="shared" si="2"/>
        <v>-371.8</v>
      </c>
      <c r="J12" s="386"/>
    </row>
    <row r="13" spans="1:10" s="365" customFormat="1" ht="12.75" customHeight="1" x14ac:dyDescent="0.2">
      <c r="A13" s="396" t="s">
        <v>449</v>
      </c>
      <c r="B13" s="381">
        <v>46043</v>
      </c>
      <c r="C13" s="482">
        <v>9500</v>
      </c>
      <c r="D13" s="392" t="s">
        <v>450</v>
      </c>
      <c r="E13" s="384"/>
      <c r="F13" s="384">
        <f t="shared" si="0"/>
        <v>0</v>
      </c>
      <c r="G13" s="444">
        <v>-371.8</v>
      </c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035D-14EE-49EA-B5BD-54020D7AF553}">
  <sheetPr>
    <pageSetUpPr fitToPage="1"/>
  </sheetPr>
  <dimension ref="A1:H29"/>
  <sheetViews>
    <sheetView zoomScaleNormal="100" workbookViewId="0">
      <selection activeCell="A26" sqref="A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0.5703125" customWidth="1"/>
    <col min="6" max="6" width="15.2851562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'#9438.00 PM TIME'!A1</f>
        <v>DOC FDCF Warehouse Loading Dock Ramp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#9438.00'!B2</f>
        <v>Project # 9438.00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#9438.00'!B3</f>
        <v>Program code 943800</v>
      </c>
      <c r="B3" s="100"/>
      <c r="C3" s="100"/>
      <c r="D3" s="100"/>
      <c r="E3" s="103" t="str">
        <f>'RECAP #9438.00'!E3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#9438.00'!B6</f>
        <v>Project Manager - Jennie E.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 t="s">
        <v>380</v>
      </c>
      <c r="B9" s="381">
        <v>46006</v>
      </c>
      <c r="C9" s="437" t="s">
        <v>213</v>
      </c>
      <c r="D9" s="437" t="s">
        <v>379</v>
      </c>
      <c r="E9" s="432" t="s">
        <v>377</v>
      </c>
      <c r="F9" s="435" t="s">
        <v>378</v>
      </c>
      <c r="G9" s="389">
        <v>182.45</v>
      </c>
      <c r="H9" s="436">
        <f>G9</f>
        <v>182.45</v>
      </c>
    </row>
    <row r="10" spans="1:8" s="365" customFormat="1" ht="12.75" customHeight="1" x14ac:dyDescent="0.25">
      <c r="A10" s="434"/>
      <c r="B10" s="381"/>
      <c r="C10" s="437"/>
      <c r="D10" s="437"/>
      <c r="E10" s="432"/>
      <c r="F10" s="495"/>
      <c r="G10" s="444"/>
      <c r="H10" s="436">
        <f>H9+G10</f>
        <v>182.45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182.45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182.45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182.45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182.45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182.45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182.45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182.45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182.45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182.45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182.45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182.45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</sheetData>
  <pageMargins left="0.25" right="0.25" top="0.85" bottom="0.75" header="0.08" footer="0.3"/>
  <pageSetup scale="79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153F-3D98-4A4D-9661-71BE2CBF06D5}">
  <sheetPr>
    <pageSetUpPr fitToPage="1"/>
  </sheetPr>
  <dimension ref="A1:G15"/>
  <sheetViews>
    <sheetView zoomScaleNormal="100" workbookViewId="0">
      <selection activeCell="F21" sqref="F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132</v>
      </c>
      <c r="C1" s="99"/>
      <c r="D1" s="9"/>
      <c r="E1" s="9"/>
      <c r="F1" s="9"/>
      <c r="G1" s="9"/>
    </row>
    <row r="2" spans="1:7" ht="15.75" x14ac:dyDescent="0.25">
      <c r="A2" s="97"/>
      <c r="B2" s="101" t="s">
        <v>133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134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'#9471.00 Funds Rec''d '!H24</f>
        <v>27500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157</v>
      </c>
      <c r="C10" s="447"/>
      <c r="D10" s="450">
        <f>'#9471.00 MidState Plumbing'!D23</f>
        <v>24537</v>
      </c>
      <c r="E10" s="450">
        <f>'#9471.00 MidState Plumbing'!F23</f>
        <v>13230.65</v>
      </c>
      <c r="F10" s="450">
        <f>'#9471.00 MidState Plumbing'!H23</f>
        <v>11306.35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'#9471.00 PM TIME'!E23</f>
        <v>0</v>
      </c>
      <c r="E11" s="450">
        <f>'#9471.00 PM TIME'!G23</f>
        <v>0</v>
      </c>
      <c r="F11" s="450">
        <f>'#9471.00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'#9471.00 Misc'!G22</f>
        <v>0</v>
      </c>
      <c r="E12" s="438">
        <f>'#9471.00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27500</v>
      </c>
      <c r="D14" s="127">
        <f>SUM(D8:D13)</f>
        <v>24537</v>
      </c>
      <c r="E14" s="127">
        <f>SUM(E8:E13)</f>
        <v>13230.65</v>
      </c>
      <c r="F14" s="127">
        <f>SUM(D14-E14)</f>
        <v>11306.35</v>
      </c>
      <c r="G14" s="127">
        <f>C8-D14</f>
        <v>2963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6FE3-5B1D-4A0E-AD87-8CA91FB2A50D}">
  <sheetPr>
    <pageSetUpPr fitToPage="1"/>
  </sheetPr>
  <dimension ref="A1:H38"/>
  <sheetViews>
    <sheetView topLeftCell="A2" zoomScaleNormal="100" workbookViewId="0">
      <selection activeCell="M22" sqref="M21:M22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2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#9471.00'!B1</f>
        <v>DOC FDCF Bldg G Water Heater Replacement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#9471.00'!B2</f>
        <v>Project # 9471.00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#9471.00'!B3</f>
        <v>Program code 947100</v>
      </c>
      <c r="B3" s="10"/>
      <c r="C3" s="131" t="s">
        <v>3</v>
      </c>
      <c r="D3" s="133" t="str">
        <f>'RECAP #9471.00'!E3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#9471.00'!B6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430</v>
      </c>
      <c r="F9" s="399">
        <v>45881</v>
      </c>
      <c r="G9" s="453">
        <v>27500</v>
      </c>
      <c r="H9" s="453">
        <v>27500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27500</v>
      </c>
      <c r="H24" s="218">
        <f>SUM(H9:H22)</f>
        <v>27500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913D-B8FB-41C8-AED7-5E91057B5ECE}">
  <sheetPr>
    <pageSetUpPr fitToPage="1"/>
  </sheetPr>
  <dimension ref="A1:I36"/>
  <sheetViews>
    <sheetView zoomScaleNormal="100" workbookViewId="0">
      <selection activeCell="P22" sqref="P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9" max="9" width="13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#9471.00'!B1</f>
        <v>DOC FDCF Bldg G Water Heater Replacement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#9471.00'!B2</f>
        <v>Project # 9471.00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#9471.00'!B3</f>
        <v>Program code 947100</v>
      </c>
      <c r="B3" s="100"/>
      <c r="C3" s="9"/>
      <c r="D3" s="103" t="str">
        <f>'RECAP #9471.00'!E3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157</v>
      </c>
      <c r="B4" s="155"/>
      <c r="C4" s="156"/>
      <c r="D4" s="157" t="s">
        <v>158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159</v>
      </c>
      <c r="E5" s="163"/>
      <c r="F5" s="164"/>
      <c r="G5" s="165"/>
      <c r="H5" s="160"/>
      <c r="I5" s="154"/>
    </row>
    <row r="6" spans="1:9" ht="15.75" x14ac:dyDescent="0.25">
      <c r="A6" s="108" t="str">
        <f>'RECAP #9471.00'!B6</f>
        <v>Project Manager - Jennie E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163</v>
      </c>
      <c r="B9" s="381">
        <v>45883</v>
      </c>
      <c r="C9" s="388" t="s">
        <v>150</v>
      </c>
      <c r="D9" s="220">
        <v>24537</v>
      </c>
      <c r="E9" s="384">
        <f>D9</f>
        <v>24537</v>
      </c>
      <c r="F9" s="385"/>
      <c r="G9" s="385"/>
      <c r="H9" s="385">
        <f>E9</f>
        <v>24537</v>
      </c>
      <c r="I9" s="386"/>
    </row>
    <row r="10" spans="1:9" s="365" customFormat="1" ht="12.75" customHeight="1" x14ac:dyDescent="0.2">
      <c r="A10" s="500" t="s">
        <v>396</v>
      </c>
      <c r="B10" s="22">
        <v>46013</v>
      </c>
      <c r="C10" s="501" t="s">
        <v>403</v>
      </c>
      <c r="D10" s="384"/>
      <c r="E10" s="384">
        <f t="shared" ref="E10:E21" si="0">E9+D10</f>
        <v>24537</v>
      </c>
      <c r="F10" s="389">
        <v>1070.6500000000001</v>
      </c>
      <c r="G10" s="385">
        <f t="shared" ref="G10:G21" si="1">G9+F10</f>
        <v>1070.6500000000001</v>
      </c>
      <c r="H10" s="385">
        <f t="shared" ref="H10:H21" si="2">H9-F10+D10</f>
        <v>23466.35</v>
      </c>
      <c r="I10" s="497">
        <v>56.35</v>
      </c>
    </row>
    <row r="11" spans="1:9" s="365" customFormat="1" ht="12.75" customHeight="1" x14ac:dyDescent="0.2">
      <c r="A11" s="500" t="s">
        <v>406</v>
      </c>
      <c r="B11" s="484">
        <v>46020</v>
      </c>
      <c r="C11" s="455" t="s">
        <v>407</v>
      </c>
      <c r="D11" s="384"/>
      <c r="E11" s="384">
        <f t="shared" si="0"/>
        <v>24537</v>
      </c>
      <c r="F11" s="389">
        <v>7600</v>
      </c>
      <c r="G11" s="385">
        <f t="shared" si="1"/>
        <v>8670.65</v>
      </c>
      <c r="H11" s="385">
        <f t="shared" si="2"/>
        <v>15866.349999999999</v>
      </c>
      <c r="I11" s="497">
        <f>I10+400</f>
        <v>456.35</v>
      </c>
    </row>
    <row r="12" spans="1:9" s="365" customFormat="1" ht="12.75" customHeight="1" x14ac:dyDescent="0.2">
      <c r="A12" s="500" t="s">
        <v>416</v>
      </c>
      <c r="B12" s="230">
        <v>46031</v>
      </c>
      <c r="C12" s="501" t="s">
        <v>417</v>
      </c>
      <c r="D12" s="384"/>
      <c r="E12" s="384">
        <f t="shared" si="0"/>
        <v>24537</v>
      </c>
      <c r="F12" s="389">
        <v>0</v>
      </c>
      <c r="G12" s="385">
        <f t="shared" si="1"/>
        <v>8670.65</v>
      </c>
      <c r="H12" s="385">
        <f t="shared" si="2"/>
        <v>15866.349999999999</v>
      </c>
      <c r="I12" s="497">
        <f>456.35</f>
        <v>456.35</v>
      </c>
    </row>
    <row r="13" spans="1:9" s="365" customFormat="1" ht="12.75" customHeight="1" x14ac:dyDescent="0.2">
      <c r="A13" s="500" t="s">
        <v>473</v>
      </c>
      <c r="B13" s="484">
        <v>46052</v>
      </c>
      <c r="C13" s="455" t="s">
        <v>474</v>
      </c>
      <c r="D13" s="384"/>
      <c r="E13" s="384">
        <f t="shared" si="0"/>
        <v>24537</v>
      </c>
      <c r="F13" s="389">
        <v>4560</v>
      </c>
      <c r="G13" s="385">
        <f t="shared" si="1"/>
        <v>13230.65</v>
      </c>
      <c r="H13" s="385">
        <f t="shared" si="2"/>
        <v>11306.349999999999</v>
      </c>
      <c r="I13" s="497">
        <f>I12+240</f>
        <v>696.35</v>
      </c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24537</v>
      </c>
      <c r="F14" s="385"/>
      <c r="G14" s="385">
        <f t="shared" si="1"/>
        <v>13230.65</v>
      </c>
      <c r="H14" s="385">
        <f t="shared" si="2"/>
        <v>11306.349999999999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24537</v>
      </c>
      <c r="F15" s="390"/>
      <c r="G15" s="385">
        <f t="shared" si="1"/>
        <v>13230.65</v>
      </c>
      <c r="H15" s="385">
        <f t="shared" si="2"/>
        <v>11306.349999999999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24537</v>
      </c>
      <c r="F16" s="390"/>
      <c r="G16" s="385">
        <f t="shared" si="1"/>
        <v>13230.65</v>
      </c>
      <c r="H16" s="385">
        <f t="shared" si="2"/>
        <v>11306.349999999999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24537</v>
      </c>
      <c r="F17" s="390"/>
      <c r="G17" s="385">
        <f t="shared" si="1"/>
        <v>13230.65</v>
      </c>
      <c r="H17" s="385">
        <f t="shared" si="2"/>
        <v>11306.349999999999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24537</v>
      </c>
      <c r="F18" s="390"/>
      <c r="G18" s="385">
        <f t="shared" si="1"/>
        <v>13230.65</v>
      </c>
      <c r="H18" s="385">
        <f t="shared" si="2"/>
        <v>11306.349999999999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24537</v>
      </c>
      <c r="F19" s="385"/>
      <c r="G19" s="385">
        <f t="shared" si="1"/>
        <v>13230.65</v>
      </c>
      <c r="H19" s="385">
        <f t="shared" si="2"/>
        <v>11306.349999999999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24537</v>
      </c>
      <c r="F20" s="385"/>
      <c r="G20" s="385">
        <f t="shared" si="1"/>
        <v>13230.65</v>
      </c>
      <c r="H20" s="385">
        <f t="shared" si="2"/>
        <v>11306.349999999999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24537</v>
      </c>
      <c r="F21" s="385"/>
      <c r="G21" s="385">
        <f t="shared" si="1"/>
        <v>13230.65</v>
      </c>
      <c r="H21" s="385">
        <f t="shared" si="2"/>
        <v>11306.349999999999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24537</v>
      </c>
      <c r="E23" s="218"/>
      <c r="F23" s="218">
        <f>SUM(F10:F22)</f>
        <v>13230.65</v>
      </c>
      <c r="G23" s="218"/>
      <c r="H23" s="218">
        <f>D23-F23</f>
        <v>11306.35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162</v>
      </c>
      <c r="D26" s="385">
        <f>'[2]#9471.00 MidState Plumbing'!$D$23</f>
        <v>124741</v>
      </c>
      <c r="E26" s="385"/>
      <c r="F26" s="385">
        <f>'[2]#9471.00 MidState Plumbing'!$F$23</f>
        <v>56031.000000000007</v>
      </c>
      <c r="G26" s="385"/>
      <c r="H26" s="385">
        <f>'[2]#9471.00 MidState Plumbing'!$H$23</f>
        <v>68710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149278</v>
      </c>
      <c r="E27" s="219"/>
      <c r="F27" s="218">
        <f>SUM(F23:F26)</f>
        <v>69261.650000000009</v>
      </c>
      <c r="G27" s="219"/>
      <c r="H27" s="218">
        <f>SUM(H23:H26)</f>
        <v>80016.350000000006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</sheetData>
  <conditionalFormatting sqref="I9:I25">
    <cfRule type="cellIs" dxfId="22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2D0-22A9-4365-803D-4A551A6C4F94}">
  <sheetPr>
    <tabColor rgb="FF0070C0"/>
    <pageSetUpPr fitToPage="1"/>
  </sheetPr>
  <dimension ref="A1:J48"/>
  <sheetViews>
    <sheetView zoomScaleNormal="100" workbookViewId="0">
      <selection activeCell="B26" sqref="B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#9471.00'!B1</f>
        <v>DOC FDCF Bldg G Water Heater Replacement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#9471.00'!B2</f>
        <v>Project # 9471.00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#9471.00'!B3</f>
        <v>Program code 947100</v>
      </c>
      <c r="B3" s="100"/>
      <c r="C3" s="100"/>
      <c r="D3" s="9"/>
      <c r="E3" s="103" t="str">
        <f>'RECAP #9471.00'!E3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#9471.00'!B6</f>
        <v>Project Manager - Jennie E</v>
      </c>
      <c r="B6" s="106"/>
      <c r="C6" s="106"/>
      <c r="D6" s="166"/>
      <c r="E6" s="162" t="s">
        <v>142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SUM(E23*G23)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E37-2C6A-4366-8AE3-5D282F60632E}">
  <sheetPr>
    <tabColor indexed="30"/>
    <pageSetUpPr fitToPage="1"/>
  </sheetPr>
  <dimension ref="A1:H33"/>
  <sheetViews>
    <sheetView topLeftCell="A5" zoomScaleNormal="100" workbookViewId="0">
      <selection activeCell="H39" sqref="H3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'#9471.00 PM TIME'!A1</f>
        <v>DOC FDCF Bldg G Water Heater Replacement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#9471.00'!B2</f>
        <v>Project # 9471.00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#9471.00'!B3</f>
        <v>Program code 947100</v>
      </c>
      <c r="B3" s="100"/>
      <c r="C3" s="100"/>
      <c r="D3" s="100"/>
      <c r="E3" s="103" t="str">
        <f>'RECAP #9471.00'!E3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#9471.00'!B6</f>
        <v>Project Manager - Jennie E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1C58-35E3-4CAF-9A02-2BD0A4E894A0}">
  <sheetPr>
    <pageSetUpPr fitToPage="1"/>
  </sheetPr>
  <dimension ref="A1:G20"/>
  <sheetViews>
    <sheetView zoomScaleNormal="100" workbookViewId="0">
      <selection activeCell="B28" sqref="B28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68</v>
      </c>
      <c r="C1" s="99"/>
      <c r="D1" s="9"/>
      <c r="E1" s="9"/>
      <c r="F1" s="9"/>
      <c r="G1" s="9"/>
    </row>
    <row r="2" spans="1:7" ht="15.75" x14ac:dyDescent="0.25">
      <c r="A2" s="97"/>
      <c r="B2" s="101" t="s">
        <v>69</v>
      </c>
      <c r="C2" s="100"/>
      <c r="D2" s="9"/>
      <c r="E2" s="9"/>
      <c r="F2" s="9"/>
      <c r="G2" s="9"/>
    </row>
    <row r="3" spans="1:7" ht="15.75" x14ac:dyDescent="0.25">
      <c r="A3" s="97"/>
      <c r="B3" s="102" t="s">
        <v>70</v>
      </c>
      <c r="C3" s="100"/>
      <c r="D3" s="9"/>
      <c r="E3" s="103" t="s">
        <v>72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'#9480.01 Funds Rec''d '!H24</f>
        <v>265000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164</v>
      </c>
      <c r="C10" s="447"/>
      <c r="D10" s="450">
        <f>'#9480.01 TB Rigid Edge Exterior'!D23</f>
        <v>98835.19</v>
      </c>
      <c r="E10" s="450">
        <f>'#9480.01 TB Rigid Edge Exterior'!F23</f>
        <v>72339.73</v>
      </c>
      <c r="F10" s="450">
        <f>'#9480.01 TB Rigid Edge Exterior'!H23</f>
        <v>26495.460000000006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'#9480.01 PM TIME '!E23</f>
        <v>10000</v>
      </c>
      <c r="E11" s="450">
        <f>'#9480.01 PM TIME '!G23</f>
        <v>8105.88</v>
      </c>
      <c r="F11" s="450">
        <f>'#9480.01 PM TIME '!I23</f>
        <v>1894.12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'#9480.01 Misc '!G22</f>
        <v>0</v>
      </c>
      <c r="E12" s="438">
        <f>'#9480.01 Misc 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'#9480.01 Genesis Architectural'!D23</f>
        <v>16700</v>
      </c>
      <c r="E13" s="438">
        <f>'#9480.01 Genesis Architectural'!F23</f>
        <v>13950</v>
      </c>
      <c r="F13" s="450">
        <f>'#9480.01 Genesis Architectural'!H23</f>
        <v>2750</v>
      </c>
      <c r="G13" s="449"/>
    </row>
    <row r="14" spans="1:7" s="365" customFormat="1" ht="12.75" customHeight="1" x14ac:dyDescent="0.25">
      <c r="A14" s="445"/>
      <c r="B14" s="446" t="s">
        <v>145</v>
      </c>
      <c r="C14" s="448"/>
      <c r="D14" s="438">
        <f>'#9480.01 McGough Construction'!D23</f>
        <v>30122</v>
      </c>
      <c r="E14" s="438">
        <f>'#9480.01 McGough Construction'!F23</f>
        <v>26362.920000000002</v>
      </c>
      <c r="F14" s="450">
        <f>'#9480.01 McGough Construction'!H23</f>
        <v>3759.0799999999981</v>
      </c>
      <c r="G14" s="449"/>
    </row>
    <row r="15" spans="1:7" s="365" customFormat="1" ht="12.75" customHeight="1" x14ac:dyDescent="0.25">
      <c r="A15" s="445"/>
      <c r="B15" s="446" t="s">
        <v>246</v>
      </c>
      <c r="C15" s="448"/>
      <c r="D15" s="438">
        <f>'#9480.01 Hilsabeck Schacht'!D23</f>
        <v>29700</v>
      </c>
      <c r="E15" s="438">
        <f>'#9480.01 Hilsabeck Schacht'!F23</f>
        <v>28809</v>
      </c>
      <c r="F15" s="450">
        <f>'#9480.01 Hilsabeck Schacht'!H23</f>
        <v>891</v>
      </c>
      <c r="G15" s="449"/>
    </row>
    <row r="16" spans="1:7" s="365" customFormat="1" ht="12.75" customHeight="1" x14ac:dyDescent="0.25">
      <c r="A16" s="458" t="s">
        <v>331</v>
      </c>
      <c r="B16" s="446" t="s">
        <v>249</v>
      </c>
      <c r="C16" s="448"/>
      <c r="D16" s="438">
        <f>'#9480.01 MTS Contracting'!D23</f>
        <v>3518.1099999999997</v>
      </c>
      <c r="E16" s="438">
        <f>'#9480.01 MTS Contracting'!F23</f>
        <v>3518.11</v>
      </c>
      <c r="F16" s="450">
        <f>'#9480.01 MTS Contracting'!H23</f>
        <v>0</v>
      </c>
      <c r="G16" s="449"/>
    </row>
    <row r="17" spans="1:7" s="365" customFormat="1" ht="12.75" customHeight="1" x14ac:dyDescent="0.25">
      <c r="A17" s="458" t="s">
        <v>331</v>
      </c>
      <c r="B17" s="446" t="s">
        <v>260</v>
      </c>
      <c r="C17" s="448"/>
      <c r="D17" s="438">
        <f>'#9480.01 Kinzler Construction'!D23</f>
        <v>55876</v>
      </c>
      <c r="E17" s="438">
        <f>'#9480.01 Kinzler Construction'!F23</f>
        <v>55876</v>
      </c>
      <c r="F17" s="450">
        <f>'#9480.01 Kinzler Construction'!H23</f>
        <v>0</v>
      </c>
      <c r="G17" s="449"/>
    </row>
    <row r="18" spans="1:7" s="365" customFormat="1" ht="12.75" customHeight="1" x14ac:dyDescent="0.25">
      <c r="A18" s="451"/>
      <c r="B18" s="446"/>
      <c r="C18" s="448"/>
      <c r="D18" s="438"/>
      <c r="E18" s="438"/>
      <c r="F18" s="450"/>
      <c r="G18" s="452"/>
    </row>
    <row r="19" spans="1:7" ht="24" customHeight="1" thickBot="1" x14ac:dyDescent="0.3">
      <c r="A19" s="125"/>
      <c r="B19" s="126" t="s">
        <v>43</v>
      </c>
      <c r="C19" s="127">
        <f>SUM(C8:C18)</f>
        <v>265000</v>
      </c>
      <c r="D19" s="127">
        <f>SUM(D8:D18)</f>
        <v>244751.3</v>
      </c>
      <c r="E19" s="127">
        <f>SUM(E8:E18)</f>
        <v>208961.63999999998</v>
      </c>
      <c r="F19" s="127">
        <f>SUM(D19-E19)</f>
        <v>35789.660000000003</v>
      </c>
      <c r="G19" s="127">
        <f>C8-D19</f>
        <v>20248.700000000012</v>
      </c>
    </row>
    <row r="20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 0506-335-DA26&amp;C&amp;F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059-6302-403F-945D-F264D9302CD4}">
  <sheetPr>
    <pageSetUpPr fitToPage="1"/>
  </sheetPr>
  <dimension ref="A1:H25"/>
  <sheetViews>
    <sheetView zoomScaleNormal="100" workbookViewId="0">
      <selection activeCell="E28" sqref="E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#9480.01'!B1</f>
        <v>HHS STS Canteen Roof Repair Design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#9480.01'!B2</f>
        <v>Project # 9480.01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#9480.01'!B3</f>
        <v>Program code 948001</v>
      </c>
      <c r="B3" s="10"/>
      <c r="C3" s="131" t="s">
        <v>3</v>
      </c>
      <c r="D3" s="133" t="str">
        <f>'RECAP #9480.01'!E3</f>
        <v>Major Program 3D02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#9480.01'!B6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136</v>
      </c>
      <c r="F9" s="399">
        <v>45875</v>
      </c>
      <c r="G9" s="453">
        <v>230000</v>
      </c>
      <c r="H9" s="453">
        <v>230000</v>
      </c>
    </row>
    <row r="10" spans="1:8" s="365" customFormat="1" ht="12.75" customHeight="1" x14ac:dyDescent="0.25">
      <c r="A10" s="395"/>
      <c r="B10" s="395"/>
      <c r="C10" s="400"/>
      <c r="D10" s="398" t="s">
        <v>270</v>
      </c>
      <c r="E10" s="395" t="s">
        <v>269</v>
      </c>
      <c r="F10" s="395">
        <v>45932</v>
      </c>
      <c r="G10" s="499">
        <v>35000</v>
      </c>
      <c r="H10" s="499">
        <v>35000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265000</v>
      </c>
      <c r="H24" s="152">
        <f>SUM(H9:H23)</f>
        <v>265000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16C-08C3-4051-A64D-B69DF07936BC}">
  <sheetPr>
    <pageSetUpPr fitToPage="1"/>
  </sheetPr>
  <dimension ref="A1:G16"/>
  <sheetViews>
    <sheetView zoomScaleNormal="100" workbookViewId="0">
      <selection activeCell="F26" sqref="F2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295</v>
      </c>
      <c r="C1" s="99"/>
      <c r="D1" s="9"/>
      <c r="E1" s="9"/>
      <c r="F1" s="9"/>
      <c r="G1" s="9"/>
    </row>
    <row r="2" spans="1:7" ht="15.75" x14ac:dyDescent="0.25">
      <c r="A2" s="97"/>
      <c r="B2" s="101" t="s">
        <v>296</v>
      </c>
      <c r="C2" s="100"/>
      <c r="D2" s="9"/>
      <c r="E2" s="9"/>
      <c r="F2" s="9"/>
      <c r="G2" s="9"/>
    </row>
    <row r="3" spans="1:7" ht="15.75" x14ac:dyDescent="0.25">
      <c r="A3" s="97"/>
      <c r="B3" s="102" t="s">
        <v>297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'#9279.50 Funds Rec''d'!H24</f>
        <v>14275000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433</v>
      </c>
      <c r="C10" s="447"/>
      <c r="D10" s="450">
        <f>'#9279.50 Shive Hattery'!D23</f>
        <v>457993</v>
      </c>
      <c r="E10" s="450">
        <f>'#9279.50 Shive Hattery'!F23</f>
        <v>0</v>
      </c>
      <c r="F10" s="450">
        <f>'#9279.50 Shive Hattery'!H23</f>
        <v>457993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'#9279.50 PM TIME'!E23</f>
        <v>293189</v>
      </c>
      <c r="E11" s="450">
        <f>'#9279.50 PM TIME'!G23</f>
        <v>264.69</v>
      </c>
      <c r="F11" s="450">
        <f>'#9279.50 PM TIME'!I23</f>
        <v>292924.31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'#9279.50 Misc'!G22</f>
        <v>0</v>
      </c>
      <c r="E12" s="438">
        <f>'#9279.50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466</v>
      </c>
      <c r="C13" s="448"/>
      <c r="D13" s="438">
        <f>'#9279.50 StoryConstruction'!D23</f>
        <v>25212.59</v>
      </c>
      <c r="E13" s="438">
        <f>'#9279.50 StoryConstruction'!F23</f>
        <v>0</v>
      </c>
      <c r="F13" s="450">
        <f>'#9279.50 StoryConstruction'!H23</f>
        <v>25212.59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14275000</v>
      </c>
      <c r="D15" s="127">
        <f>SUM(D8:D14)</f>
        <v>776394.59</v>
      </c>
      <c r="E15" s="127">
        <f>SUM(E8:E14)</f>
        <v>264.69</v>
      </c>
      <c r="F15" s="127">
        <f>SUM(D15-E15)</f>
        <v>776129.9</v>
      </c>
      <c r="G15" s="127">
        <f>C8-D15</f>
        <v>13498605.41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FFE2-1524-49A5-B2FF-0C83BD48F746}">
  <sheetPr>
    <pageSetUpPr fitToPage="1"/>
  </sheetPr>
  <dimension ref="A1:I50"/>
  <sheetViews>
    <sheetView zoomScaleNormal="100" workbookViewId="0">
      <selection activeCell="F13" sqref="F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2.855468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164</v>
      </c>
      <c r="B4" s="155"/>
      <c r="C4" s="156"/>
      <c r="D4" s="157" t="s">
        <v>165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167</v>
      </c>
      <c r="B9" s="381">
        <v>45887</v>
      </c>
      <c r="C9" s="388" t="s">
        <v>168</v>
      </c>
      <c r="D9" s="220">
        <v>70820.240000000005</v>
      </c>
      <c r="E9" s="384">
        <f>D9</f>
        <v>70820.240000000005</v>
      </c>
      <c r="F9" s="385"/>
      <c r="G9" s="385"/>
      <c r="H9" s="385">
        <f>E9</f>
        <v>70820.240000000005</v>
      </c>
      <c r="I9" s="386"/>
    </row>
    <row r="10" spans="1:9" s="365" customFormat="1" ht="12.75" customHeight="1" x14ac:dyDescent="0.25">
      <c r="A10" s="380" t="s">
        <v>167</v>
      </c>
      <c r="B10" s="387">
        <v>45916</v>
      </c>
      <c r="C10" s="388" t="s">
        <v>216</v>
      </c>
      <c r="D10" s="220">
        <v>4076.18</v>
      </c>
      <c r="E10" s="384">
        <f t="shared" ref="E10:E21" si="0">E9+D10</f>
        <v>74896.42</v>
      </c>
      <c r="F10" s="390"/>
      <c r="G10" s="385">
        <f t="shared" ref="G10:G21" si="1">G9+F10</f>
        <v>0</v>
      </c>
      <c r="H10" s="385">
        <f t="shared" ref="H10:H21" si="2">H9-F10+D10</f>
        <v>74896.42</v>
      </c>
      <c r="I10" s="386"/>
    </row>
    <row r="11" spans="1:9" s="365" customFormat="1" ht="12.75" customHeight="1" x14ac:dyDescent="0.25">
      <c r="A11" s="380" t="s">
        <v>167</v>
      </c>
      <c r="B11" s="381">
        <v>45951</v>
      </c>
      <c r="C11" s="388" t="s">
        <v>291</v>
      </c>
      <c r="D11" s="220">
        <v>23398.77</v>
      </c>
      <c r="E11" s="384">
        <f t="shared" si="0"/>
        <v>98295.19</v>
      </c>
      <c r="F11" s="390"/>
      <c r="G11" s="385">
        <f t="shared" si="1"/>
        <v>0</v>
      </c>
      <c r="H11" s="385">
        <f t="shared" si="2"/>
        <v>98295.19</v>
      </c>
      <c r="I11" s="386"/>
    </row>
    <row r="12" spans="1:9" s="365" customFormat="1" ht="12.75" customHeight="1" x14ac:dyDescent="0.25">
      <c r="A12" s="380" t="s">
        <v>167</v>
      </c>
      <c r="B12" s="381">
        <v>46014</v>
      </c>
      <c r="C12" s="388" t="s">
        <v>401</v>
      </c>
      <c r="D12" s="220">
        <v>540</v>
      </c>
      <c r="E12" s="384">
        <f t="shared" si="0"/>
        <v>98835.19</v>
      </c>
      <c r="F12" s="390"/>
      <c r="G12" s="385">
        <f t="shared" si="1"/>
        <v>0</v>
      </c>
      <c r="H12" s="385">
        <f t="shared" si="2"/>
        <v>98835.19</v>
      </c>
      <c r="I12" s="386"/>
    </row>
    <row r="13" spans="1:9" s="365" customFormat="1" ht="12.75" customHeight="1" x14ac:dyDescent="0.25">
      <c r="A13" s="380" t="s">
        <v>446</v>
      </c>
      <c r="B13" s="381">
        <v>46043</v>
      </c>
      <c r="C13" s="388" t="s">
        <v>447</v>
      </c>
      <c r="D13" s="384"/>
      <c r="E13" s="384">
        <f t="shared" si="0"/>
        <v>98835.19</v>
      </c>
      <c r="F13" s="389">
        <v>72339.73</v>
      </c>
      <c r="G13" s="385">
        <f t="shared" si="1"/>
        <v>72339.73</v>
      </c>
      <c r="H13" s="385">
        <f t="shared" si="2"/>
        <v>26495.460000000006</v>
      </c>
      <c r="I13" s="508">
        <v>2237.3200000000002</v>
      </c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98835.19</v>
      </c>
      <c r="F14" s="385"/>
      <c r="G14" s="385">
        <f t="shared" si="1"/>
        <v>72339.73</v>
      </c>
      <c r="H14" s="385">
        <f t="shared" si="2"/>
        <v>26495.460000000006</v>
      </c>
      <c r="I14" s="508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98835.19</v>
      </c>
      <c r="F15" s="390"/>
      <c r="G15" s="385">
        <f t="shared" si="1"/>
        <v>72339.73</v>
      </c>
      <c r="H15" s="385">
        <f t="shared" si="2"/>
        <v>26495.460000000006</v>
      </c>
      <c r="I15" s="508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98835.19</v>
      </c>
      <c r="F16" s="390"/>
      <c r="G16" s="385">
        <f t="shared" si="1"/>
        <v>72339.73</v>
      </c>
      <c r="H16" s="385">
        <f t="shared" si="2"/>
        <v>26495.460000000006</v>
      </c>
      <c r="I16" s="508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98835.19</v>
      </c>
      <c r="F17" s="390"/>
      <c r="G17" s="385">
        <f t="shared" si="1"/>
        <v>72339.73</v>
      </c>
      <c r="H17" s="385">
        <f t="shared" si="2"/>
        <v>26495.460000000006</v>
      </c>
      <c r="I17" s="508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98835.19</v>
      </c>
      <c r="F18" s="390"/>
      <c r="G18" s="385">
        <f t="shared" si="1"/>
        <v>72339.73</v>
      </c>
      <c r="H18" s="385">
        <f t="shared" si="2"/>
        <v>26495.460000000006</v>
      </c>
      <c r="I18" s="508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98835.19</v>
      </c>
      <c r="F19" s="385"/>
      <c r="G19" s="385">
        <f t="shared" si="1"/>
        <v>72339.73</v>
      </c>
      <c r="H19" s="385">
        <f t="shared" si="2"/>
        <v>26495.460000000006</v>
      </c>
      <c r="I19" s="508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98835.19</v>
      </c>
      <c r="F20" s="385"/>
      <c r="G20" s="385">
        <f t="shared" si="1"/>
        <v>72339.73</v>
      </c>
      <c r="H20" s="385">
        <f t="shared" si="2"/>
        <v>26495.460000000006</v>
      </c>
      <c r="I20" s="508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98835.19</v>
      </c>
      <c r="F21" s="385"/>
      <c r="G21" s="385">
        <f t="shared" si="1"/>
        <v>72339.73</v>
      </c>
      <c r="H21" s="385">
        <f t="shared" si="2"/>
        <v>26495.460000000006</v>
      </c>
      <c r="I21" s="508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98835.19</v>
      </c>
      <c r="E23" s="218"/>
      <c r="F23" s="218">
        <f>SUM(F9:F22)</f>
        <v>72339.73</v>
      </c>
      <c r="G23" s="218"/>
      <c r="H23" s="218">
        <f>D23-F23</f>
        <v>26495.460000000006</v>
      </c>
      <c r="I23" s="497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>
      <c r="A27" s="466" t="s">
        <v>448</v>
      </c>
    </row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C425-2A7D-46FE-8172-BA80109B8A72}">
  <sheetPr>
    <pageSetUpPr fitToPage="1"/>
  </sheetPr>
  <dimension ref="A1:J29"/>
  <sheetViews>
    <sheetView zoomScaleNormal="100" workbookViewId="0">
      <selection activeCell="D30" sqref="D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8.28515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#9480.01'!B1</f>
        <v>HHS STS Canteen Roof Repair Design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#9480.01'!B2</f>
        <v>Project # 9480.01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#9480.01'!B3</f>
        <v>Program code 948001</v>
      </c>
      <c r="B3" s="100"/>
      <c r="C3" s="100"/>
      <c r="D3" s="9"/>
      <c r="E3" s="103" t="str">
        <f>'RECAP #9480.01'!E3</f>
        <v>Major Program 3D02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#9480.01'!B6</f>
        <v>Project Manager - Jennifer K.</v>
      </c>
      <c r="B6" s="106"/>
      <c r="C6" s="106"/>
      <c r="D6" s="166"/>
      <c r="E6" s="162" t="s">
        <v>74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4000+4000+2000</f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396" t="s">
        <v>223</v>
      </c>
      <c r="B10" s="381">
        <v>45918</v>
      </c>
      <c r="C10" s="488">
        <v>9500</v>
      </c>
      <c r="D10" s="392" t="s">
        <v>281</v>
      </c>
      <c r="E10" s="384"/>
      <c r="F10" s="384">
        <f t="shared" ref="F10:F21" si="0">F9+E10</f>
        <v>10000</v>
      </c>
      <c r="G10" s="389">
        <v>1355.98</v>
      </c>
      <c r="H10" s="385">
        <f t="shared" ref="H10:H21" si="1">H9+G10</f>
        <v>1355.98</v>
      </c>
      <c r="I10" s="385">
        <f t="shared" ref="I10:I21" si="2">I9-G10+E10</f>
        <v>8644.02</v>
      </c>
      <c r="J10" s="386"/>
    </row>
    <row r="11" spans="1:10" s="365" customFormat="1" ht="12.75" customHeight="1" x14ac:dyDescent="0.25">
      <c r="A11" s="483" t="s">
        <v>277</v>
      </c>
      <c r="B11" s="484">
        <v>45937</v>
      </c>
      <c r="C11" s="488" t="s">
        <v>278</v>
      </c>
      <c r="D11" s="486" t="s">
        <v>279</v>
      </c>
      <c r="E11" s="384"/>
      <c r="F11" s="384">
        <f t="shared" si="0"/>
        <v>10000</v>
      </c>
      <c r="G11" s="389">
        <v>527.07000000000005</v>
      </c>
      <c r="H11" s="385">
        <f t="shared" si="1"/>
        <v>1883.0500000000002</v>
      </c>
      <c r="I11" s="385">
        <f t="shared" si="2"/>
        <v>8116.9500000000007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>
        <v>9500</v>
      </c>
      <c r="D12" s="396" t="s">
        <v>280</v>
      </c>
      <c r="E12" s="384"/>
      <c r="F12" s="384">
        <f t="shared" si="0"/>
        <v>10000</v>
      </c>
      <c r="G12" s="389">
        <v>2712.3</v>
      </c>
      <c r="H12" s="385">
        <f t="shared" si="1"/>
        <v>4595.3500000000004</v>
      </c>
      <c r="I12" s="385">
        <f t="shared" si="2"/>
        <v>5404.6500000000005</v>
      </c>
      <c r="J12" s="386"/>
    </row>
    <row r="13" spans="1:10" s="365" customFormat="1" ht="12.75" customHeight="1" x14ac:dyDescent="0.25">
      <c r="A13" s="483" t="s">
        <v>326</v>
      </c>
      <c r="B13" s="484">
        <v>45968</v>
      </c>
      <c r="C13" s="488" t="s">
        <v>278</v>
      </c>
      <c r="D13" s="486" t="s">
        <v>329</v>
      </c>
      <c r="E13" s="384"/>
      <c r="F13" s="384">
        <f t="shared" si="0"/>
        <v>10000</v>
      </c>
      <c r="G13" s="389">
        <v>113.05</v>
      </c>
      <c r="H13" s="385">
        <f t="shared" si="1"/>
        <v>4708.4000000000005</v>
      </c>
      <c r="I13" s="385">
        <f t="shared" si="2"/>
        <v>5291.6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>
        <v>9500</v>
      </c>
      <c r="D14" s="396" t="s">
        <v>330</v>
      </c>
      <c r="E14" s="384"/>
      <c r="F14" s="384">
        <f t="shared" si="0"/>
        <v>10000</v>
      </c>
      <c r="G14" s="389">
        <v>1116.8</v>
      </c>
      <c r="H14" s="385">
        <f t="shared" si="1"/>
        <v>5825.2000000000007</v>
      </c>
      <c r="I14" s="385">
        <f t="shared" si="2"/>
        <v>4174.8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1" t="s">
        <v>278</v>
      </c>
      <c r="D15" s="214" t="s">
        <v>391</v>
      </c>
      <c r="E15" s="384"/>
      <c r="F15" s="384">
        <f t="shared" si="0"/>
        <v>10000</v>
      </c>
      <c r="G15" s="389">
        <v>187.5</v>
      </c>
      <c r="H15" s="385">
        <f t="shared" si="1"/>
        <v>6012.7000000000007</v>
      </c>
      <c r="I15" s="385">
        <f t="shared" si="2"/>
        <v>3987.3</v>
      </c>
      <c r="J15" s="386"/>
    </row>
    <row r="16" spans="1:10" s="365" customFormat="1" ht="12.75" customHeight="1" x14ac:dyDescent="0.2">
      <c r="A16" s="229" t="s">
        <v>390</v>
      </c>
      <c r="B16" s="230">
        <v>45996</v>
      </c>
      <c r="C16" s="482">
        <v>9500</v>
      </c>
      <c r="D16" s="145" t="s">
        <v>392</v>
      </c>
      <c r="E16" s="384"/>
      <c r="F16" s="384">
        <f t="shared" si="0"/>
        <v>10000</v>
      </c>
      <c r="G16" s="389">
        <v>1193.7</v>
      </c>
      <c r="H16" s="385">
        <f t="shared" si="1"/>
        <v>7206.4000000000005</v>
      </c>
      <c r="I16" s="385">
        <f t="shared" si="2"/>
        <v>2793.6000000000004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1" t="s">
        <v>278</v>
      </c>
      <c r="D17" s="214" t="s">
        <v>426</v>
      </c>
      <c r="E17" s="384"/>
      <c r="F17" s="384">
        <f t="shared" si="0"/>
        <v>10000</v>
      </c>
      <c r="G17" s="389">
        <v>72.78</v>
      </c>
      <c r="H17" s="385">
        <f t="shared" si="1"/>
        <v>7279.18</v>
      </c>
      <c r="I17" s="385">
        <f t="shared" si="2"/>
        <v>2720.82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2">
        <v>9500</v>
      </c>
      <c r="D18" s="145" t="s">
        <v>427</v>
      </c>
      <c r="E18" s="384"/>
      <c r="F18" s="384">
        <f t="shared" si="0"/>
        <v>10000</v>
      </c>
      <c r="G18" s="389">
        <v>826.7</v>
      </c>
      <c r="H18" s="385">
        <f t="shared" si="1"/>
        <v>8105.88</v>
      </c>
      <c r="I18" s="385">
        <f t="shared" si="2"/>
        <v>1894.1200000000001</v>
      </c>
      <c r="J18" s="386"/>
    </row>
    <row r="19" spans="1:10" s="365" customFormat="1" ht="12.75" customHeight="1" x14ac:dyDescent="0.25">
      <c r="A19" s="396"/>
      <c r="B19" s="381"/>
      <c r="C19" s="488"/>
      <c r="D19" s="392"/>
      <c r="E19" s="384"/>
      <c r="F19" s="384">
        <f t="shared" si="0"/>
        <v>10000</v>
      </c>
      <c r="G19" s="385"/>
      <c r="H19" s="385">
        <f t="shared" si="1"/>
        <v>8105.88</v>
      </c>
      <c r="I19" s="385">
        <f t="shared" si="2"/>
        <v>1894.1200000000001</v>
      </c>
      <c r="J19" s="386"/>
    </row>
    <row r="20" spans="1:10" s="365" customFormat="1" ht="12.75" customHeight="1" x14ac:dyDescent="0.25">
      <c r="A20" s="396"/>
      <c r="B20" s="381"/>
      <c r="C20" s="488"/>
      <c r="D20" s="392"/>
      <c r="E20" s="384"/>
      <c r="F20" s="384">
        <f t="shared" si="0"/>
        <v>10000</v>
      </c>
      <c r="G20" s="385"/>
      <c r="H20" s="385">
        <f t="shared" si="1"/>
        <v>8105.88</v>
      </c>
      <c r="I20" s="385">
        <f t="shared" si="2"/>
        <v>1894.1200000000001</v>
      </c>
      <c r="J20" s="386"/>
    </row>
    <row r="21" spans="1:10" s="365" customFormat="1" ht="12.75" customHeight="1" x14ac:dyDescent="0.25">
      <c r="A21" s="396"/>
      <c r="B21" s="381"/>
      <c r="C21" s="488"/>
      <c r="D21" s="432"/>
      <c r="E21" s="384"/>
      <c r="F21" s="384">
        <f t="shared" si="0"/>
        <v>10000</v>
      </c>
      <c r="G21" s="385"/>
      <c r="H21" s="385">
        <f t="shared" si="1"/>
        <v>8105.88</v>
      </c>
      <c r="I21" s="385">
        <f t="shared" si="2"/>
        <v>1894.1200000000001</v>
      </c>
      <c r="J21" s="386"/>
    </row>
    <row r="22" spans="1:10" s="365" customFormat="1" ht="12.75" customHeight="1" x14ac:dyDescent="0.25">
      <c r="A22" s="396"/>
      <c r="B22" s="388"/>
      <c r="C22" s="4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488"/>
      <c r="D23" s="394" t="s">
        <v>54</v>
      </c>
      <c r="E23" s="218">
        <f>SUM(E9:E22)</f>
        <v>10000</v>
      </c>
      <c r="F23" s="218"/>
      <c r="G23" s="218">
        <f>SUM(G9:G22)</f>
        <v>8105.88</v>
      </c>
      <c r="H23" s="218"/>
      <c r="I23" s="218">
        <f>E23-G23</f>
        <v>1894.12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7C1C-EE03-4F80-A8AE-68BD70C064F8}">
  <sheetPr>
    <tabColor rgb="FF0070C0"/>
    <pageSetUpPr fitToPage="1"/>
  </sheetPr>
  <dimension ref="A1:H34"/>
  <sheetViews>
    <sheetView topLeftCell="A6" zoomScaleNormal="100" workbookViewId="0">
      <selection activeCell="B38" sqref="B3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5" customWidth="1"/>
    <col min="6" max="6" width="14.855468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#9480.01'!B1</f>
        <v>HHS STS Canteen Roof Repair Design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#9480.01'!B2</f>
        <v>Project # 9480.01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#9480.01'!B3</f>
        <v>Program code 948001</v>
      </c>
      <c r="B3" s="100"/>
      <c r="C3" s="100"/>
      <c r="D3" s="100"/>
      <c r="E3" s="103" t="str">
        <f>'RECAP #9480.01'!E3</f>
        <v>Major Program 3D02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#9480.01'!B6</f>
        <v>Project Manager - Jennifer K.</v>
      </c>
      <c r="B6" s="106"/>
      <c r="C6" s="106"/>
      <c r="D6" s="106"/>
      <c r="E6" s="103" t="s">
        <v>169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ht="12.75" customHeight="1" x14ac:dyDescent="0.25">
      <c r="A9" s="184"/>
      <c r="B9" s="178"/>
      <c r="C9" s="189"/>
      <c r="D9" s="189"/>
      <c r="E9" s="163"/>
      <c r="F9" s="202"/>
      <c r="G9" s="216"/>
      <c r="H9" s="190">
        <f>G9</f>
        <v>0</v>
      </c>
    </row>
    <row r="10" spans="1:8" ht="12.75" customHeight="1" x14ac:dyDescent="0.25">
      <c r="A10" s="184"/>
      <c r="B10" s="178"/>
      <c r="C10" s="189"/>
      <c r="D10" s="185"/>
      <c r="E10" s="163"/>
      <c r="F10" s="217"/>
      <c r="G10" s="216"/>
      <c r="H10" s="190">
        <f>H9+G10</f>
        <v>0</v>
      </c>
    </row>
    <row r="11" spans="1:8" ht="12.75" customHeight="1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ht="12.75" customHeight="1" x14ac:dyDescent="0.25">
      <c r="A12" s="203"/>
      <c r="B12" s="178"/>
      <c r="C12" s="178"/>
      <c r="D12" s="178"/>
      <c r="E12" s="163"/>
      <c r="F12" s="123"/>
      <c r="G12" s="190"/>
      <c r="H12" s="190">
        <f t="shared" si="0"/>
        <v>0</v>
      </c>
    </row>
    <row r="13" spans="1:8" ht="12.75" customHeight="1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ht="12.75" customHeight="1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ht="12.75" customHeight="1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ht="12.75" customHeight="1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ht="12.75" customHeight="1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ht="12.75" customHeight="1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ht="12.75" customHeight="1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ht="12.75" customHeight="1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ht="12.75" customHeight="1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2.75" customHeight="1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2.75" customHeight="1" thickTop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B3AB-30EE-44A4-9625-E6ABC4DD2278}">
  <sheetPr>
    <pageSetUpPr fitToPage="1"/>
  </sheetPr>
  <dimension ref="A1:I29"/>
  <sheetViews>
    <sheetView zoomScaleNormal="100" workbookViewId="0">
      <selection activeCell="N31" sqref="N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6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191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189</v>
      </c>
      <c r="B9" s="381">
        <v>45891</v>
      </c>
      <c r="C9" s="382" t="s">
        <v>190</v>
      </c>
      <c r="D9" s="383">
        <v>16700</v>
      </c>
      <c r="E9" s="384">
        <f>D9</f>
        <v>16700</v>
      </c>
      <c r="F9" s="385"/>
      <c r="G9" s="385"/>
      <c r="H9" s="385">
        <f>E9</f>
        <v>16700</v>
      </c>
      <c r="I9" s="386"/>
    </row>
    <row r="10" spans="1:9" s="365" customFormat="1" ht="12.75" customHeight="1" x14ac:dyDescent="0.25">
      <c r="A10" s="380" t="s">
        <v>224</v>
      </c>
      <c r="B10" s="381">
        <v>45923</v>
      </c>
      <c r="C10" s="388" t="s">
        <v>225</v>
      </c>
      <c r="D10" s="384"/>
      <c r="E10" s="384">
        <f t="shared" ref="E10:E21" si="0">E9+D10</f>
        <v>16700</v>
      </c>
      <c r="F10" s="389">
        <v>7810</v>
      </c>
      <c r="G10" s="385">
        <f t="shared" ref="G10:G21" si="1">G9+F10</f>
        <v>7810</v>
      </c>
      <c r="H10" s="385">
        <f t="shared" ref="H10:H21" si="2">H9-F10+D10</f>
        <v>8890</v>
      </c>
      <c r="I10" s="386"/>
    </row>
    <row r="11" spans="1:9" s="365" customFormat="1" ht="12.75" customHeight="1" x14ac:dyDescent="0.25">
      <c r="A11" s="380" t="s">
        <v>189</v>
      </c>
      <c r="B11" s="381">
        <v>46006</v>
      </c>
      <c r="C11" s="388" t="s">
        <v>371</v>
      </c>
      <c r="D11" s="384"/>
      <c r="E11" s="384">
        <f t="shared" si="0"/>
        <v>16700</v>
      </c>
      <c r="F11" s="390"/>
      <c r="G11" s="385">
        <f t="shared" si="1"/>
        <v>7810</v>
      </c>
      <c r="H11" s="385">
        <f t="shared" si="2"/>
        <v>8890</v>
      </c>
      <c r="I11" s="386"/>
    </row>
    <row r="12" spans="1:9" s="365" customFormat="1" ht="12.75" customHeight="1" x14ac:dyDescent="0.25">
      <c r="A12" s="380" t="s">
        <v>372</v>
      </c>
      <c r="B12" s="381">
        <v>46006</v>
      </c>
      <c r="C12" s="388" t="s">
        <v>373</v>
      </c>
      <c r="D12" s="384"/>
      <c r="E12" s="384">
        <f t="shared" si="0"/>
        <v>16700</v>
      </c>
      <c r="F12" s="390"/>
      <c r="G12" s="385">
        <f t="shared" si="1"/>
        <v>7810</v>
      </c>
      <c r="H12" s="385">
        <f t="shared" si="2"/>
        <v>8890</v>
      </c>
      <c r="I12" s="386"/>
    </row>
    <row r="13" spans="1:9" s="365" customFormat="1" ht="12.75" customHeight="1" x14ac:dyDescent="0.25">
      <c r="A13" s="380" t="s">
        <v>374</v>
      </c>
      <c r="B13" s="381">
        <v>46006</v>
      </c>
      <c r="C13" s="388" t="s">
        <v>370</v>
      </c>
      <c r="D13" s="384"/>
      <c r="E13" s="384">
        <f t="shared" si="0"/>
        <v>16700</v>
      </c>
      <c r="F13" s="389">
        <v>6140</v>
      </c>
      <c r="G13" s="385">
        <f t="shared" si="1"/>
        <v>13950</v>
      </c>
      <c r="H13" s="385">
        <f t="shared" si="2"/>
        <v>2750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16700</v>
      </c>
      <c r="F14" s="385"/>
      <c r="G14" s="385">
        <f t="shared" si="1"/>
        <v>13950</v>
      </c>
      <c r="H14" s="385">
        <f t="shared" si="2"/>
        <v>2750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16700</v>
      </c>
      <c r="F15" s="390"/>
      <c r="G15" s="385">
        <f t="shared" si="1"/>
        <v>13950</v>
      </c>
      <c r="H15" s="385">
        <f t="shared" si="2"/>
        <v>2750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16700</v>
      </c>
      <c r="F16" s="390"/>
      <c r="G16" s="385">
        <f t="shared" si="1"/>
        <v>13950</v>
      </c>
      <c r="H16" s="385">
        <f t="shared" si="2"/>
        <v>2750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16700</v>
      </c>
      <c r="F17" s="390"/>
      <c r="G17" s="385">
        <f t="shared" si="1"/>
        <v>13950</v>
      </c>
      <c r="H17" s="385">
        <f t="shared" si="2"/>
        <v>2750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16700</v>
      </c>
      <c r="F18" s="390"/>
      <c r="G18" s="385">
        <f t="shared" si="1"/>
        <v>13950</v>
      </c>
      <c r="H18" s="385">
        <f t="shared" si="2"/>
        <v>2750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16700</v>
      </c>
      <c r="F19" s="385"/>
      <c r="G19" s="385">
        <f t="shared" si="1"/>
        <v>13950</v>
      </c>
      <c r="H19" s="385">
        <f t="shared" si="2"/>
        <v>2750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16700</v>
      </c>
      <c r="F20" s="385"/>
      <c r="G20" s="385">
        <f t="shared" si="1"/>
        <v>13950</v>
      </c>
      <c r="H20" s="385">
        <f t="shared" si="2"/>
        <v>2750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16700</v>
      </c>
      <c r="F21" s="385"/>
      <c r="G21" s="385">
        <f t="shared" si="1"/>
        <v>13950</v>
      </c>
      <c r="H21" s="385">
        <f t="shared" si="2"/>
        <v>2750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16700</v>
      </c>
      <c r="E23" s="218"/>
      <c r="F23" s="218">
        <f>SUM(F9:F22)</f>
        <v>13950</v>
      </c>
      <c r="G23" s="218"/>
      <c r="H23" s="218">
        <f>D23-F23</f>
        <v>2750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43" t="s">
        <v>226</v>
      </c>
      <c r="D26" s="385">
        <f>'[3]#9480.00 Genesis Architectural'!$D$23</f>
        <v>10750</v>
      </c>
      <c r="E26" s="385"/>
      <c r="F26" s="385">
        <f>'[3]#9480.00 Genesis Architectural'!$F$23</f>
        <v>10750</v>
      </c>
      <c r="G26" s="385"/>
      <c r="H26" s="385">
        <f>'[3]#9480.00 Genesis Architectural'!$H$23</f>
        <v>0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27450</v>
      </c>
      <c r="E27" s="219"/>
      <c r="F27" s="218">
        <f>SUM(F23:F26)</f>
        <v>24700</v>
      </c>
      <c r="G27" s="219"/>
      <c r="H27" s="218">
        <f>SUM(H23:H26)</f>
        <v>2750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</sheetData>
  <conditionalFormatting sqref="I9:I25">
    <cfRule type="cellIs" dxfId="21" priority="1" operator="greaterThan">
      <formula>$H$23</formula>
    </cfRule>
  </conditionalFormatting>
  <pageMargins left="0.25" right="0.25" top="0.85" bottom="0.75" header="0.08" footer="0.3"/>
  <pageSetup scale="70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CE42-B199-4683-86D7-5302796FE86C}">
  <sheetPr>
    <pageSetUpPr fitToPage="1"/>
  </sheetPr>
  <dimension ref="A1:I112"/>
  <sheetViews>
    <sheetView topLeftCell="A8" zoomScaleNormal="100" workbookViewId="0">
      <selection activeCell="F14" sqref="F1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194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195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196</v>
      </c>
      <c r="B9" s="381">
        <v>45909</v>
      </c>
      <c r="C9" s="382" t="s">
        <v>150</v>
      </c>
      <c r="D9" s="383">
        <v>30122</v>
      </c>
      <c r="E9" s="384">
        <f>D9</f>
        <v>30122</v>
      </c>
      <c r="F9" s="385"/>
      <c r="G9" s="385"/>
      <c r="H9" s="385">
        <f>E9</f>
        <v>30122</v>
      </c>
      <c r="I9" s="386"/>
    </row>
    <row r="10" spans="1:9" s="365" customFormat="1" ht="12.75" customHeight="1" x14ac:dyDescent="0.25">
      <c r="A10" s="380" t="s">
        <v>209</v>
      </c>
      <c r="B10" s="387">
        <v>45916</v>
      </c>
      <c r="C10" s="388" t="s">
        <v>210</v>
      </c>
      <c r="D10" s="384"/>
      <c r="E10" s="384">
        <f t="shared" ref="E10:E21" si="0">E9+D10</f>
        <v>30122</v>
      </c>
      <c r="F10" s="389">
        <v>2589.8000000000002</v>
      </c>
      <c r="G10" s="385">
        <f t="shared" ref="G10:G21" si="1">G9+F10</f>
        <v>2589.8000000000002</v>
      </c>
      <c r="H10" s="385">
        <f t="shared" ref="H10:H21" si="2">H9-F10+D10</f>
        <v>27532.2</v>
      </c>
      <c r="I10" s="386"/>
    </row>
    <row r="11" spans="1:9" s="365" customFormat="1" ht="12.75" customHeight="1" x14ac:dyDescent="0.25">
      <c r="A11" s="380" t="s">
        <v>286</v>
      </c>
      <c r="B11" s="381">
        <v>45946</v>
      </c>
      <c r="C11" s="388" t="s">
        <v>287</v>
      </c>
      <c r="D11" s="384"/>
      <c r="E11" s="384">
        <f t="shared" si="0"/>
        <v>30122</v>
      </c>
      <c r="F11" s="389">
        <v>9881.74</v>
      </c>
      <c r="G11" s="385">
        <f t="shared" si="1"/>
        <v>12471.54</v>
      </c>
      <c r="H11" s="385">
        <f t="shared" si="2"/>
        <v>17650.46</v>
      </c>
      <c r="I11" s="386"/>
    </row>
    <row r="12" spans="1:9" s="365" customFormat="1" ht="12.75" customHeight="1" x14ac:dyDescent="0.25">
      <c r="A12" s="380" t="s">
        <v>337</v>
      </c>
      <c r="B12" s="381">
        <v>45978</v>
      </c>
      <c r="C12" s="388" t="s">
        <v>338</v>
      </c>
      <c r="D12" s="384"/>
      <c r="E12" s="384">
        <f t="shared" si="0"/>
        <v>30122</v>
      </c>
      <c r="F12" s="389">
        <v>9467.15</v>
      </c>
      <c r="G12" s="385">
        <f t="shared" si="1"/>
        <v>21938.690000000002</v>
      </c>
      <c r="H12" s="385">
        <f t="shared" si="2"/>
        <v>8183.3099999999995</v>
      </c>
      <c r="I12" s="386"/>
    </row>
    <row r="13" spans="1:9" s="365" customFormat="1" ht="12.75" customHeight="1" x14ac:dyDescent="0.25">
      <c r="A13" s="380" t="s">
        <v>358</v>
      </c>
      <c r="B13" s="381">
        <v>46001</v>
      </c>
      <c r="C13" s="388" t="s">
        <v>359</v>
      </c>
      <c r="D13" s="384"/>
      <c r="E13" s="384">
        <f t="shared" si="0"/>
        <v>30122</v>
      </c>
      <c r="F13" s="389">
        <v>3417.43</v>
      </c>
      <c r="G13" s="385">
        <f t="shared" si="1"/>
        <v>25356.120000000003</v>
      </c>
      <c r="H13" s="385">
        <f t="shared" si="2"/>
        <v>4765.8799999999992</v>
      </c>
      <c r="I13" s="386"/>
    </row>
    <row r="14" spans="1:9" s="365" customFormat="1" ht="12.75" customHeight="1" x14ac:dyDescent="0.25">
      <c r="A14" s="380" t="s">
        <v>420</v>
      </c>
      <c r="B14" s="381">
        <v>46031</v>
      </c>
      <c r="C14" s="388" t="s">
        <v>421</v>
      </c>
      <c r="D14" s="384"/>
      <c r="E14" s="384">
        <f t="shared" si="0"/>
        <v>30122</v>
      </c>
      <c r="F14" s="389">
        <v>1006.8</v>
      </c>
      <c r="G14" s="385">
        <f t="shared" si="1"/>
        <v>26362.920000000002</v>
      </c>
      <c r="H14" s="385">
        <f t="shared" si="2"/>
        <v>3759.079999999999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30122</v>
      </c>
      <c r="F15" s="390"/>
      <c r="G15" s="385">
        <f t="shared" si="1"/>
        <v>26362.920000000002</v>
      </c>
      <c r="H15" s="385">
        <f t="shared" si="2"/>
        <v>3759.079999999999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30122</v>
      </c>
      <c r="F16" s="390"/>
      <c r="G16" s="385">
        <f t="shared" si="1"/>
        <v>26362.920000000002</v>
      </c>
      <c r="H16" s="385">
        <f t="shared" si="2"/>
        <v>3759.079999999999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30122</v>
      </c>
      <c r="F17" s="390"/>
      <c r="G17" s="385">
        <f t="shared" si="1"/>
        <v>26362.920000000002</v>
      </c>
      <c r="H17" s="385">
        <f t="shared" si="2"/>
        <v>3759.079999999999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30122</v>
      </c>
      <c r="F18" s="390"/>
      <c r="G18" s="385">
        <f t="shared" si="1"/>
        <v>26362.920000000002</v>
      </c>
      <c r="H18" s="385">
        <f t="shared" si="2"/>
        <v>3759.079999999999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30122</v>
      </c>
      <c r="F19" s="385"/>
      <c r="G19" s="385">
        <f t="shared" si="1"/>
        <v>26362.920000000002</v>
      </c>
      <c r="H19" s="385">
        <f t="shared" si="2"/>
        <v>3759.079999999999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30122</v>
      </c>
      <c r="F20" s="385"/>
      <c r="G20" s="385">
        <f t="shared" si="1"/>
        <v>26362.920000000002</v>
      </c>
      <c r="H20" s="385">
        <f t="shared" si="2"/>
        <v>3759.079999999999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30122</v>
      </c>
      <c r="F21" s="385"/>
      <c r="G21" s="385">
        <f t="shared" si="1"/>
        <v>26362.920000000002</v>
      </c>
      <c r="H21" s="385">
        <f t="shared" si="2"/>
        <v>3759.079999999999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30122</v>
      </c>
      <c r="E23" s="218"/>
      <c r="F23" s="218">
        <f>SUM(F9:F22)</f>
        <v>26362.920000000002</v>
      </c>
      <c r="G23" s="218"/>
      <c r="H23" s="218">
        <f>D23-F23</f>
        <v>3759.0799999999981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29082</v>
      </c>
      <c r="E26" s="427"/>
      <c r="F26" s="427">
        <f>2589.8+9641.74+8987.15+3257.43+1006.8</f>
        <v>25482.920000000002</v>
      </c>
      <c r="G26" s="427"/>
      <c r="H26" s="427">
        <f>D26-F26</f>
        <v>3599.0799999999981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1040</v>
      </c>
      <c r="E27" s="219"/>
      <c r="F27" s="427">
        <f>240+480+160</f>
        <v>880</v>
      </c>
      <c r="G27" s="219"/>
      <c r="H27" s="427">
        <f>D27-F27</f>
        <v>160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30122</v>
      </c>
      <c r="E28" s="390"/>
      <c r="F28" s="429">
        <f>SUM(F26:F27)</f>
        <v>26362.920000000002</v>
      </c>
      <c r="G28" s="390"/>
      <c r="H28" s="429">
        <f>SUM(H26:H27)</f>
        <v>3759.0799999999981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</sheetData>
  <conditionalFormatting sqref="I9:I25">
    <cfRule type="cellIs" dxfId="20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7C7-D42D-48A2-BCD8-709E67F0E5D6}">
  <sheetPr>
    <pageSetUpPr fitToPage="1"/>
  </sheetPr>
  <dimension ref="A1:I29"/>
  <sheetViews>
    <sheetView zoomScaleNormal="100" workbookViewId="0">
      <selection activeCell="C12" sqref="C1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246</v>
      </c>
      <c r="B4" s="155"/>
      <c r="C4" s="156"/>
      <c r="D4" s="157" t="s">
        <v>247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248</v>
      </c>
      <c r="B9" s="381">
        <v>45929</v>
      </c>
      <c r="C9" s="382" t="s">
        <v>150</v>
      </c>
      <c r="D9" s="383">
        <v>29700</v>
      </c>
      <c r="E9" s="384">
        <f>D9</f>
        <v>29700</v>
      </c>
      <c r="F9" s="385"/>
      <c r="G9" s="385"/>
      <c r="H9" s="385">
        <f>E9</f>
        <v>29700</v>
      </c>
      <c r="I9" s="386"/>
    </row>
    <row r="10" spans="1:9" s="365" customFormat="1" ht="12.75" customHeight="1" x14ac:dyDescent="0.25">
      <c r="A10" s="380" t="s">
        <v>299</v>
      </c>
      <c r="B10" s="387">
        <v>45965</v>
      </c>
      <c r="C10" s="388" t="s">
        <v>300</v>
      </c>
      <c r="D10" s="384"/>
      <c r="E10" s="384">
        <f t="shared" ref="E10:E21" si="0">E9+D10</f>
        <v>29700</v>
      </c>
      <c r="F10" s="389">
        <v>21940.43</v>
      </c>
      <c r="G10" s="385">
        <f t="shared" ref="G10:G21" si="1">G9+F10</f>
        <v>21940.43</v>
      </c>
      <c r="H10" s="385">
        <f t="shared" ref="H10:H21" si="2">H9-F10+D10</f>
        <v>7759.57</v>
      </c>
      <c r="I10" s="497">
        <f>678.57</f>
        <v>678.57</v>
      </c>
    </row>
    <row r="11" spans="1:9" s="365" customFormat="1" ht="12.75" customHeight="1" x14ac:dyDescent="0.25">
      <c r="A11" s="380" t="s">
        <v>352</v>
      </c>
      <c r="B11" s="381">
        <v>45994</v>
      </c>
      <c r="C11" s="388" t="s">
        <v>353</v>
      </c>
      <c r="D11" s="384"/>
      <c r="E11" s="384">
        <f t="shared" si="0"/>
        <v>29700</v>
      </c>
      <c r="F11" s="389">
        <v>5898.57</v>
      </c>
      <c r="G11" s="385">
        <f t="shared" si="1"/>
        <v>27839</v>
      </c>
      <c r="H11" s="385">
        <f t="shared" si="2"/>
        <v>1861</v>
      </c>
      <c r="I11" s="498">
        <f>I10+182.43</f>
        <v>861</v>
      </c>
    </row>
    <row r="12" spans="1:9" s="365" customFormat="1" ht="12.75" customHeight="1" x14ac:dyDescent="0.25">
      <c r="A12" s="380" t="s">
        <v>456</v>
      </c>
      <c r="B12" s="381">
        <v>46048</v>
      </c>
      <c r="C12" s="388" t="s">
        <v>457</v>
      </c>
      <c r="D12" s="384"/>
      <c r="E12" s="384">
        <f t="shared" si="0"/>
        <v>29700</v>
      </c>
      <c r="F12" s="390">
        <v>970</v>
      </c>
      <c r="G12" s="385">
        <f t="shared" si="1"/>
        <v>28809</v>
      </c>
      <c r="H12" s="385">
        <f t="shared" si="2"/>
        <v>891</v>
      </c>
      <c r="I12" s="498">
        <f>I11+30</f>
        <v>891</v>
      </c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29700</v>
      </c>
      <c r="F13" s="390"/>
      <c r="G13" s="385">
        <f t="shared" si="1"/>
        <v>28809</v>
      </c>
      <c r="H13" s="385">
        <f t="shared" si="2"/>
        <v>891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29700</v>
      </c>
      <c r="F14" s="385"/>
      <c r="G14" s="385">
        <f t="shared" si="1"/>
        <v>28809</v>
      </c>
      <c r="H14" s="385">
        <f t="shared" si="2"/>
        <v>891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29700</v>
      </c>
      <c r="F15" s="390"/>
      <c r="G15" s="385">
        <f t="shared" si="1"/>
        <v>28809</v>
      </c>
      <c r="H15" s="385">
        <f t="shared" si="2"/>
        <v>891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29700</v>
      </c>
      <c r="F16" s="390"/>
      <c r="G16" s="385">
        <f t="shared" si="1"/>
        <v>28809</v>
      </c>
      <c r="H16" s="385">
        <f t="shared" si="2"/>
        <v>891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29700</v>
      </c>
      <c r="F17" s="390"/>
      <c r="G17" s="385">
        <f t="shared" si="1"/>
        <v>28809</v>
      </c>
      <c r="H17" s="385">
        <f t="shared" si="2"/>
        <v>891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29700</v>
      </c>
      <c r="F18" s="390"/>
      <c r="G18" s="385">
        <f t="shared" si="1"/>
        <v>28809</v>
      </c>
      <c r="H18" s="385">
        <f t="shared" si="2"/>
        <v>891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29700</v>
      </c>
      <c r="F19" s="385"/>
      <c r="G19" s="385">
        <f t="shared" si="1"/>
        <v>28809</v>
      </c>
      <c r="H19" s="385">
        <f t="shared" si="2"/>
        <v>891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29700</v>
      </c>
      <c r="F20" s="385"/>
      <c r="G20" s="385">
        <f t="shared" si="1"/>
        <v>28809</v>
      </c>
      <c r="H20" s="385">
        <f t="shared" si="2"/>
        <v>891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29700</v>
      </c>
      <c r="F21" s="385"/>
      <c r="G21" s="385">
        <f t="shared" si="1"/>
        <v>28809</v>
      </c>
      <c r="H21" s="385">
        <f t="shared" si="2"/>
        <v>891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29700</v>
      </c>
      <c r="E23" s="218"/>
      <c r="F23" s="218">
        <f>SUM(F9:F22)</f>
        <v>28809</v>
      </c>
      <c r="G23" s="218"/>
      <c r="H23" s="218">
        <f>D23-F23</f>
        <v>891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</sheetData>
  <conditionalFormatting sqref="I9:I23">
    <cfRule type="cellIs" dxfId="19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E48C-8232-4A75-8E5B-D5849DD55AA7}">
  <sheetPr>
    <tabColor rgb="FF0070C0"/>
    <pageSetUpPr fitToPage="1"/>
  </sheetPr>
  <dimension ref="A1:I30"/>
  <sheetViews>
    <sheetView topLeftCell="A3" zoomScaleNormal="100" workbookViewId="0">
      <selection activeCell="N15" sqref="N15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234"/>
    </row>
    <row r="4" spans="1:9" ht="15.75" x14ac:dyDescent="0.25">
      <c r="A4" s="134" t="s">
        <v>249</v>
      </c>
      <c r="B4" s="155"/>
      <c r="C4" s="234"/>
      <c r="D4" s="239" t="s">
        <v>250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251</v>
      </c>
      <c r="E5" s="168"/>
      <c r="F5" s="243"/>
      <c r="G5" s="233"/>
      <c r="H5" s="234"/>
      <c r="I5" s="234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466" customFormat="1" ht="12.75" customHeight="1" x14ac:dyDescent="0.25">
      <c r="A9" s="459" t="s">
        <v>252</v>
      </c>
      <c r="B9" s="460">
        <v>45929</v>
      </c>
      <c r="C9" s="461" t="s">
        <v>150</v>
      </c>
      <c r="D9" s="462">
        <v>4907.4799999999996</v>
      </c>
      <c r="E9" s="463">
        <f>D9</f>
        <v>4907.4799999999996</v>
      </c>
      <c r="F9" s="464"/>
      <c r="G9" s="464"/>
      <c r="H9" s="464">
        <f>E9</f>
        <v>4907.4799999999996</v>
      </c>
      <c r="I9" s="465"/>
    </row>
    <row r="10" spans="1:9" s="466" customFormat="1" ht="12.75" customHeight="1" x14ac:dyDescent="0.25">
      <c r="A10" s="459" t="s">
        <v>388</v>
      </c>
      <c r="B10" s="467">
        <v>46007</v>
      </c>
      <c r="C10" s="468" t="s">
        <v>389</v>
      </c>
      <c r="D10" s="462">
        <v>-1389.37</v>
      </c>
      <c r="E10" s="463">
        <f t="shared" ref="E10:E21" si="0">E9+D10</f>
        <v>3518.1099999999997</v>
      </c>
      <c r="F10" s="469">
        <v>3518.11</v>
      </c>
      <c r="G10" s="464">
        <f t="shared" ref="G10:G21" si="1">G9+F10</f>
        <v>3518.11</v>
      </c>
      <c r="H10" s="464">
        <f t="shared" ref="H10:H21" si="2">H9-F10+D10</f>
        <v>0</v>
      </c>
      <c r="I10" s="465"/>
    </row>
    <row r="11" spans="1:9" s="466" customFormat="1" ht="12.75" customHeight="1" x14ac:dyDescent="0.25">
      <c r="A11" s="459"/>
      <c r="B11" s="460"/>
      <c r="C11" s="468"/>
      <c r="D11" s="463"/>
      <c r="E11" s="463">
        <f t="shared" si="0"/>
        <v>3518.1099999999997</v>
      </c>
      <c r="F11" s="469"/>
      <c r="G11" s="464">
        <f t="shared" si="1"/>
        <v>3518.11</v>
      </c>
      <c r="H11" s="464">
        <f t="shared" si="2"/>
        <v>0</v>
      </c>
      <c r="I11" s="465"/>
    </row>
    <row r="12" spans="1:9" s="466" customFormat="1" ht="12.75" customHeight="1" x14ac:dyDescent="0.25">
      <c r="A12" s="459"/>
      <c r="B12" s="460"/>
      <c r="C12" s="468"/>
      <c r="D12" s="463"/>
      <c r="E12" s="463">
        <f t="shared" si="0"/>
        <v>3518.1099999999997</v>
      </c>
      <c r="F12" s="469"/>
      <c r="G12" s="464">
        <f t="shared" si="1"/>
        <v>3518.11</v>
      </c>
      <c r="H12" s="464">
        <f t="shared" si="2"/>
        <v>0</v>
      </c>
      <c r="I12" s="465"/>
    </row>
    <row r="13" spans="1:9" s="466" customFormat="1" ht="12.75" customHeight="1" x14ac:dyDescent="0.25">
      <c r="A13" s="459"/>
      <c r="B13" s="460"/>
      <c r="C13" s="468"/>
      <c r="D13" s="463"/>
      <c r="E13" s="463">
        <f t="shared" si="0"/>
        <v>3518.1099999999997</v>
      </c>
      <c r="F13" s="469"/>
      <c r="G13" s="464">
        <f t="shared" si="1"/>
        <v>3518.11</v>
      </c>
      <c r="H13" s="464">
        <f t="shared" si="2"/>
        <v>0</v>
      </c>
      <c r="I13" s="465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3518.1099999999997</v>
      </c>
      <c r="F14" s="464"/>
      <c r="G14" s="464">
        <f t="shared" si="1"/>
        <v>3518.11</v>
      </c>
      <c r="H14" s="464">
        <f t="shared" si="2"/>
        <v>0</v>
      </c>
      <c r="I14" s="465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3518.1099999999997</v>
      </c>
      <c r="F15" s="469"/>
      <c r="G15" s="464">
        <f t="shared" si="1"/>
        <v>3518.11</v>
      </c>
      <c r="H15" s="464">
        <f t="shared" si="2"/>
        <v>0</v>
      </c>
      <c r="I15" s="465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3518.1099999999997</v>
      </c>
      <c r="F16" s="469"/>
      <c r="G16" s="464">
        <f t="shared" si="1"/>
        <v>3518.11</v>
      </c>
      <c r="H16" s="464">
        <f t="shared" si="2"/>
        <v>0</v>
      </c>
      <c r="I16" s="465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3518.1099999999997</v>
      </c>
      <c r="F17" s="469"/>
      <c r="G17" s="464">
        <f t="shared" si="1"/>
        <v>3518.11</v>
      </c>
      <c r="H17" s="464">
        <f t="shared" si="2"/>
        <v>0</v>
      </c>
      <c r="I17" s="465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3518.1099999999997</v>
      </c>
      <c r="F18" s="469"/>
      <c r="G18" s="464">
        <f t="shared" si="1"/>
        <v>3518.11</v>
      </c>
      <c r="H18" s="464">
        <f t="shared" si="2"/>
        <v>0</v>
      </c>
      <c r="I18" s="465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3518.1099999999997</v>
      </c>
      <c r="F19" s="464"/>
      <c r="G19" s="464">
        <f t="shared" si="1"/>
        <v>3518.11</v>
      </c>
      <c r="H19" s="464">
        <f t="shared" si="2"/>
        <v>0</v>
      </c>
      <c r="I19" s="465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3518.1099999999997</v>
      </c>
      <c r="F20" s="464"/>
      <c r="G20" s="464">
        <f t="shared" si="1"/>
        <v>3518.11</v>
      </c>
      <c r="H20" s="464">
        <f t="shared" si="2"/>
        <v>0</v>
      </c>
      <c r="I20" s="465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3518.1099999999997</v>
      </c>
      <c r="F21" s="464"/>
      <c r="G21" s="464">
        <f t="shared" si="1"/>
        <v>3518.11</v>
      </c>
      <c r="H21" s="464">
        <f t="shared" si="2"/>
        <v>0</v>
      </c>
      <c r="I21" s="465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3518.1099999999997</v>
      </c>
      <c r="E23" s="473"/>
      <c r="F23" s="473">
        <f>SUM(F9:F22)</f>
        <v>3518.11</v>
      </c>
      <c r="G23" s="473"/>
      <c r="H23" s="473">
        <f>D23-F23</f>
        <v>0</v>
      </c>
      <c r="I23" s="474" t="s">
        <v>347</v>
      </c>
    </row>
    <row r="24" spans="1:9" s="466" customFormat="1" ht="12.75" customHeight="1" thickTop="1" x14ac:dyDescent="0.25">
      <c r="A24" s="459"/>
      <c r="B24" s="468"/>
      <c r="C24" s="443"/>
      <c r="D24" s="464"/>
      <c r="E24" s="464"/>
      <c r="F24" s="464"/>
      <c r="G24" s="464"/>
      <c r="H24" s="464"/>
      <c r="I24" s="465"/>
    </row>
    <row r="25" spans="1:9" s="466" customFormat="1" ht="12.75" customHeight="1" x14ac:dyDescent="0.25">
      <c r="A25" s="459"/>
      <c r="B25" s="468"/>
      <c r="C25" s="443"/>
      <c r="D25" s="464"/>
      <c r="E25" s="464"/>
      <c r="F25" s="464"/>
      <c r="G25" s="464"/>
      <c r="H25" s="464"/>
      <c r="I25" s="465"/>
    </row>
    <row r="26" spans="1:9" s="466" customFormat="1" ht="12.75" customHeight="1" x14ac:dyDescent="0.25">
      <c r="A26" s="459"/>
      <c r="B26" s="468"/>
      <c r="C26" s="475" t="s">
        <v>253</v>
      </c>
      <c r="D26" s="476">
        <f>3097-1222.5</f>
        <v>1874.5</v>
      </c>
      <c r="E26" s="476"/>
      <c r="F26" s="476">
        <f>1874.5</f>
        <v>1874.5</v>
      </c>
      <c r="G26" s="476"/>
      <c r="H26" s="476">
        <f>D26-F26</f>
        <v>0</v>
      </c>
      <c r="I26" s="477"/>
    </row>
    <row r="27" spans="1:9" s="466" customFormat="1" ht="12.75" customHeight="1" x14ac:dyDescent="0.25">
      <c r="A27" s="459"/>
      <c r="B27" s="468"/>
      <c r="C27" s="475" t="s">
        <v>254</v>
      </c>
      <c r="D27" s="476">
        <f>1810.48-166.87</f>
        <v>1643.6100000000001</v>
      </c>
      <c r="E27" s="478"/>
      <c r="F27" s="476">
        <f>1643.61</f>
        <v>1643.61</v>
      </c>
      <c r="G27" s="478"/>
      <c r="H27" s="476">
        <f>D27-F27</f>
        <v>0</v>
      </c>
      <c r="I27" s="477"/>
    </row>
    <row r="28" spans="1:9" s="466" customFormat="1" ht="12.75" customHeight="1" thickBot="1" x14ac:dyDescent="0.3">
      <c r="A28" s="459"/>
      <c r="B28" s="468"/>
      <c r="C28" s="479" t="s">
        <v>161</v>
      </c>
      <c r="D28" s="480">
        <f>SUM(D26:D27)</f>
        <v>3518.11</v>
      </c>
      <c r="E28" s="469"/>
      <c r="F28" s="480">
        <f>SUM(F26:F27)</f>
        <v>3518.1099999999997</v>
      </c>
      <c r="G28" s="469"/>
      <c r="H28" s="480">
        <f>SUM(H26:H27)</f>
        <v>0</v>
      </c>
      <c r="I28" s="477"/>
    </row>
    <row r="29" spans="1:9" s="466" customFormat="1" ht="12.75" customHeight="1" thickTop="1" x14ac:dyDescent="0.25"/>
    <row r="30" spans="1:9" s="466" customFormat="1" ht="12.75" customHeight="1" x14ac:dyDescent="0.25"/>
  </sheetData>
  <conditionalFormatting sqref="I9:I22 I24:I25">
    <cfRule type="cellIs" dxfId="18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EA2-93DA-4324-B2A4-0B727BB6239D}">
  <sheetPr>
    <tabColor rgb="FF0070C0"/>
    <pageSetUpPr fitToPage="1"/>
  </sheetPr>
  <dimension ref="A1:I33"/>
  <sheetViews>
    <sheetView zoomScaleNormal="100" workbookViewId="0">
      <selection activeCell="A26" sqref="A26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9" width="13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507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507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507"/>
    </row>
    <row r="4" spans="1:9" ht="15.75" x14ac:dyDescent="0.25">
      <c r="A4" s="134" t="s">
        <v>260</v>
      </c>
      <c r="B4" s="155"/>
      <c r="C4" s="234"/>
      <c r="D4" s="239" t="s">
        <v>261</v>
      </c>
      <c r="E4" s="240"/>
      <c r="F4" s="233"/>
      <c r="G4" s="233"/>
      <c r="H4" s="234"/>
      <c r="I4" s="507"/>
    </row>
    <row r="5" spans="1:9" ht="15.75" x14ac:dyDescent="0.25">
      <c r="A5" s="241" t="s">
        <v>151</v>
      </c>
      <c r="B5" s="234"/>
      <c r="C5" s="242"/>
      <c r="D5" s="162" t="s">
        <v>166</v>
      </c>
      <c r="E5" s="168"/>
      <c r="F5" s="243"/>
      <c r="G5" s="233"/>
      <c r="H5" s="234"/>
      <c r="I5" s="507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507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507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358" t="s">
        <v>301</v>
      </c>
    </row>
    <row r="9" spans="1:9" s="466" customFormat="1" ht="12.75" customHeight="1" x14ac:dyDescent="0.25">
      <c r="A9" s="459" t="s">
        <v>262</v>
      </c>
      <c r="B9" s="460">
        <v>45930</v>
      </c>
      <c r="C9" s="461" t="s">
        <v>150</v>
      </c>
      <c r="D9" s="462">
        <v>57958</v>
      </c>
      <c r="E9" s="463">
        <f>D9</f>
        <v>57958</v>
      </c>
      <c r="F9" s="464"/>
      <c r="G9" s="464"/>
      <c r="H9" s="464">
        <f>E9</f>
        <v>57958</v>
      </c>
      <c r="I9" s="464"/>
    </row>
    <row r="10" spans="1:9" s="466" customFormat="1" ht="12.75" customHeight="1" x14ac:dyDescent="0.25">
      <c r="A10" s="459" t="s">
        <v>262</v>
      </c>
      <c r="B10" s="467">
        <v>45950</v>
      </c>
      <c r="C10" s="468" t="s">
        <v>216</v>
      </c>
      <c r="D10" s="462">
        <v>-2082</v>
      </c>
      <c r="E10" s="463">
        <f t="shared" ref="E10:E21" si="0">E9+D10</f>
        <v>55876</v>
      </c>
      <c r="F10" s="469"/>
      <c r="G10" s="464">
        <f t="shared" ref="G10:G21" si="1">G9+F10</f>
        <v>0</v>
      </c>
      <c r="H10" s="464">
        <f t="shared" ref="H10:H21" si="2">H9-F10+D10</f>
        <v>55876</v>
      </c>
      <c r="I10" s="464"/>
    </row>
    <row r="11" spans="1:9" s="466" customFormat="1" ht="12.75" customHeight="1" x14ac:dyDescent="0.25">
      <c r="A11" s="459" t="s">
        <v>342</v>
      </c>
      <c r="B11" s="460">
        <v>45985</v>
      </c>
      <c r="C11" s="468" t="s">
        <v>343</v>
      </c>
      <c r="D11" s="463"/>
      <c r="E11" s="463">
        <f t="shared" si="0"/>
        <v>55876</v>
      </c>
      <c r="F11" s="469">
        <v>53229.72</v>
      </c>
      <c r="G11" s="464">
        <f t="shared" si="1"/>
        <v>53229.72</v>
      </c>
      <c r="H11" s="464">
        <f t="shared" si="2"/>
        <v>2646.2799999999988</v>
      </c>
      <c r="I11" s="469">
        <v>1646.28</v>
      </c>
    </row>
    <row r="12" spans="1:9" s="466" customFormat="1" ht="12.75" customHeight="1" x14ac:dyDescent="0.25">
      <c r="A12" s="459" t="s">
        <v>354</v>
      </c>
      <c r="B12" s="460">
        <v>45995</v>
      </c>
      <c r="C12" s="468" t="s">
        <v>355</v>
      </c>
      <c r="D12" s="463"/>
      <c r="E12" s="463">
        <f t="shared" si="0"/>
        <v>55876</v>
      </c>
      <c r="F12" s="469">
        <v>970</v>
      </c>
      <c r="G12" s="464">
        <f t="shared" si="1"/>
        <v>54199.72</v>
      </c>
      <c r="H12" s="464">
        <f t="shared" si="2"/>
        <v>1676.2799999999988</v>
      </c>
      <c r="I12" s="469">
        <f>I11+30</f>
        <v>1676.28</v>
      </c>
    </row>
    <row r="13" spans="1:9" s="466" customFormat="1" ht="12.75" customHeight="1" x14ac:dyDescent="0.25">
      <c r="A13" s="459" t="s">
        <v>444</v>
      </c>
      <c r="B13" s="460">
        <v>46042</v>
      </c>
      <c r="C13" s="468" t="s">
        <v>445</v>
      </c>
      <c r="D13" s="463"/>
      <c r="E13" s="463">
        <f t="shared" si="0"/>
        <v>55876</v>
      </c>
      <c r="F13" s="469">
        <v>1676.28</v>
      </c>
      <c r="G13" s="464">
        <f t="shared" si="1"/>
        <v>55876</v>
      </c>
      <c r="H13" s="464">
        <f t="shared" si="2"/>
        <v>-1.1368683772161603E-12</v>
      </c>
      <c r="I13" s="464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55876</v>
      </c>
      <c r="F14" s="464"/>
      <c r="G14" s="464">
        <f t="shared" si="1"/>
        <v>55876</v>
      </c>
      <c r="H14" s="464">
        <f t="shared" si="2"/>
        <v>-1.1368683772161603E-12</v>
      </c>
      <c r="I14" s="464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55876</v>
      </c>
      <c r="F15" s="469"/>
      <c r="G15" s="464">
        <f t="shared" si="1"/>
        <v>55876</v>
      </c>
      <c r="H15" s="464">
        <f t="shared" si="2"/>
        <v>-1.1368683772161603E-12</v>
      </c>
      <c r="I15" s="464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55876</v>
      </c>
      <c r="F16" s="469"/>
      <c r="G16" s="464">
        <f t="shared" si="1"/>
        <v>55876</v>
      </c>
      <c r="H16" s="464">
        <f t="shared" si="2"/>
        <v>-1.1368683772161603E-12</v>
      </c>
      <c r="I16" s="464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55876</v>
      </c>
      <c r="F17" s="469"/>
      <c r="G17" s="464">
        <f t="shared" si="1"/>
        <v>55876</v>
      </c>
      <c r="H17" s="464">
        <f t="shared" si="2"/>
        <v>-1.1368683772161603E-12</v>
      </c>
      <c r="I17" s="464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55876</v>
      </c>
      <c r="F18" s="469"/>
      <c r="G18" s="464">
        <f t="shared" si="1"/>
        <v>55876</v>
      </c>
      <c r="H18" s="464">
        <f t="shared" si="2"/>
        <v>-1.1368683772161603E-12</v>
      </c>
      <c r="I18" s="464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55876</v>
      </c>
      <c r="F19" s="464"/>
      <c r="G19" s="464">
        <f t="shared" si="1"/>
        <v>55876</v>
      </c>
      <c r="H19" s="464">
        <f t="shared" si="2"/>
        <v>-1.1368683772161603E-12</v>
      </c>
      <c r="I19" s="464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55876</v>
      </c>
      <c r="F20" s="464"/>
      <c r="G20" s="464">
        <f t="shared" si="1"/>
        <v>55876</v>
      </c>
      <c r="H20" s="464">
        <f t="shared" si="2"/>
        <v>-1.1368683772161603E-12</v>
      </c>
      <c r="I20" s="464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55876</v>
      </c>
      <c r="F21" s="464"/>
      <c r="G21" s="464">
        <f t="shared" si="1"/>
        <v>55876</v>
      </c>
      <c r="H21" s="464">
        <f t="shared" si="2"/>
        <v>-1.1368683772161603E-12</v>
      </c>
      <c r="I21" s="464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4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55876</v>
      </c>
      <c r="E23" s="473"/>
      <c r="F23" s="473">
        <f>SUM(F9:F22)</f>
        <v>55876</v>
      </c>
      <c r="G23" s="473"/>
      <c r="H23" s="473">
        <f>D23-F23</f>
        <v>0</v>
      </c>
      <c r="I23" s="469" t="s">
        <v>347</v>
      </c>
    </row>
    <row r="24" spans="1:9" s="466" customFormat="1" ht="12.75" customHeight="1" thickTop="1" x14ac:dyDescent="0.25"/>
    <row r="25" spans="1:9" s="466" customFormat="1" ht="12.75" customHeight="1" x14ac:dyDescent="0.25"/>
    <row r="26" spans="1:9" s="466" customFormat="1" ht="12.75" customHeight="1" x14ac:dyDescent="0.25"/>
    <row r="27" spans="1:9" s="466" customFormat="1" ht="12.75" customHeight="1" x14ac:dyDescent="0.25"/>
    <row r="28" spans="1:9" s="466" customFormat="1" ht="12.75" customHeight="1" x14ac:dyDescent="0.25"/>
    <row r="29" spans="1:9" s="466" customFormat="1" ht="12.75" customHeight="1" x14ac:dyDescent="0.25"/>
    <row r="30" spans="1:9" s="466" customFormat="1" ht="12.75" customHeight="1" x14ac:dyDescent="0.25"/>
    <row r="31" spans="1:9" s="466" customFormat="1" ht="12.75" customHeight="1" x14ac:dyDescent="0.25"/>
    <row r="32" spans="1:9" s="466" customFormat="1" ht="12.75" customHeight="1" x14ac:dyDescent="0.25"/>
    <row r="33" s="466" customFormat="1" ht="12.75" customHeight="1" x14ac:dyDescent="0.25"/>
  </sheetData>
  <pageMargins left="0.25" right="0.25" top="0.85" bottom="0.75" header="0.08" footer="0.3"/>
  <pageSetup scale="75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AAE7-1FE2-4428-A3C6-E9201DC70318}">
  <sheetPr>
    <pageSetUpPr fitToPage="1"/>
  </sheetPr>
  <dimension ref="A1:G15"/>
  <sheetViews>
    <sheetView zoomScaleNormal="100" workbookViewId="0">
      <selection activeCell="C21" sqref="C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95</v>
      </c>
      <c r="C1" s="99"/>
      <c r="D1" s="9"/>
      <c r="E1" s="9"/>
      <c r="F1" s="9"/>
      <c r="G1" s="9"/>
    </row>
    <row r="2" spans="1:7" ht="15.75" x14ac:dyDescent="0.25">
      <c r="A2" s="97"/>
      <c r="B2" s="101" t="s">
        <v>77</v>
      </c>
      <c r="C2" s="100"/>
      <c r="D2" s="9"/>
      <c r="E2" s="9"/>
      <c r="F2" s="9"/>
      <c r="G2" s="9"/>
    </row>
    <row r="3" spans="1:7" ht="15.75" x14ac:dyDescent="0.25">
      <c r="A3" s="97"/>
      <c r="B3" s="102" t="s">
        <v>78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'#9481.00 Funds Rec''d '!H24</f>
        <v>1400000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40</v>
      </c>
      <c r="C10" s="447"/>
      <c r="D10" s="450">
        <f>'#9481.00 Vendor A '!D23</f>
        <v>0</v>
      </c>
      <c r="E10" s="450">
        <f>'#9481.00 Vendor A '!F23</f>
        <v>0</v>
      </c>
      <c r="F10" s="450">
        <f>'#9481.00 Vendor A 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'#9481.00 PM TIME '!E23</f>
        <v>10000</v>
      </c>
      <c r="E11" s="450">
        <f>'#9481.00 PM TIME '!G23</f>
        <v>2651.49</v>
      </c>
      <c r="F11" s="450">
        <f>'#9481.00 PM TIME '!I23</f>
        <v>7348.51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'#9481.00 Misc'!G22</f>
        <v>783.75</v>
      </c>
      <c r="E12" s="438">
        <f>'#9481.00 Misc'!G22</f>
        <v>783.75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1400000</v>
      </c>
      <c r="D14" s="127">
        <f>SUM(D8:D13)</f>
        <v>10783.75</v>
      </c>
      <c r="E14" s="127">
        <f>SUM(E8:E13)</f>
        <v>3435.24</v>
      </c>
      <c r="F14" s="127">
        <f>SUM(D14-E14)</f>
        <v>7348.51</v>
      </c>
      <c r="G14" s="127">
        <f>C8-D14</f>
        <v>1389216.25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EE5-85E7-4DD1-9CD6-D71BE330348E}">
  <sheetPr>
    <pageSetUpPr fitToPage="1"/>
  </sheetPr>
  <dimension ref="A1:H25"/>
  <sheetViews>
    <sheetView zoomScaleNormal="100" workbookViewId="0">
      <selection activeCell="C28" sqref="C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28515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#9481.00'!B1</f>
        <v>DOC 5JD 150 DSM St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#9481.00'!B2</f>
        <v>Project # 9481.00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#9481.00'!B3</f>
        <v>Program code 948100</v>
      </c>
      <c r="B3" s="10"/>
      <c r="C3" s="131" t="s">
        <v>3</v>
      </c>
      <c r="D3" s="133" t="str">
        <f>'RECAP #9481.00'!E3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#9481.00'!B6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209" t="s">
        <v>5</v>
      </c>
      <c r="H8" s="210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98</v>
      </c>
      <c r="F9" s="399">
        <v>45867</v>
      </c>
      <c r="G9" s="453">
        <v>1400000</v>
      </c>
      <c r="H9" s="453">
        <v>1400000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1400000</v>
      </c>
      <c r="H24" s="152">
        <f>SUM(H9:H23)</f>
        <v>1400000</v>
      </c>
    </row>
    <row r="25" spans="1:8" ht="15" customHeight="1" thickTop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A705-DE59-4E23-AE83-93D2DB9B763F}">
  <sheetPr>
    <pageSetUpPr fitToPage="1"/>
  </sheetPr>
  <dimension ref="A1:H25"/>
  <sheetViews>
    <sheetView zoomScaleNormal="100" workbookViewId="0">
      <selection activeCell="G13" sqref="G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5" bestFit="1" customWidth="1"/>
    <col min="8" max="8" width="16.425781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#9279.50'!B1</f>
        <v>HHS WRC Campus Utility Decentralization Phase 5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#9279.50'!B2</f>
        <v>Project # 9279.50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#9279.50'!B3</f>
        <v>Program code 927950</v>
      </c>
      <c r="B3" s="10"/>
      <c r="C3" s="131" t="s">
        <v>3</v>
      </c>
      <c r="D3" s="133" t="str">
        <f>'RECAP #9279.50'!E3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#9279.50'!B6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402</v>
      </c>
      <c r="F9" s="146">
        <v>46014</v>
      </c>
      <c r="G9" s="453">
        <v>14275000</v>
      </c>
      <c r="H9" s="453">
        <v>14275000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14275000</v>
      </c>
      <c r="H24" s="152">
        <f>SUM(H9:H22)</f>
        <v>14275000</v>
      </c>
    </row>
    <row r="25" spans="1:8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31C-ED0B-491E-986D-5B639A2D4914}">
  <sheetPr>
    <tabColor indexed="30"/>
    <pageSetUpPr fitToPage="1"/>
  </sheetPr>
  <dimension ref="A1:I48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#9481.00'!B1</f>
        <v>DOC 5JD 150 DSM St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#9481.00'!B2</f>
        <v>Project # 9481.00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#9481.00'!B3</f>
        <v>Program code 948100</v>
      </c>
      <c r="B3" s="100"/>
      <c r="C3" s="9"/>
      <c r="D3" s="103" t="str">
        <f>'RECAP #9481.00'!E3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#9481.00'!B6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conditionalFormatting sqref="I9:I23">
    <cfRule type="cellIs" dxfId="17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BE9-03D4-4CEE-8E98-BDEB9EA5B10D}">
  <sheetPr>
    <pageSetUpPr fitToPage="1"/>
  </sheetPr>
  <dimension ref="A1:J29"/>
  <sheetViews>
    <sheetView topLeftCell="A2" zoomScaleNormal="100" workbookViewId="0">
      <selection activeCell="L28" sqref="L28:M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47" customWidth="1"/>
    <col min="5" max="5" width="11.140625" customWidth="1"/>
    <col min="6" max="6" width="13.5703125" customWidth="1"/>
    <col min="7" max="7" width="11.28515625" customWidth="1"/>
    <col min="8" max="8" width="10.5703125" customWidth="1"/>
    <col min="9" max="9" width="11.5703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#9481.00'!B1</f>
        <v>DOC 5JD 150 DSM St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#9481.00'!B2</f>
        <v>Project # 9481.00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#9481.00'!B3</f>
        <v>Program code 948100</v>
      </c>
      <c r="B3" s="100"/>
      <c r="C3" s="100"/>
      <c r="D3" s="9"/>
      <c r="E3" s="103" t="str">
        <f>'RECAP #9481.00'!E3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#9481.00'!B6</f>
        <v>Project Manager - Brandon A</v>
      </c>
      <c r="B6" s="106"/>
      <c r="C6" s="106"/>
      <c r="D6" s="166"/>
      <c r="E6" s="162" t="s">
        <v>92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483" t="s">
        <v>326</v>
      </c>
      <c r="B10" s="484">
        <v>45968</v>
      </c>
      <c r="C10" s="489" t="s">
        <v>278</v>
      </c>
      <c r="D10" s="486" t="s">
        <v>329</v>
      </c>
      <c r="E10" s="384"/>
      <c r="F10" s="384">
        <f t="shared" ref="F10:F21" si="0">F9+E10</f>
        <v>10000</v>
      </c>
      <c r="G10" s="389">
        <f>133.53+166.81</f>
        <v>300.34000000000003</v>
      </c>
      <c r="H10" s="385">
        <f t="shared" ref="H10:H21" si="1">H9+G10</f>
        <v>300.34000000000003</v>
      </c>
      <c r="I10" s="385">
        <f t="shared" ref="I10:I21" si="2">I9-G10+E10</f>
        <v>9699.66</v>
      </c>
      <c r="J10" s="386"/>
    </row>
    <row r="11" spans="1:10" s="365" customFormat="1" ht="12.75" customHeight="1" x14ac:dyDescent="0.25">
      <c r="A11" s="483" t="s">
        <v>326</v>
      </c>
      <c r="B11" s="484">
        <v>45968</v>
      </c>
      <c r="C11" s="489">
        <v>9500</v>
      </c>
      <c r="D11" s="396" t="s">
        <v>330</v>
      </c>
      <c r="E11" s="384"/>
      <c r="F11" s="384">
        <f t="shared" si="0"/>
        <v>10000</v>
      </c>
      <c r="G11" s="389">
        <f>167.5+403.7</f>
        <v>571.20000000000005</v>
      </c>
      <c r="H11" s="385">
        <f t="shared" si="1"/>
        <v>871.54000000000008</v>
      </c>
      <c r="I11" s="385">
        <f t="shared" si="2"/>
        <v>9128.4599999999991</v>
      </c>
      <c r="J11" s="386"/>
    </row>
    <row r="12" spans="1:10" s="365" customFormat="1" ht="12.75" customHeight="1" x14ac:dyDescent="0.25">
      <c r="A12" s="396" t="s">
        <v>335</v>
      </c>
      <c r="B12" s="381">
        <v>45974</v>
      </c>
      <c r="C12" s="489">
        <v>2507</v>
      </c>
      <c r="D12" s="392" t="s">
        <v>336</v>
      </c>
      <c r="E12" s="384"/>
      <c r="F12" s="384">
        <f t="shared" si="0"/>
        <v>10000</v>
      </c>
      <c r="G12" s="444">
        <v>-300.33999999999997</v>
      </c>
      <c r="H12" s="385">
        <f t="shared" si="1"/>
        <v>571.20000000000005</v>
      </c>
      <c r="I12" s="385">
        <f t="shared" si="2"/>
        <v>9428.7999999999993</v>
      </c>
      <c r="J12" s="386"/>
    </row>
    <row r="13" spans="1:10" s="365" customFormat="1" ht="12.75" customHeight="1" x14ac:dyDescent="0.25">
      <c r="A13" s="396" t="s">
        <v>335</v>
      </c>
      <c r="B13" s="381">
        <v>45974</v>
      </c>
      <c r="C13" s="489">
        <v>9500</v>
      </c>
      <c r="D13" s="392" t="s">
        <v>336</v>
      </c>
      <c r="E13" s="384"/>
      <c r="F13" s="384">
        <f t="shared" si="0"/>
        <v>10000</v>
      </c>
      <c r="G13" s="444">
        <v>-571.20000000000005</v>
      </c>
      <c r="H13" s="385">
        <f t="shared" si="1"/>
        <v>0</v>
      </c>
      <c r="I13" s="385">
        <f t="shared" si="2"/>
        <v>10000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81" t="s">
        <v>278</v>
      </c>
      <c r="D14" s="214" t="s">
        <v>391</v>
      </c>
      <c r="E14" s="384"/>
      <c r="F14" s="384">
        <f t="shared" si="0"/>
        <v>10000</v>
      </c>
      <c r="G14" s="444">
        <v>-5.66</v>
      </c>
      <c r="H14" s="385">
        <f t="shared" si="1"/>
        <v>-5.66</v>
      </c>
      <c r="I14" s="385">
        <f t="shared" si="2"/>
        <v>10005.66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2">
        <v>9500</v>
      </c>
      <c r="D15" s="145" t="s">
        <v>392</v>
      </c>
      <c r="E15" s="384"/>
      <c r="F15" s="384">
        <f t="shared" si="0"/>
        <v>10000</v>
      </c>
      <c r="G15" s="389">
        <v>1308.2</v>
      </c>
      <c r="H15" s="385">
        <f t="shared" si="1"/>
        <v>1302.54</v>
      </c>
      <c r="I15" s="385">
        <f t="shared" si="2"/>
        <v>8697.4599999999991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81" t="s">
        <v>278</v>
      </c>
      <c r="D16" s="214" t="s">
        <v>426</v>
      </c>
      <c r="E16" s="384"/>
      <c r="F16" s="384">
        <f t="shared" si="0"/>
        <v>10000</v>
      </c>
      <c r="G16" s="389">
        <v>108.95</v>
      </c>
      <c r="H16" s="385">
        <f t="shared" si="1"/>
        <v>1411.49</v>
      </c>
      <c r="I16" s="385">
        <f t="shared" si="2"/>
        <v>8588.5099999999984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2">
        <v>9500</v>
      </c>
      <c r="D17" s="145" t="s">
        <v>427</v>
      </c>
      <c r="E17" s="384"/>
      <c r="F17" s="384">
        <f t="shared" si="0"/>
        <v>10000</v>
      </c>
      <c r="G17" s="389">
        <v>1240</v>
      </c>
      <c r="H17" s="385">
        <f t="shared" si="1"/>
        <v>2651.49</v>
      </c>
      <c r="I17" s="385">
        <f t="shared" si="2"/>
        <v>7348.5099999999984</v>
      </c>
      <c r="J17" s="386"/>
    </row>
    <row r="18" spans="1:10" s="365" customFormat="1" ht="12.75" customHeight="1" x14ac:dyDescent="0.25">
      <c r="A18" s="396"/>
      <c r="B18" s="381"/>
      <c r="C18" s="489"/>
      <c r="D18" s="392"/>
      <c r="E18" s="384"/>
      <c r="F18" s="384">
        <f t="shared" si="0"/>
        <v>10000</v>
      </c>
      <c r="G18" s="390"/>
      <c r="H18" s="385">
        <f t="shared" si="1"/>
        <v>2651.49</v>
      </c>
      <c r="I18" s="385">
        <f t="shared" si="2"/>
        <v>7348.5099999999984</v>
      </c>
      <c r="J18" s="386"/>
    </row>
    <row r="19" spans="1:10" s="365" customFormat="1" ht="12.75" customHeight="1" x14ac:dyDescent="0.25">
      <c r="A19" s="396"/>
      <c r="B19" s="381"/>
      <c r="C19" s="489"/>
      <c r="D19" s="392"/>
      <c r="E19" s="384"/>
      <c r="F19" s="384">
        <f t="shared" si="0"/>
        <v>10000</v>
      </c>
      <c r="G19" s="385"/>
      <c r="H19" s="385">
        <f t="shared" si="1"/>
        <v>2651.49</v>
      </c>
      <c r="I19" s="385">
        <f t="shared" si="2"/>
        <v>7348.5099999999984</v>
      </c>
      <c r="J19" s="386"/>
    </row>
    <row r="20" spans="1:10" s="365" customFormat="1" ht="12.75" customHeight="1" x14ac:dyDescent="0.25">
      <c r="A20" s="396"/>
      <c r="B20" s="381"/>
      <c r="C20" s="489"/>
      <c r="D20" s="392"/>
      <c r="E20" s="384"/>
      <c r="F20" s="384">
        <f t="shared" si="0"/>
        <v>10000</v>
      </c>
      <c r="G20" s="385"/>
      <c r="H20" s="385">
        <f t="shared" si="1"/>
        <v>2651.49</v>
      </c>
      <c r="I20" s="385">
        <f t="shared" si="2"/>
        <v>7348.5099999999984</v>
      </c>
      <c r="J20" s="386"/>
    </row>
    <row r="21" spans="1:10" s="365" customFormat="1" ht="12.75" customHeight="1" x14ac:dyDescent="0.25">
      <c r="A21" s="396"/>
      <c r="B21" s="381"/>
      <c r="C21" s="489"/>
      <c r="D21" s="432"/>
      <c r="E21" s="384"/>
      <c r="F21" s="384">
        <f t="shared" si="0"/>
        <v>10000</v>
      </c>
      <c r="G21" s="385"/>
      <c r="H21" s="385">
        <f t="shared" si="1"/>
        <v>2651.49</v>
      </c>
      <c r="I21" s="385">
        <f t="shared" si="2"/>
        <v>7348.5099999999984</v>
      </c>
      <c r="J21" s="386"/>
    </row>
    <row r="22" spans="1:10" s="365" customFormat="1" ht="12.75" customHeight="1" x14ac:dyDescent="0.25">
      <c r="A22" s="396"/>
      <c r="B22" s="388"/>
      <c r="C22" s="489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10000</v>
      </c>
      <c r="F23" s="218"/>
      <c r="G23" s="218">
        <f>SUM(G9:G22)</f>
        <v>2651.49</v>
      </c>
      <c r="H23" s="218"/>
      <c r="I23" s="218">
        <f>E23-G23</f>
        <v>7348.51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CB5-043C-46CD-97F6-1A131B6F2A85}">
  <sheetPr>
    <pageSetUpPr fitToPage="1"/>
  </sheetPr>
  <dimension ref="A1:H30"/>
  <sheetViews>
    <sheetView zoomScaleNormal="100" workbookViewId="0">
      <selection activeCell="B32" sqref="B32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7109375" customWidth="1"/>
    <col min="6" max="6" width="19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#9481.00'!B1</f>
        <v>DOC 5JD 150 DSM St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#9481.00'!B2</f>
        <v>Project # 9481.00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#9481.00'!B3</f>
        <v>Program code 948100</v>
      </c>
      <c r="B3" s="100"/>
      <c r="C3" s="100"/>
      <c r="D3" s="100"/>
      <c r="E3" s="103" t="str">
        <f>'RECAP #9481.00'!E3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#9481.00'!B6</f>
        <v>Project Manager - Brandon A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490" t="s">
        <v>152</v>
      </c>
      <c r="B9" s="491">
        <v>45876</v>
      </c>
      <c r="C9" s="488">
        <v>2507</v>
      </c>
      <c r="D9" s="432"/>
      <c r="E9" s="432" t="s">
        <v>155</v>
      </c>
      <c r="F9" s="495" t="s">
        <v>156</v>
      </c>
      <c r="G9" s="496">
        <v>570</v>
      </c>
      <c r="H9" s="436">
        <f>G9</f>
        <v>570</v>
      </c>
    </row>
    <row r="10" spans="1:8" s="365" customFormat="1" ht="12.75" customHeight="1" x14ac:dyDescent="0.25">
      <c r="A10" s="490" t="s">
        <v>217</v>
      </c>
      <c r="B10" s="491">
        <v>45908</v>
      </c>
      <c r="C10" s="488">
        <v>2507</v>
      </c>
      <c r="D10" s="381"/>
      <c r="E10" s="432" t="s">
        <v>219</v>
      </c>
      <c r="F10" s="495" t="s">
        <v>218</v>
      </c>
      <c r="G10" s="496">
        <v>166.25</v>
      </c>
      <c r="H10" s="436">
        <f>H9+G10</f>
        <v>736.25</v>
      </c>
    </row>
    <row r="11" spans="1:8" s="365" customFormat="1" ht="12.75" customHeight="1" x14ac:dyDescent="0.25">
      <c r="A11" s="483" t="s">
        <v>326</v>
      </c>
      <c r="B11" s="484">
        <v>45968</v>
      </c>
      <c r="C11" s="489" t="s">
        <v>278</v>
      </c>
      <c r="D11" s="381"/>
      <c r="E11" s="432" t="s">
        <v>327</v>
      </c>
      <c r="F11" s="495" t="s">
        <v>328</v>
      </c>
      <c r="G11" s="496">
        <v>47.5</v>
      </c>
      <c r="H11" s="436">
        <f t="shared" ref="H11:H20" si="0">H10+G11</f>
        <v>783.75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783.75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783.75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783.75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783.75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783.75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783.75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783.75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783.75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783.75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783.75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95C8-8139-4DC8-A3A5-7D836DEEC9B5}">
  <sheetPr>
    <pageSetUpPr fitToPage="1"/>
  </sheetPr>
  <dimension ref="A1:G17"/>
  <sheetViews>
    <sheetView topLeftCell="A3" zoomScaleNormal="100" workbookViewId="0">
      <selection activeCell="F15" sqref="F1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122</v>
      </c>
      <c r="C1" s="99"/>
      <c r="D1" s="9"/>
      <c r="E1" s="9"/>
      <c r="F1" s="9"/>
      <c r="G1" s="9"/>
    </row>
    <row r="2" spans="1:7" ht="15.75" x14ac:dyDescent="0.25">
      <c r="A2" s="97"/>
      <c r="B2" s="101" t="s">
        <v>123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124</v>
      </c>
      <c r="C3" s="100"/>
      <c r="D3" s="9"/>
      <c r="E3" s="103" t="s">
        <v>127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'#9482.00 Funds Rec''d'!H24</f>
        <v>50000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145</v>
      </c>
      <c r="C10" s="447"/>
      <c r="D10" s="450">
        <f>'#9482.00 McGough Construction'!D23</f>
        <v>8969.4</v>
      </c>
      <c r="E10" s="450">
        <f>'#9482.00 McGough Construction'!F23</f>
        <v>7433.91</v>
      </c>
      <c r="F10" s="450">
        <f>'#9482.00 McGough Construction'!H23</f>
        <v>1535.4899999999998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'#9482.00 PM TIME'!E28</f>
        <v>8000</v>
      </c>
      <c r="E11" s="450">
        <f>'#9482.00 PM TIME'!G28</f>
        <v>7407.6200000000008</v>
      </c>
      <c r="F11" s="450">
        <f>'#9482.00 PM TIME'!I28</f>
        <v>592.3799999999992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'#9482.00 Misc'!G22</f>
        <v>0</v>
      </c>
      <c r="E12" s="438">
        <f>'#9482.00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232</v>
      </c>
      <c r="C13" s="448"/>
      <c r="D13" s="438">
        <f>'#9482.00 KCL Engineering'!D23</f>
        <v>30090</v>
      </c>
      <c r="E13" s="438">
        <f>'#9482.00 KCL Engineering'!F23</f>
        <v>9990</v>
      </c>
      <c r="F13" s="450">
        <f>'#9482.00 KCL Engineering'!H23</f>
        <v>20100</v>
      </c>
      <c r="G13" s="449"/>
    </row>
    <row r="14" spans="1:7" s="365" customFormat="1" ht="12.75" customHeight="1" x14ac:dyDescent="0.25">
      <c r="A14" s="445"/>
      <c r="B14" s="446" t="s">
        <v>408</v>
      </c>
      <c r="C14" s="448"/>
      <c r="D14" s="438">
        <f>'#9482.00 Systems Management'!D23</f>
        <v>1240</v>
      </c>
      <c r="E14" s="438">
        <f>'#9482.00 Systems Management'!F23</f>
        <v>0</v>
      </c>
      <c r="F14" s="450">
        <f>'#9482.00 Systems Management'!H23</f>
        <v>1240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50000</v>
      </c>
      <c r="D16" s="127">
        <f>SUM(D8:D15)</f>
        <v>48299.4</v>
      </c>
      <c r="E16" s="127">
        <f>SUM(E8:E15)</f>
        <v>24831.53</v>
      </c>
      <c r="F16" s="127">
        <f>SUM(D16-E16)</f>
        <v>23467.870000000003</v>
      </c>
      <c r="G16" s="127">
        <f>C8-D16</f>
        <v>1700.5999999999985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2311-8EEF-44A7-A859-95030122D981}">
  <sheetPr>
    <pageSetUpPr fitToPage="1"/>
  </sheetPr>
  <dimension ref="A1:H25"/>
  <sheetViews>
    <sheetView zoomScaleNormal="100" workbookViewId="0">
      <selection activeCell="D28" sqref="D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#9482.00'!B1</f>
        <v>IDB - Chiller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#9482.00'!B2</f>
        <v>Project # 9482.00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#9482.00'!B3</f>
        <v>Program code 948200</v>
      </c>
      <c r="B3" s="10"/>
      <c r="C3" s="131" t="s">
        <v>3</v>
      </c>
      <c r="D3" s="133" t="str">
        <f>'RECAP #9482.00'!E3</f>
        <v>Major Program 4F09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494" t="s">
        <v>128</v>
      </c>
      <c r="F9" s="399">
        <v>45869</v>
      </c>
      <c r="G9" s="453">
        <v>50000</v>
      </c>
      <c r="H9" s="453">
        <v>50000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50000</v>
      </c>
      <c r="H24" s="152">
        <f>SUM(H9:H22)</f>
        <v>50000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EB1A-528C-47D8-9BDB-B562C0418D37}">
  <sheetPr>
    <pageSetUpPr fitToPage="1"/>
  </sheetPr>
  <dimension ref="A1:I29"/>
  <sheetViews>
    <sheetView topLeftCell="A4" zoomScaleNormal="100" workbookViewId="0">
      <selection activeCell="F14" sqref="F1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149</v>
      </c>
      <c r="B9" s="381">
        <v>45880</v>
      </c>
      <c r="C9" s="388" t="s">
        <v>150</v>
      </c>
      <c r="D9" s="383">
        <v>8969.4</v>
      </c>
      <c r="E9" s="384">
        <f>D9</f>
        <v>8969.4</v>
      </c>
      <c r="F9" s="385"/>
      <c r="G9" s="385"/>
      <c r="H9" s="385">
        <f>E9</f>
        <v>8969.4</v>
      </c>
      <c r="I9" s="386"/>
    </row>
    <row r="10" spans="1:9" s="365" customFormat="1" ht="12.75" customHeight="1" x14ac:dyDescent="0.25">
      <c r="A10" s="380" t="s">
        <v>207</v>
      </c>
      <c r="B10" s="387">
        <v>45912</v>
      </c>
      <c r="C10" s="388" t="s">
        <v>208</v>
      </c>
      <c r="D10" s="384"/>
      <c r="E10" s="384">
        <f t="shared" ref="E10:E21" si="0">E9+D10</f>
        <v>8969.4</v>
      </c>
      <c r="F10" s="389">
        <v>1188</v>
      </c>
      <c r="G10" s="385">
        <f t="shared" ref="G10:G21" si="1">G9+F10</f>
        <v>1188</v>
      </c>
      <c r="H10" s="385">
        <f t="shared" ref="H10:H21" si="2">H9-F10+D10</f>
        <v>7781.4</v>
      </c>
      <c r="I10" s="386"/>
    </row>
    <row r="11" spans="1:9" s="365" customFormat="1" ht="12.75" customHeight="1" x14ac:dyDescent="0.25">
      <c r="A11" s="380" t="s">
        <v>284</v>
      </c>
      <c r="B11" s="381">
        <v>45944</v>
      </c>
      <c r="C11" s="388" t="s">
        <v>285</v>
      </c>
      <c r="D11" s="384"/>
      <c r="E11" s="384">
        <f t="shared" si="0"/>
        <v>8969.4</v>
      </c>
      <c r="F11" s="389">
        <v>1360.26</v>
      </c>
      <c r="G11" s="385">
        <f t="shared" si="1"/>
        <v>2548.2600000000002</v>
      </c>
      <c r="H11" s="385">
        <f t="shared" si="2"/>
        <v>6421.1399999999994</v>
      </c>
      <c r="I11" s="386"/>
    </row>
    <row r="12" spans="1:9" s="365" customFormat="1" ht="12.75" customHeight="1" x14ac:dyDescent="0.25">
      <c r="A12" s="380" t="s">
        <v>322</v>
      </c>
      <c r="B12" s="381">
        <v>45967</v>
      </c>
      <c r="C12" s="388" t="s">
        <v>323</v>
      </c>
      <c r="D12" s="384"/>
      <c r="E12" s="384">
        <f t="shared" si="0"/>
        <v>8969.4</v>
      </c>
      <c r="F12" s="389">
        <v>1226.6099999999999</v>
      </c>
      <c r="G12" s="385">
        <f t="shared" si="1"/>
        <v>3774.87</v>
      </c>
      <c r="H12" s="385">
        <f t="shared" si="2"/>
        <v>5194.53</v>
      </c>
      <c r="I12" s="386"/>
    </row>
    <row r="13" spans="1:9" s="365" customFormat="1" ht="12.75" customHeight="1" x14ac:dyDescent="0.25">
      <c r="A13" s="380" t="s">
        <v>362</v>
      </c>
      <c r="B13" s="381">
        <v>46002</v>
      </c>
      <c r="C13" s="388" t="s">
        <v>363</v>
      </c>
      <c r="D13" s="384"/>
      <c r="E13" s="384">
        <f t="shared" si="0"/>
        <v>8969.4</v>
      </c>
      <c r="F13" s="389">
        <v>1630.53</v>
      </c>
      <c r="G13" s="385">
        <f t="shared" si="1"/>
        <v>5405.4</v>
      </c>
      <c r="H13" s="385">
        <f t="shared" si="2"/>
        <v>3564</v>
      </c>
      <c r="I13" s="386"/>
    </row>
    <row r="14" spans="1:9" s="365" customFormat="1" ht="12.75" customHeight="1" x14ac:dyDescent="0.25">
      <c r="A14" s="380" t="s">
        <v>422</v>
      </c>
      <c r="B14" s="381">
        <v>46034</v>
      </c>
      <c r="C14" s="388" t="s">
        <v>423</v>
      </c>
      <c r="D14" s="384"/>
      <c r="E14" s="384">
        <f t="shared" si="0"/>
        <v>8969.4</v>
      </c>
      <c r="F14" s="389">
        <v>2028.51</v>
      </c>
      <c r="G14" s="385">
        <f t="shared" si="1"/>
        <v>7433.91</v>
      </c>
      <c r="H14" s="385">
        <f t="shared" si="2"/>
        <v>1535.49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8969.4</v>
      </c>
      <c r="F15" s="390"/>
      <c r="G15" s="385">
        <f t="shared" si="1"/>
        <v>7433.91</v>
      </c>
      <c r="H15" s="385">
        <f t="shared" si="2"/>
        <v>1535.49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8969.4</v>
      </c>
      <c r="F16" s="390"/>
      <c r="G16" s="385">
        <f t="shared" si="1"/>
        <v>7433.91</v>
      </c>
      <c r="H16" s="385">
        <f t="shared" si="2"/>
        <v>1535.49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8969.4</v>
      </c>
      <c r="F17" s="390"/>
      <c r="G17" s="385">
        <f t="shared" si="1"/>
        <v>7433.91</v>
      </c>
      <c r="H17" s="385">
        <f t="shared" si="2"/>
        <v>1535.49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8969.4</v>
      </c>
      <c r="F18" s="390"/>
      <c r="G18" s="385">
        <f t="shared" si="1"/>
        <v>7433.91</v>
      </c>
      <c r="H18" s="385">
        <f t="shared" si="2"/>
        <v>1535.49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8969.4</v>
      </c>
      <c r="F19" s="385"/>
      <c r="G19" s="385">
        <f t="shared" si="1"/>
        <v>7433.91</v>
      </c>
      <c r="H19" s="385">
        <f t="shared" si="2"/>
        <v>1535.49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8969.4</v>
      </c>
      <c r="F20" s="385"/>
      <c r="G20" s="385">
        <f t="shared" si="1"/>
        <v>7433.91</v>
      </c>
      <c r="H20" s="385">
        <f t="shared" si="2"/>
        <v>1535.49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8969.4</v>
      </c>
      <c r="F21" s="385"/>
      <c r="G21" s="385">
        <f t="shared" si="1"/>
        <v>7433.91</v>
      </c>
      <c r="H21" s="385">
        <f t="shared" si="2"/>
        <v>1535.49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8969.4</v>
      </c>
      <c r="E23" s="218"/>
      <c r="F23" s="218">
        <f>SUM(F9:F22)</f>
        <v>7433.91</v>
      </c>
      <c r="G23" s="218"/>
      <c r="H23" s="218">
        <f>D23-F23</f>
        <v>1535.4899999999998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</sheetData>
  <conditionalFormatting sqref="I9:I23">
    <cfRule type="cellIs" dxfId="16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51BC-548E-405E-AC99-F2FD3EB47A17}">
  <sheetPr>
    <pageSetUpPr fitToPage="1"/>
  </sheetPr>
  <dimension ref="A1:J33"/>
  <sheetViews>
    <sheetView zoomScaleNormal="100" workbookViewId="0">
      <selection activeCell="D25" sqref="D2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#9482.00'!B1</f>
        <v>IDB - Chiller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#9482.00'!B2</f>
        <v>Project # 9482.00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#9482.00'!B3</f>
        <v>Program code 948200</v>
      </c>
      <c r="B3" s="100"/>
      <c r="C3" s="100"/>
      <c r="D3" s="9"/>
      <c r="E3" s="103" t="str">
        <f>'RECAP #9482.00'!E3</f>
        <v>Major Program 4F09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#9482.00'!B6</f>
        <v>Project Manager - Oliver S.</v>
      </c>
      <c r="B6" s="106"/>
      <c r="C6" s="106"/>
      <c r="D6" s="166"/>
      <c r="E6" s="162" t="s">
        <v>129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</f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490" t="s">
        <v>152</v>
      </c>
      <c r="B10" s="491">
        <v>45876</v>
      </c>
      <c r="C10" s="489">
        <v>2507</v>
      </c>
      <c r="D10" s="486" t="s">
        <v>153</v>
      </c>
      <c r="E10" s="384"/>
      <c r="F10" s="384">
        <f>F9+E10</f>
        <v>8000</v>
      </c>
      <c r="G10" s="389">
        <f>23.59+33.67</f>
        <v>57.260000000000005</v>
      </c>
      <c r="H10" s="385">
        <f t="shared" ref="H10:H26" si="0">H9+G10</f>
        <v>57.260000000000005</v>
      </c>
      <c r="I10" s="385">
        <f>I9-G10+E10</f>
        <v>7942.74</v>
      </c>
      <c r="J10" s="386"/>
    </row>
    <row r="11" spans="1:10" s="365" customFormat="1" ht="12.75" customHeight="1" x14ac:dyDescent="0.25">
      <c r="A11" s="490" t="s">
        <v>152</v>
      </c>
      <c r="B11" s="491">
        <v>45876</v>
      </c>
      <c r="C11" s="489">
        <v>9500</v>
      </c>
      <c r="D11" s="492" t="s">
        <v>154</v>
      </c>
      <c r="E11" s="384"/>
      <c r="F11" s="384">
        <f t="shared" ref="F11:F26" si="1">F10+E11</f>
        <v>8000</v>
      </c>
      <c r="G11" s="389">
        <f>40+591.8</f>
        <v>631.79999999999995</v>
      </c>
      <c r="H11" s="385">
        <f t="shared" si="0"/>
        <v>689.06</v>
      </c>
      <c r="I11" s="385">
        <f t="shared" ref="I11:I26" si="2">I10-G11+E11</f>
        <v>7310.94</v>
      </c>
      <c r="J11" s="386"/>
    </row>
    <row r="12" spans="1:10" s="365" customFormat="1" ht="12.75" customHeight="1" x14ac:dyDescent="0.25">
      <c r="A12" s="490" t="s">
        <v>217</v>
      </c>
      <c r="B12" s="491">
        <v>45908</v>
      </c>
      <c r="C12" s="489">
        <v>2507</v>
      </c>
      <c r="D12" s="486" t="s">
        <v>220</v>
      </c>
      <c r="E12" s="384"/>
      <c r="F12" s="384">
        <f t="shared" si="1"/>
        <v>8000</v>
      </c>
      <c r="G12" s="389">
        <v>84.01</v>
      </c>
      <c r="H12" s="385">
        <f t="shared" si="0"/>
        <v>773.06999999999994</v>
      </c>
      <c r="I12" s="385">
        <f t="shared" si="2"/>
        <v>7226.9299999999994</v>
      </c>
      <c r="J12" s="386"/>
    </row>
    <row r="13" spans="1:10" s="365" customFormat="1" ht="12.75" customHeight="1" x14ac:dyDescent="0.25">
      <c r="A13" s="490" t="s">
        <v>217</v>
      </c>
      <c r="B13" s="491">
        <v>45908</v>
      </c>
      <c r="C13" s="489">
        <v>9500</v>
      </c>
      <c r="D13" s="492" t="s">
        <v>221</v>
      </c>
      <c r="E13" s="384"/>
      <c r="F13" s="384">
        <f t="shared" si="1"/>
        <v>8000</v>
      </c>
      <c r="G13" s="389">
        <v>645.1</v>
      </c>
      <c r="H13" s="385">
        <f t="shared" si="0"/>
        <v>1418.17</v>
      </c>
      <c r="I13" s="385">
        <f t="shared" si="2"/>
        <v>6581.829999999999</v>
      </c>
      <c r="J13" s="386"/>
    </row>
    <row r="14" spans="1:10" s="365" customFormat="1" ht="12.75" customHeight="1" x14ac:dyDescent="0.25">
      <c r="A14" s="483" t="s">
        <v>277</v>
      </c>
      <c r="B14" s="484">
        <v>45937</v>
      </c>
      <c r="C14" s="489" t="s">
        <v>278</v>
      </c>
      <c r="D14" s="486" t="s">
        <v>279</v>
      </c>
      <c r="E14" s="384"/>
      <c r="F14" s="384">
        <f t="shared" si="1"/>
        <v>8000</v>
      </c>
      <c r="G14" s="389">
        <v>146.86000000000001</v>
      </c>
      <c r="H14" s="385">
        <f t="shared" si="0"/>
        <v>1565.0300000000002</v>
      </c>
      <c r="I14" s="385">
        <f t="shared" si="2"/>
        <v>6434.9699999999993</v>
      </c>
      <c r="J14" s="386"/>
    </row>
    <row r="15" spans="1:10" s="365" customFormat="1" ht="12.75" customHeight="1" x14ac:dyDescent="0.25">
      <c r="A15" s="483" t="s">
        <v>277</v>
      </c>
      <c r="B15" s="484">
        <v>45937</v>
      </c>
      <c r="C15" s="489">
        <v>9500</v>
      </c>
      <c r="D15" s="396" t="s">
        <v>280</v>
      </c>
      <c r="E15" s="384"/>
      <c r="F15" s="384">
        <f t="shared" si="1"/>
        <v>8000</v>
      </c>
      <c r="G15" s="389">
        <v>755.5</v>
      </c>
      <c r="H15" s="385">
        <f t="shared" si="0"/>
        <v>2320.5300000000002</v>
      </c>
      <c r="I15" s="385">
        <f t="shared" si="2"/>
        <v>5679.4699999999993</v>
      </c>
      <c r="J15" s="386"/>
    </row>
    <row r="16" spans="1:10" s="365" customFormat="1" ht="12.75" customHeight="1" x14ac:dyDescent="0.25">
      <c r="A16" s="483" t="s">
        <v>326</v>
      </c>
      <c r="B16" s="484">
        <v>45968</v>
      </c>
      <c r="C16" s="489" t="s">
        <v>278</v>
      </c>
      <c r="D16" s="486" t="s">
        <v>329</v>
      </c>
      <c r="E16" s="384"/>
      <c r="F16" s="384">
        <f t="shared" si="1"/>
        <v>8000</v>
      </c>
      <c r="G16" s="389">
        <v>239.96</v>
      </c>
      <c r="H16" s="385">
        <f t="shared" si="0"/>
        <v>2560.4900000000002</v>
      </c>
      <c r="I16" s="385">
        <f t="shared" si="2"/>
        <v>5439.5099999999993</v>
      </c>
      <c r="J16" s="386"/>
    </row>
    <row r="17" spans="1:10" s="365" customFormat="1" ht="12.75" customHeight="1" x14ac:dyDescent="0.25">
      <c r="A17" s="483" t="s">
        <v>326</v>
      </c>
      <c r="B17" s="484">
        <v>45968</v>
      </c>
      <c r="C17" s="489">
        <v>9500</v>
      </c>
      <c r="D17" s="396" t="s">
        <v>330</v>
      </c>
      <c r="E17" s="384"/>
      <c r="F17" s="384">
        <f t="shared" si="1"/>
        <v>8000</v>
      </c>
      <c r="G17" s="389">
        <v>2379.6999999999998</v>
      </c>
      <c r="H17" s="385">
        <f t="shared" si="0"/>
        <v>4940.1900000000005</v>
      </c>
      <c r="I17" s="385">
        <f t="shared" si="2"/>
        <v>3059.8099999999995</v>
      </c>
      <c r="J17" s="386"/>
    </row>
    <row r="18" spans="1:10" s="365" customFormat="1" ht="12.75" customHeight="1" x14ac:dyDescent="0.2">
      <c r="A18" s="229" t="s">
        <v>390</v>
      </c>
      <c r="B18" s="230">
        <v>45996</v>
      </c>
      <c r="C18" s="481" t="s">
        <v>278</v>
      </c>
      <c r="D18" s="214" t="s">
        <v>391</v>
      </c>
      <c r="E18" s="384"/>
      <c r="F18" s="384">
        <f t="shared" si="1"/>
        <v>8000</v>
      </c>
      <c r="G18" s="389">
        <v>180.55</v>
      </c>
      <c r="H18" s="385">
        <f t="shared" si="0"/>
        <v>5120.7400000000007</v>
      </c>
      <c r="I18" s="385">
        <f t="shared" si="2"/>
        <v>2879.2599999999993</v>
      </c>
      <c r="J18" s="386"/>
    </row>
    <row r="19" spans="1:10" s="365" customFormat="1" ht="12.75" customHeight="1" x14ac:dyDescent="0.2">
      <c r="A19" s="229" t="s">
        <v>390</v>
      </c>
      <c r="B19" s="230">
        <v>45996</v>
      </c>
      <c r="C19" s="482">
        <v>9500</v>
      </c>
      <c r="D19" s="145" t="s">
        <v>392</v>
      </c>
      <c r="E19" s="384"/>
      <c r="F19" s="384">
        <f t="shared" si="1"/>
        <v>8000</v>
      </c>
      <c r="G19" s="389">
        <v>1150.5</v>
      </c>
      <c r="H19" s="385">
        <f t="shared" si="0"/>
        <v>6271.2400000000007</v>
      </c>
      <c r="I19" s="385">
        <f t="shared" si="2"/>
        <v>1728.7599999999993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81" t="s">
        <v>278</v>
      </c>
      <c r="D20" s="214" t="s">
        <v>426</v>
      </c>
      <c r="E20" s="384"/>
      <c r="F20" s="384">
        <f t="shared" si="1"/>
        <v>8000</v>
      </c>
      <c r="G20" s="389">
        <v>92.08</v>
      </c>
      <c r="H20" s="385">
        <f t="shared" si="0"/>
        <v>6363.3200000000006</v>
      </c>
      <c r="I20" s="385">
        <f t="shared" si="2"/>
        <v>1636.6799999999994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82">
        <v>9500</v>
      </c>
      <c r="D21" s="145" t="s">
        <v>427</v>
      </c>
      <c r="E21" s="384"/>
      <c r="F21" s="384">
        <f t="shared" si="1"/>
        <v>8000</v>
      </c>
      <c r="G21" s="389">
        <v>1044.3</v>
      </c>
      <c r="H21" s="385">
        <f t="shared" si="0"/>
        <v>7407.6200000000008</v>
      </c>
      <c r="I21" s="385">
        <f t="shared" si="2"/>
        <v>592.37999999999943</v>
      </c>
      <c r="J21" s="386"/>
    </row>
    <row r="22" spans="1:10" s="365" customFormat="1" ht="12.75" customHeight="1" x14ac:dyDescent="0.2">
      <c r="A22" s="229"/>
      <c r="B22" s="230"/>
      <c r="C22" s="482"/>
      <c r="D22" s="145"/>
      <c r="E22" s="384"/>
      <c r="F22" s="384">
        <f t="shared" si="1"/>
        <v>8000</v>
      </c>
      <c r="G22" s="390"/>
      <c r="H22" s="385">
        <f t="shared" si="0"/>
        <v>7407.6200000000008</v>
      </c>
      <c r="I22" s="385">
        <f t="shared" si="2"/>
        <v>592.37999999999943</v>
      </c>
      <c r="J22" s="386"/>
    </row>
    <row r="23" spans="1:10" s="365" customFormat="1" ht="12.75" customHeight="1" x14ac:dyDescent="0.2">
      <c r="A23" s="229"/>
      <c r="B23" s="230"/>
      <c r="C23" s="482"/>
      <c r="D23" s="145"/>
      <c r="E23" s="384"/>
      <c r="F23" s="384">
        <f t="shared" si="1"/>
        <v>8000</v>
      </c>
      <c r="G23" s="390"/>
      <c r="H23" s="385">
        <f t="shared" si="0"/>
        <v>7407.6200000000008</v>
      </c>
      <c r="I23" s="385">
        <f t="shared" si="2"/>
        <v>592.37999999999943</v>
      </c>
      <c r="J23" s="386"/>
    </row>
    <row r="24" spans="1:10" s="365" customFormat="1" ht="12.75" customHeight="1" x14ac:dyDescent="0.2">
      <c r="A24" s="229"/>
      <c r="B24" s="230"/>
      <c r="C24" s="482"/>
      <c r="D24" s="145"/>
      <c r="E24" s="384"/>
      <c r="F24" s="384">
        <f t="shared" si="1"/>
        <v>8000</v>
      </c>
      <c r="G24" s="390"/>
      <c r="H24" s="385">
        <f t="shared" si="0"/>
        <v>7407.6200000000008</v>
      </c>
      <c r="I24" s="385">
        <f t="shared" si="2"/>
        <v>592.37999999999943</v>
      </c>
      <c r="J24" s="386"/>
    </row>
    <row r="25" spans="1:10" s="365" customFormat="1" ht="12.75" customHeight="1" x14ac:dyDescent="0.2">
      <c r="A25" s="229"/>
      <c r="B25" s="230"/>
      <c r="C25" s="482"/>
      <c r="D25" s="145"/>
      <c r="E25" s="384"/>
      <c r="F25" s="384">
        <f t="shared" si="1"/>
        <v>8000</v>
      </c>
      <c r="G25" s="390"/>
      <c r="H25" s="385">
        <f t="shared" si="0"/>
        <v>7407.6200000000008</v>
      </c>
      <c r="I25" s="385">
        <f t="shared" si="2"/>
        <v>592.37999999999943</v>
      </c>
      <c r="J25" s="386"/>
    </row>
    <row r="26" spans="1:10" s="365" customFormat="1" ht="12.75" customHeight="1" x14ac:dyDescent="0.2">
      <c r="A26" s="229"/>
      <c r="B26" s="230"/>
      <c r="C26" s="482"/>
      <c r="D26" s="145"/>
      <c r="E26" s="384"/>
      <c r="F26" s="384">
        <f t="shared" si="1"/>
        <v>8000</v>
      </c>
      <c r="G26" s="390"/>
      <c r="H26" s="385">
        <f t="shared" si="0"/>
        <v>7407.6200000000008</v>
      </c>
      <c r="I26" s="385">
        <f t="shared" si="2"/>
        <v>592.37999999999943</v>
      </c>
      <c r="J26" s="386"/>
    </row>
    <row r="27" spans="1:10" s="365" customFormat="1" ht="12.75" customHeight="1" x14ac:dyDescent="0.25">
      <c r="A27" s="396"/>
      <c r="B27" s="388"/>
      <c r="C27" s="489"/>
      <c r="D27" s="392"/>
      <c r="E27" s="385"/>
      <c r="F27" s="385"/>
      <c r="G27" s="385"/>
      <c r="H27" s="385"/>
      <c r="I27" s="385"/>
      <c r="J27" s="386"/>
    </row>
    <row r="28" spans="1:10" s="365" customFormat="1" ht="12.75" customHeight="1" thickBot="1" x14ac:dyDescent="0.3">
      <c r="A28" s="396"/>
      <c r="B28" s="393"/>
      <c r="C28" s="489"/>
      <c r="D28" s="394" t="s">
        <v>54</v>
      </c>
      <c r="E28" s="218">
        <f>SUM(E9:E27)</f>
        <v>8000</v>
      </c>
      <c r="F28" s="218"/>
      <c r="G28" s="218">
        <f>SUM(G9:G27)</f>
        <v>7407.6200000000008</v>
      </c>
      <c r="H28" s="218"/>
      <c r="I28" s="218">
        <f>SUM(E28-G28)</f>
        <v>592.3799999999992</v>
      </c>
      <c r="J28" s="386"/>
    </row>
    <row r="29" spans="1:10" s="365" customFormat="1" ht="12.75" customHeight="1" thickTop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26D-D95B-4E79-93A9-D133F060CE5A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'#9482.00 PM TIME'!A1</f>
        <v>IDB - Chiller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#9482.00'!B2</f>
        <v>Project # 9482.00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#9482.00'!B3</f>
        <v>Program code 948200</v>
      </c>
      <c r="B3" s="100"/>
      <c r="C3" s="100"/>
      <c r="D3" s="100"/>
      <c r="E3" s="103" t="str">
        <f>'RECAP #9482.00'!E3</f>
        <v>Major Program 4F09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#9482.00'!B6</f>
        <v>Project Manager - Oliver S.</v>
      </c>
      <c r="B6" s="106"/>
      <c r="C6" s="106"/>
      <c r="D6" s="106"/>
      <c r="E6" s="103" t="s">
        <v>411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8F8F-7990-4069-8ACF-9CBB1CD9906D}">
  <sheetPr>
    <pageSetUpPr fitToPage="1"/>
  </sheetPr>
  <dimension ref="A1:I43"/>
  <sheetViews>
    <sheetView zoomScaleNormal="100" workbookViewId="0">
      <selection activeCell="A22" sqref="A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232</v>
      </c>
      <c r="B4" s="155"/>
      <c r="C4" s="156"/>
      <c r="D4" s="157" t="s">
        <v>233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234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235</v>
      </c>
      <c r="B9" s="381">
        <v>45923</v>
      </c>
      <c r="C9" s="388" t="s">
        <v>150</v>
      </c>
      <c r="D9" s="383">
        <v>30090</v>
      </c>
      <c r="E9" s="384">
        <f>D9</f>
        <v>30090</v>
      </c>
      <c r="F9" s="385"/>
      <c r="G9" s="385"/>
      <c r="H9" s="385">
        <f>E9</f>
        <v>30090</v>
      </c>
      <c r="I9" s="386"/>
    </row>
    <row r="10" spans="1:9" s="365" customFormat="1" ht="12.75" customHeight="1" x14ac:dyDescent="0.25">
      <c r="A10" s="380" t="s">
        <v>340</v>
      </c>
      <c r="B10" s="387">
        <v>45981</v>
      </c>
      <c r="C10" s="388" t="s">
        <v>341</v>
      </c>
      <c r="D10" s="384"/>
      <c r="E10" s="384">
        <f t="shared" ref="E10:E21" si="0">E9+D10</f>
        <v>30090</v>
      </c>
      <c r="F10" s="389">
        <v>9990</v>
      </c>
      <c r="G10" s="385">
        <f t="shared" ref="G10:G21" si="1">G9+F10</f>
        <v>9990</v>
      </c>
      <c r="H10" s="385">
        <f t="shared" ref="H10:H21" si="2">H9-F10+D10</f>
        <v>20100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30090</v>
      </c>
      <c r="F11" s="390"/>
      <c r="G11" s="385">
        <f t="shared" si="1"/>
        <v>9990</v>
      </c>
      <c r="H11" s="385">
        <f t="shared" si="2"/>
        <v>20100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30090</v>
      </c>
      <c r="F12" s="390"/>
      <c r="G12" s="385">
        <f t="shared" si="1"/>
        <v>9990</v>
      </c>
      <c r="H12" s="385">
        <f t="shared" si="2"/>
        <v>20100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30090</v>
      </c>
      <c r="F13" s="390"/>
      <c r="G13" s="385">
        <f t="shared" si="1"/>
        <v>9990</v>
      </c>
      <c r="H13" s="385">
        <f t="shared" si="2"/>
        <v>20100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30090</v>
      </c>
      <c r="F14" s="385"/>
      <c r="G14" s="385">
        <f t="shared" si="1"/>
        <v>9990</v>
      </c>
      <c r="H14" s="385">
        <f t="shared" si="2"/>
        <v>20100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30090</v>
      </c>
      <c r="F15" s="390"/>
      <c r="G15" s="385">
        <f t="shared" si="1"/>
        <v>9990</v>
      </c>
      <c r="H15" s="385">
        <f t="shared" si="2"/>
        <v>20100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30090</v>
      </c>
      <c r="F16" s="390"/>
      <c r="G16" s="385">
        <f t="shared" si="1"/>
        <v>9990</v>
      </c>
      <c r="H16" s="385">
        <f t="shared" si="2"/>
        <v>20100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30090</v>
      </c>
      <c r="F17" s="390"/>
      <c r="G17" s="385">
        <f t="shared" si="1"/>
        <v>9990</v>
      </c>
      <c r="H17" s="385">
        <f t="shared" si="2"/>
        <v>20100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30090</v>
      </c>
      <c r="F18" s="390"/>
      <c r="G18" s="385">
        <f t="shared" si="1"/>
        <v>9990</v>
      </c>
      <c r="H18" s="385">
        <f t="shared" si="2"/>
        <v>20100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30090</v>
      </c>
      <c r="F19" s="385"/>
      <c r="G19" s="385">
        <f t="shared" si="1"/>
        <v>9990</v>
      </c>
      <c r="H19" s="385">
        <f t="shared" si="2"/>
        <v>20100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30090</v>
      </c>
      <c r="F20" s="385"/>
      <c r="G20" s="385">
        <f t="shared" si="1"/>
        <v>9990</v>
      </c>
      <c r="H20" s="385">
        <f t="shared" si="2"/>
        <v>20100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30090</v>
      </c>
      <c r="F21" s="385"/>
      <c r="G21" s="385">
        <f t="shared" si="1"/>
        <v>9990</v>
      </c>
      <c r="H21" s="385">
        <f t="shared" si="2"/>
        <v>20100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30090</v>
      </c>
      <c r="E23" s="218"/>
      <c r="F23" s="218">
        <f>SUM(F9:F22)</f>
        <v>9990</v>
      </c>
      <c r="G23" s="218"/>
      <c r="H23" s="218">
        <f>D23-F23</f>
        <v>20100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236</v>
      </c>
      <c r="D26" s="427">
        <v>9990</v>
      </c>
      <c r="E26" s="427"/>
      <c r="F26" s="427">
        <f>9990</f>
        <v>9990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237</v>
      </c>
      <c r="D27" s="427">
        <v>20100</v>
      </c>
      <c r="E27" s="219"/>
      <c r="F27" s="219"/>
      <c r="G27" s="219"/>
      <c r="H27" s="427">
        <f>D27-F27</f>
        <v>20100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30090</v>
      </c>
      <c r="E28" s="390"/>
      <c r="F28" s="429">
        <f>SUM(F26:F27)</f>
        <v>9990</v>
      </c>
      <c r="G28" s="390"/>
      <c r="H28" s="429">
        <f>SUM(H26:H27)</f>
        <v>20100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</sheetData>
  <conditionalFormatting sqref="I9:I25">
    <cfRule type="cellIs" dxfId="15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A002-B41B-4B83-8026-120D0889B4DB}">
  <sheetPr>
    <pageSetUpPr fitToPage="1"/>
  </sheetPr>
  <dimension ref="A1:I43"/>
  <sheetViews>
    <sheetView zoomScaleNormal="100" workbookViewId="0">
      <selection activeCell="A11" sqref="A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408</v>
      </c>
      <c r="B4" s="155"/>
      <c r="C4" s="156"/>
      <c r="D4" s="157" t="s">
        <v>409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410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412</v>
      </c>
      <c r="B9" s="381">
        <v>46028</v>
      </c>
      <c r="C9" s="388" t="s">
        <v>150</v>
      </c>
      <c r="D9" s="383">
        <v>1240</v>
      </c>
      <c r="E9" s="384">
        <f>D9</f>
        <v>1240</v>
      </c>
      <c r="F9" s="385"/>
      <c r="G9" s="385"/>
      <c r="H9" s="385">
        <f>E9</f>
        <v>1240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1240</v>
      </c>
      <c r="F10" s="389"/>
      <c r="G10" s="385">
        <f t="shared" ref="G10:G21" si="1">G9+F10</f>
        <v>0</v>
      </c>
      <c r="H10" s="385">
        <f t="shared" ref="H10:H21" si="2">H9-F10+D10</f>
        <v>1240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1240</v>
      </c>
      <c r="F11" s="390"/>
      <c r="G11" s="385">
        <f t="shared" si="1"/>
        <v>0</v>
      </c>
      <c r="H11" s="385">
        <f t="shared" si="2"/>
        <v>1240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1240</v>
      </c>
      <c r="F12" s="390"/>
      <c r="G12" s="385">
        <f t="shared" si="1"/>
        <v>0</v>
      </c>
      <c r="H12" s="385">
        <f t="shared" si="2"/>
        <v>1240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1240</v>
      </c>
      <c r="F13" s="390"/>
      <c r="G13" s="385">
        <f t="shared" si="1"/>
        <v>0</v>
      </c>
      <c r="H13" s="385">
        <f t="shared" si="2"/>
        <v>1240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1240</v>
      </c>
      <c r="F14" s="385"/>
      <c r="G14" s="385">
        <f t="shared" si="1"/>
        <v>0</v>
      </c>
      <c r="H14" s="385">
        <f t="shared" si="2"/>
        <v>1240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1240</v>
      </c>
      <c r="F15" s="390"/>
      <c r="G15" s="385">
        <f t="shared" si="1"/>
        <v>0</v>
      </c>
      <c r="H15" s="385">
        <f t="shared" si="2"/>
        <v>1240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1240</v>
      </c>
      <c r="F16" s="390"/>
      <c r="G16" s="385">
        <f t="shared" si="1"/>
        <v>0</v>
      </c>
      <c r="H16" s="385">
        <f t="shared" si="2"/>
        <v>1240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1240</v>
      </c>
      <c r="F17" s="390"/>
      <c r="G17" s="385">
        <f t="shared" si="1"/>
        <v>0</v>
      </c>
      <c r="H17" s="385">
        <f t="shared" si="2"/>
        <v>1240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1240</v>
      </c>
      <c r="F18" s="390"/>
      <c r="G18" s="385">
        <f t="shared" si="1"/>
        <v>0</v>
      </c>
      <c r="H18" s="385">
        <f t="shared" si="2"/>
        <v>1240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1240</v>
      </c>
      <c r="F19" s="385"/>
      <c r="G19" s="385">
        <f t="shared" si="1"/>
        <v>0</v>
      </c>
      <c r="H19" s="385">
        <f t="shared" si="2"/>
        <v>1240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1240</v>
      </c>
      <c r="F20" s="385"/>
      <c r="G20" s="385">
        <f t="shared" si="1"/>
        <v>0</v>
      </c>
      <c r="H20" s="385">
        <f t="shared" si="2"/>
        <v>1240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1240</v>
      </c>
      <c r="F21" s="385"/>
      <c r="G21" s="385">
        <f t="shared" si="1"/>
        <v>0</v>
      </c>
      <c r="H21" s="385">
        <f t="shared" si="2"/>
        <v>1240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1240</v>
      </c>
      <c r="E23" s="218"/>
      <c r="F23" s="218">
        <f>SUM(F9:F22)</f>
        <v>0</v>
      </c>
      <c r="G23" s="218"/>
      <c r="H23" s="218">
        <f>D23-F23</f>
        <v>1240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502"/>
      <c r="C25" s="426"/>
      <c r="D25" s="427"/>
      <c r="E25" s="427"/>
      <c r="F25" s="427"/>
      <c r="G25" s="427"/>
      <c r="H25" s="427"/>
      <c r="I25" s="386"/>
    </row>
    <row r="26" spans="1:9" s="365" customFormat="1" ht="12.75" customHeight="1" x14ac:dyDescent="0.25">
      <c r="A26" s="380"/>
      <c r="B26" s="502"/>
      <c r="C26" s="426"/>
      <c r="D26" s="427"/>
      <c r="E26" s="427"/>
      <c r="F26" s="427"/>
      <c r="G26" s="427"/>
      <c r="H26" s="427"/>
      <c r="I26" s="386"/>
    </row>
    <row r="27" spans="1:9" s="365" customFormat="1" ht="12.75" customHeight="1" x14ac:dyDescent="0.25">
      <c r="A27" s="380"/>
      <c r="B27" s="502"/>
      <c r="C27" s="426"/>
      <c r="D27" s="427"/>
      <c r="E27" s="219"/>
      <c r="F27" s="219"/>
      <c r="G27" s="219"/>
      <c r="H27" s="427"/>
      <c r="I27" s="386"/>
    </row>
    <row r="28" spans="1:9" s="365" customFormat="1" ht="12.75" customHeight="1" x14ac:dyDescent="0.25">
      <c r="A28" s="380"/>
      <c r="B28" s="502"/>
      <c r="C28" s="503"/>
      <c r="D28" s="504"/>
      <c r="E28" s="505"/>
      <c r="F28" s="504"/>
      <c r="G28" s="505"/>
      <c r="H28" s="504"/>
      <c r="I28" s="386"/>
    </row>
    <row r="29" spans="1:9" s="365" customFormat="1" ht="12.75" customHeight="1" x14ac:dyDescent="0.25">
      <c r="B29" s="506"/>
      <c r="C29" s="506"/>
      <c r="D29" s="506"/>
      <c r="E29" s="506"/>
      <c r="F29" s="506"/>
      <c r="G29" s="506"/>
      <c r="H29" s="506"/>
    </row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</sheetData>
  <conditionalFormatting sqref="I9:I25">
    <cfRule type="cellIs" dxfId="1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9F1A-A23D-455C-B0E9-FF6FD0286BDF}">
  <sheetPr>
    <pageSetUpPr fitToPage="1"/>
  </sheetPr>
  <dimension ref="A1:I61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451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452</v>
      </c>
      <c r="B9" s="381">
        <v>46045</v>
      </c>
      <c r="C9" s="388" t="s">
        <v>150</v>
      </c>
      <c r="D9" s="220">
        <v>457993</v>
      </c>
      <c r="E9" s="384">
        <f>D9</f>
        <v>457993</v>
      </c>
      <c r="F9" s="385"/>
      <c r="G9" s="385"/>
      <c r="H9" s="385">
        <f>E9</f>
        <v>457993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457993</v>
      </c>
      <c r="F10" s="390"/>
      <c r="G10" s="385">
        <f t="shared" ref="G10:G21" si="1">G9+F10</f>
        <v>0</v>
      </c>
      <c r="H10" s="385">
        <f t="shared" ref="H10:H21" si="2">H9-F10+D10</f>
        <v>457993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457993</v>
      </c>
      <c r="F11" s="390"/>
      <c r="G11" s="385">
        <f t="shared" si="1"/>
        <v>0</v>
      </c>
      <c r="H11" s="385">
        <f t="shared" si="2"/>
        <v>457993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457993</v>
      </c>
      <c r="F12" s="390"/>
      <c r="G12" s="385">
        <f t="shared" si="1"/>
        <v>0</v>
      </c>
      <c r="H12" s="385">
        <f t="shared" si="2"/>
        <v>457993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457993</v>
      </c>
      <c r="F13" s="390"/>
      <c r="G13" s="385">
        <f t="shared" si="1"/>
        <v>0</v>
      </c>
      <c r="H13" s="385">
        <f t="shared" si="2"/>
        <v>457993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457993</v>
      </c>
      <c r="F14" s="385"/>
      <c r="G14" s="385">
        <f t="shared" si="1"/>
        <v>0</v>
      </c>
      <c r="H14" s="385">
        <f t="shared" si="2"/>
        <v>457993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457993</v>
      </c>
      <c r="F15" s="390"/>
      <c r="G15" s="385">
        <f t="shared" si="1"/>
        <v>0</v>
      </c>
      <c r="H15" s="385">
        <f t="shared" si="2"/>
        <v>457993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457993</v>
      </c>
      <c r="F16" s="390"/>
      <c r="G16" s="385">
        <f t="shared" si="1"/>
        <v>0</v>
      </c>
      <c r="H16" s="385">
        <f t="shared" si="2"/>
        <v>457993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457993</v>
      </c>
      <c r="F17" s="390"/>
      <c r="G17" s="385">
        <f t="shared" si="1"/>
        <v>0</v>
      </c>
      <c r="H17" s="385">
        <f t="shared" si="2"/>
        <v>457993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457993</v>
      </c>
      <c r="F18" s="390"/>
      <c r="G18" s="385">
        <f t="shared" si="1"/>
        <v>0</v>
      </c>
      <c r="H18" s="385">
        <f t="shared" si="2"/>
        <v>457993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457993</v>
      </c>
      <c r="F19" s="385"/>
      <c r="G19" s="385">
        <f t="shared" si="1"/>
        <v>0</v>
      </c>
      <c r="H19" s="385">
        <f t="shared" si="2"/>
        <v>457993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457993</v>
      </c>
      <c r="F20" s="385"/>
      <c r="G20" s="385">
        <f t="shared" si="1"/>
        <v>0</v>
      </c>
      <c r="H20" s="385">
        <f t="shared" si="2"/>
        <v>457993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457993</v>
      </c>
      <c r="F21" s="385"/>
      <c r="G21" s="385">
        <f t="shared" si="1"/>
        <v>0</v>
      </c>
      <c r="H21" s="385">
        <f t="shared" si="2"/>
        <v>457993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457993</v>
      </c>
      <c r="E23" s="218"/>
      <c r="F23" s="218">
        <f>SUM(F9:F22)</f>
        <v>0</v>
      </c>
      <c r="G23" s="218"/>
      <c r="H23" s="218">
        <f>D23-F23</f>
        <v>457993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453</v>
      </c>
      <c r="D26" s="385">
        <v>172500</v>
      </c>
      <c r="E26" s="385"/>
      <c r="F26" s="385"/>
      <c r="G26" s="385"/>
      <c r="H26" s="385">
        <f>D26-F26</f>
        <v>172500</v>
      </c>
      <c r="I26" s="386"/>
    </row>
    <row r="27" spans="1:9" s="365" customFormat="1" ht="12.75" customHeight="1" x14ac:dyDescent="0.25">
      <c r="A27" s="380"/>
      <c r="B27" s="388"/>
      <c r="C27" s="392" t="s">
        <v>454</v>
      </c>
      <c r="D27" s="385">
        <v>159000</v>
      </c>
      <c r="E27" s="385"/>
      <c r="F27" s="385"/>
      <c r="G27" s="385"/>
      <c r="H27" s="385">
        <f t="shared" ref="H27:H29" si="3">D27-F27</f>
        <v>159000</v>
      </c>
      <c r="I27" s="386"/>
    </row>
    <row r="28" spans="1:9" s="365" customFormat="1" ht="12.75" customHeight="1" x14ac:dyDescent="0.25">
      <c r="A28" s="380"/>
      <c r="B28" s="388"/>
      <c r="C28" s="426" t="s">
        <v>310</v>
      </c>
      <c r="D28" s="427">
        <v>112681</v>
      </c>
      <c r="E28" s="427"/>
      <c r="F28" s="427"/>
      <c r="G28" s="427"/>
      <c r="H28" s="385">
        <f t="shared" si="3"/>
        <v>112681</v>
      </c>
      <c r="I28" s="386"/>
    </row>
    <row r="29" spans="1:9" s="365" customFormat="1" ht="12.75" customHeight="1" x14ac:dyDescent="0.25">
      <c r="A29" s="380"/>
      <c r="B29" s="388"/>
      <c r="C29" s="426" t="s">
        <v>455</v>
      </c>
      <c r="D29" s="427">
        <v>13812</v>
      </c>
      <c r="E29" s="219"/>
      <c r="F29" s="219"/>
      <c r="G29" s="219"/>
      <c r="H29" s="385">
        <f t="shared" si="3"/>
        <v>13812</v>
      </c>
      <c r="I29" s="386"/>
    </row>
    <row r="30" spans="1:9" s="365" customFormat="1" ht="12.75" customHeight="1" thickBot="1" x14ac:dyDescent="0.3">
      <c r="A30" s="380"/>
      <c r="B30" s="388"/>
      <c r="C30" s="428" t="s">
        <v>161</v>
      </c>
      <c r="D30" s="429">
        <f>SUM(D25:D29)</f>
        <v>457993</v>
      </c>
      <c r="E30" s="390"/>
      <c r="F30" s="429">
        <f>SUM(F25:F29)</f>
        <v>0</v>
      </c>
      <c r="G30" s="390"/>
      <c r="H30" s="429">
        <f>SUM(H25:H29)</f>
        <v>457993</v>
      </c>
      <c r="I30" s="386"/>
    </row>
    <row r="31" spans="1:9" s="365" customFormat="1" ht="12.75" customHeight="1" thickTop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</sheetData>
  <conditionalFormatting sqref="I9:I27">
    <cfRule type="cellIs" dxfId="25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2DC6-4543-4698-8AA2-E07EF5E9EF6D}">
  <sheetPr>
    <pageSetUpPr fitToPage="1"/>
  </sheetPr>
  <dimension ref="A1:G17"/>
  <sheetViews>
    <sheetView zoomScaleNormal="100" workbookViewId="0">
      <selection activeCell="B19" sqref="B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83</v>
      </c>
      <c r="C1" s="99"/>
      <c r="D1" s="9"/>
      <c r="E1" s="9"/>
      <c r="F1" s="9"/>
      <c r="G1" s="9"/>
    </row>
    <row r="2" spans="1:7" ht="15.75" x14ac:dyDescent="0.25">
      <c r="A2" s="97"/>
      <c r="B2" s="101" t="s">
        <v>87</v>
      </c>
      <c r="C2" s="100"/>
      <c r="D2" s="9"/>
      <c r="E2" s="9"/>
      <c r="F2" s="9"/>
      <c r="G2" s="9"/>
    </row>
    <row r="3" spans="1:7" ht="15.75" x14ac:dyDescent="0.25">
      <c r="A3" s="97"/>
      <c r="B3" s="102" t="s">
        <v>88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'#9486.00 Funds Rec''d'!H24</f>
        <v>1000000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8" t="s">
        <v>331</v>
      </c>
      <c r="B10" s="446" t="s">
        <v>201</v>
      </c>
      <c r="C10" s="447"/>
      <c r="D10" s="450">
        <f>'#9486.00 DCI Group'!D23</f>
        <v>5949.11</v>
      </c>
      <c r="E10" s="450">
        <f>'#9486.00 DCI Group'!F23</f>
        <v>5949.1100000000006</v>
      </c>
      <c r="F10" s="450">
        <f>'#9486.00 DCI Group'!H23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'#9486.00 PM TIME'!E28</f>
        <v>30000</v>
      </c>
      <c r="E11" s="450">
        <f>'#9486.00 PM TIME'!G28</f>
        <v>3958.38</v>
      </c>
      <c r="F11" s="450">
        <f>'#9486.00 PM TIME'!I28</f>
        <v>26041.62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'#9486.00 Misc'!G22</f>
        <v>0</v>
      </c>
      <c r="E12" s="438">
        <f>'#9486.00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263</v>
      </c>
      <c r="C13" s="448"/>
      <c r="D13" s="438">
        <f>'#9486.00 Ralph N Smith Flooring'!D23</f>
        <v>795373</v>
      </c>
      <c r="E13" s="438">
        <f>'#9486.00 Ralph N Smith Flooring'!F23</f>
        <v>509733</v>
      </c>
      <c r="F13" s="450">
        <f>'#9486.00 Ralph N Smith Flooring'!H23</f>
        <v>285640</v>
      </c>
      <c r="G13" s="449"/>
    </row>
    <row r="14" spans="1:7" s="365" customFormat="1" ht="12.75" customHeight="1" x14ac:dyDescent="0.25">
      <c r="A14" s="445"/>
      <c r="B14" s="446" t="s">
        <v>344</v>
      </c>
      <c r="C14" s="448"/>
      <c r="D14" s="438">
        <f>'#9486.00 DCI Group (2)'!D23</f>
        <v>128119.75</v>
      </c>
      <c r="E14" s="438">
        <f>'#9486.00 DCI Group (2)'!F23</f>
        <v>15758.71</v>
      </c>
      <c r="F14" s="450">
        <f>'#9486.00 DCI Group (2)'!H23</f>
        <v>112361.04000000001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1000000</v>
      </c>
      <c r="D16" s="127">
        <f>SUM(D8:D15)</f>
        <v>959441.86</v>
      </c>
      <c r="E16" s="127">
        <f>SUM(E8:E15)</f>
        <v>535399.19999999995</v>
      </c>
      <c r="F16" s="127">
        <f>SUM(D16-E16)</f>
        <v>424042.66000000003</v>
      </c>
      <c r="G16" s="127">
        <f>C8-D16</f>
        <v>40558.140000000014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2D42-1925-4A5F-B5BB-978D6759D45B}">
  <sheetPr>
    <pageSetUpPr fitToPage="1"/>
  </sheetPr>
  <dimension ref="A1:H31"/>
  <sheetViews>
    <sheetView topLeftCell="A2" zoomScaleNormal="100" workbookViewId="0">
      <selection activeCell="O20" sqref="O2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7.140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#9486.00'!B1</f>
        <v>DVA IVH Fox and Ulery Carpet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#9486.00'!B2</f>
        <v>Project # 9486.00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#9486.00'!B3</f>
        <v>Program code 948600</v>
      </c>
      <c r="B3" s="10"/>
      <c r="C3" s="131" t="s">
        <v>3</v>
      </c>
      <c r="D3" s="133" t="str">
        <f>'RECAP #9486.00'!E3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#9486.00'!B6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99</v>
      </c>
      <c r="F9" s="399">
        <v>45867</v>
      </c>
      <c r="G9" s="493">
        <v>1000000</v>
      </c>
      <c r="H9" s="493">
        <v>1000000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>
        <f>G10</f>
        <v>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1000000</v>
      </c>
      <c r="H24" s="218">
        <f>SUM(H9:H23)</f>
        <v>1000000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5" customHeight="1" x14ac:dyDescent="0.25"/>
    <row r="30" spans="1:8" s="365" customFormat="1" ht="15" customHeight="1" x14ac:dyDescent="0.25"/>
    <row r="31" spans="1:8" s="365" customFormat="1" ht="1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1CB1-9125-4D25-93CC-F41C8B1E8683}">
  <sheetPr>
    <tabColor rgb="FF0070C0"/>
    <pageSetUpPr fitToPage="1"/>
  </sheetPr>
  <dimension ref="A1:I35"/>
  <sheetViews>
    <sheetView topLeftCell="A7" zoomScaleNormal="100" workbookViewId="0">
      <selection activeCell="B38" sqref="B3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9" max="9" width="6.5703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#9486.00'!B1</f>
        <v>DVA IVH Fox and Ulery Carpet Replacement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#9486.00'!B2</f>
        <v>Project # 9486.00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#9486.00'!B3</f>
        <v>Program code 948600</v>
      </c>
      <c r="B3" s="236"/>
      <c r="C3" s="232"/>
      <c r="D3" s="238" t="str">
        <f>'RECAP #9486.00'!E3</f>
        <v>Major Program 4B03</v>
      </c>
      <c r="E3" s="232"/>
      <c r="F3" s="233"/>
      <c r="G3" s="233"/>
      <c r="H3" s="234"/>
      <c r="I3" s="234"/>
    </row>
    <row r="4" spans="1:9" ht="15.75" x14ac:dyDescent="0.25">
      <c r="A4" s="134" t="s">
        <v>201</v>
      </c>
      <c r="B4" s="155"/>
      <c r="C4" s="234"/>
      <c r="D4" s="239" t="s">
        <v>202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203</v>
      </c>
      <c r="E5" s="168"/>
      <c r="F5" s="243"/>
      <c r="G5" s="233"/>
      <c r="H5" s="234"/>
      <c r="I5" s="234"/>
    </row>
    <row r="6" spans="1:9" ht="15.75" x14ac:dyDescent="0.25">
      <c r="A6" s="244" t="str">
        <f>'RECAP #9486.00'!B6</f>
        <v>Project Manager - Brandon A</v>
      </c>
      <c r="B6" s="155"/>
      <c r="C6" s="245"/>
      <c r="D6" s="356" t="s">
        <v>148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365" customFormat="1" ht="12.75" customHeight="1" x14ac:dyDescent="0.25">
      <c r="A9" s="459" t="s">
        <v>204</v>
      </c>
      <c r="B9" s="460">
        <v>45912</v>
      </c>
      <c r="C9" s="468" t="s">
        <v>150</v>
      </c>
      <c r="D9" s="462">
        <v>6725.74</v>
      </c>
      <c r="E9" s="463">
        <f>D9</f>
        <v>6725.74</v>
      </c>
      <c r="F9" s="464"/>
      <c r="G9" s="464"/>
      <c r="H9" s="464">
        <f>E9</f>
        <v>6725.74</v>
      </c>
      <c r="I9" s="465"/>
    </row>
    <row r="10" spans="1:9" s="365" customFormat="1" ht="12.75" customHeight="1" x14ac:dyDescent="0.25">
      <c r="A10" s="459" t="s">
        <v>282</v>
      </c>
      <c r="B10" s="467">
        <v>45943</v>
      </c>
      <c r="C10" s="468" t="s">
        <v>283</v>
      </c>
      <c r="D10" s="463"/>
      <c r="E10" s="463">
        <f t="shared" ref="E10:E21" si="0">E9+D10</f>
        <v>6725.74</v>
      </c>
      <c r="F10" s="469">
        <v>2488.21</v>
      </c>
      <c r="G10" s="464">
        <f t="shared" ref="G10:G21" si="1">G9+F10</f>
        <v>2488.21</v>
      </c>
      <c r="H10" s="464">
        <f t="shared" ref="H10:H21" si="2">H9-F10+D10</f>
        <v>4237.53</v>
      </c>
      <c r="I10" s="465"/>
    </row>
    <row r="11" spans="1:9" s="365" customFormat="1" ht="12.75" customHeight="1" x14ac:dyDescent="0.25">
      <c r="A11" s="459" t="s">
        <v>345</v>
      </c>
      <c r="B11" s="460">
        <v>45994</v>
      </c>
      <c r="C11" s="468" t="s">
        <v>346</v>
      </c>
      <c r="D11" s="462">
        <v>-776.63</v>
      </c>
      <c r="E11" s="463">
        <f t="shared" si="0"/>
        <v>5949.11</v>
      </c>
      <c r="F11" s="469">
        <v>3460.9</v>
      </c>
      <c r="G11" s="464">
        <f t="shared" si="1"/>
        <v>5949.1100000000006</v>
      </c>
      <c r="H11" s="464">
        <f t="shared" si="2"/>
        <v>0</v>
      </c>
      <c r="I11" s="465"/>
    </row>
    <row r="12" spans="1:9" s="365" customFormat="1" ht="12.75" customHeight="1" x14ac:dyDescent="0.25">
      <c r="A12" s="459"/>
      <c r="B12" s="460"/>
      <c r="C12" s="468"/>
      <c r="D12" s="463"/>
      <c r="E12" s="463">
        <f t="shared" si="0"/>
        <v>5949.11</v>
      </c>
      <c r="F12" s="469"/>
      <c r="G12" s="464">
        <f t="shared" si="1"/>
        <v>5949.1100000000006</v>
      </c>
      <c r="H12" s="464">
        <f t="shared" si="2"/>
        <v>0</v>
      </c>
      <c r="I12" s="465"/>
    </row>
    <row r="13" spans="1:9" s="365" customFormat="1" ht="12.75" customHeight="1" x14ac:dyDescent="0.25">
      <c r="A13" s="459"/>
      <c r="B13" s="460"/>
      <c r="C13" s="468"/>
      <c r="D13" s="463"/>
      <c r="E13" s="463">
        <f t="shared" si="0"/>
        <v>5949.11</v>
      </c>
      <c r="F13" s="469"/>
      <c r="G13" s="464">
        <f t="shared" si="1"/>
        <v>5949.1100000000006</v>
      </c>
      <c r="H13" s="464">
        <f t="shared" si="2"/>
        <v>0</v>
      </c>
      <c r="I13" s="465"/>
    </row>
    <row r="14" spans="1:9" s="365" customFormat="1" ht="12.75" customHeight="1" x14ac:dyDescent="0.25">
      <c r="A14" s="459"/>
      <c r="B14" s="460"/>
      <c r="C14" s="468"/>
      <c r="D14" s="463"/>
      <c r="E14" s="463">
        <f t="shared" si="0"/>
        <v>5949.11</v>
      </c>
      <c r="F14" s="464"/>
      <c r="G14" s="464">
        <f t="shared" si="1"/>
        <v>5949.1100000000006</v>
      </c>
      <c r="H14" s="464">
        <f t="shared" si="2"/>
        <v>0</v>
      </c>
      <c r="I14" s="465"/>
    </row>
    <row r="15" spans="1:9" s="365" customFormat="1" ht="12.75" customHeight="1" x14ac:dyDescent="0.25">
      <c r="A15" s="459"/>
      <c r="B15" s="460"/>
      <c r="C15" s="468"/>
      <c r="D15" s="463"/>
      <c r="E15" s="463">
        <f t="shared" si="0"/>
        <v>5949.11</v>
      </c>
      <c r="F15" s="469"/>
      <c r="G15" s="464">
        <f t="shared" si="1"/>
        <v>5949.1100000000006</v>
      </c>
      <c r="H15" s="464">
        <f t="shared" si="2"/>
        <v>0</v>
      </c>
      <c r="I15" s="465"/>
    </row>
    <row r="16" spans="1:9" s="365" customFormat="1" ht="12.75" customHeight="1" x14ac:dyDescent="0.25">
      <c r="A16" s="459"/>
      <c r="B16" s="460"/>
      <c r="C16" s="468"/>
      <c r="D16" s="463"/>
      <c r="E16" s="463">
        <f t="shared" si="0"/>
        <v>5949.11</v>
      </c>
      <c r="F16" s="469"/>
      <c r="G16" s="464">
        <f t="shared" si="1"/>
        <v>5949.1100000000006</v>
      </c>
      <c r="H16" s="464">
        <f t="shared" si="2"/>
        <v>0</v>
      </c>
      <c r="I16" s="465"/>
    </row>
    <row r="17" spans="1:9" s="365" customFormat="1" ht="12.75" customHeight="1" x14ac:dyDescent="0.25">
      <c r="A17" s="459"/>
      <c r="B17" s="460"/>
      <c r="C17" s="468"/>
      <c r="D17" s="463"/>
      <c r="E17" s="463">
        <f t="shared" si="0"/>
        <v>5949.11</v>
      </c>
      <c r="F17" s="469"/>
      <c r="G17" s="464">
        <f t="shared" si="1"/>
        <v>5949.1100000000006</v>
      </c>
      <c r="H17" s="464">
        <f t="shared" si="2"/>
        <v>0</v>
      </c>
      <c r="I17" s="465"/>
    </row>
    <row r="18" spans="1:9" s="365" customFormat="1" ht="12.75" customHeight="1" x14ac:dyDescent="0.25">
      <c r="A18" s="459"/>
      <c r="B18" s="460"/>
      <c r="C18" s="468"/>
      <c r="D18" s="463"/>
      <c r="E18" s="463">
        <f t="shared" si="0"/>
        <v>5949.11</v>
      </c>
      <c r="F18" s="469"/>
      <c r="G18" s="464">
        <f t="shared" si="1"/>
        <v>5949.1100000000006</v>
      </c>
      <c r="H18" s="464">
        <f t="shared" si="2"/>
        <v>0</v>
      </c>
      <c r="I18" s="465"/>
    </row>
    <row r="19" spans="1:9" s="365" customFormat="1" ht="12.75" customHeight="1" x14ac:dyDescent="0.25">
      <c r="A19" s="459"/>
      <c r="B19" s="460"/>
      <c r="C19" s="468"/>
      <c r="D19" s="463"/>
      <c r="E19" s="463">
        <f t="shared" si="0"/>
        <v>5949.11</v>
      </c>
      <c r="F19" s="464"/>
      <c r="G19" s="464">
        <f t="shared" si="1"/>
        <v>5949.1100000000006</v>
      </c>
      <c r="H19" s="464">
        <f t="shared" si="2"/>
        <v>0</v>
      </c>
      <c r="I19" s="465"/>
    </row>
    <row r="20" spans="1:9" s="365" customFormat="1" ht="12.75" customHeight="1" x14ac:dyDescent="0.25">
      <c r="A20" s="459"/>
      <c r="B20" s="460"/>
      <c r="C20" s="468"/>
      <c r="D20" s="463"/>
      <c r="E20" s="463">
        <f t="shared" si="0"/>
        <v>5949.11</v>
      </c>
      <c r="F20" s="464"/>
      <c r="G20" s="464">
        <f t="shared" si="1"/>
        <v>5949.1100000000006</v>
      </c>
      <c r="H20" s="464">
        <f t="shared" si="2"/>
        <v>0</v>
      </c>
      <c r="I20" s="465"/>
    </row>
    <row r="21" spans="1:9" s="365" customFormat="1" ht="12.75" customHeight="1" x14ac:dyDescent="0.25">
      <c r="A21" s="459"/>
      <c r="B21" s="460"/>
      <c r="C21" s="470"/>
      <c r="D21" s="463"/>
      <c r="E21" s="463">
        <f t="shared" si="0"/>
        <v>5949.11</v>
      </c>
      <c r="F21" s="464"/>
      <c r="G21" s="464">
        <f t="shared" si="1"/>
        <v>5949.1100000000006</v>
      </c>
      <c r="H21" s="464">
        <f t="shared" si="2"/>
        <v>0</v>
      </c>
      <c r="I21" s="465"/>
    </row>
    <row r="22" spans="1:9" s="365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365" customFormat="1" ht="12.75" customHeight="1" thickBot="1" x14ac:dyDescent="0.3">
      <c r="A23" s="459"/>
      <c r="B23" s="471"/>
      <c r="C23" s="472" t="s">
        <v>54</v>
      </c>
      <c r="D23" s="473">
        <f>SUM(D9:D22)</f>
        <v>5949.11</v>
      </c>
      <c r="E23" s="473"/>
      <c r="F23" s="473">
        <f>SUM(F9:F22)</f>
        <v>5949.1100000000006</v>
      </c>
      <c r="G23" s="473"/>
      <c r="H23" s="473">
        <f>D23-F23</f>
        <v>0</v>
      </c>
      <c r="I23" s="474" t="s">
        <v>347</v>
      </c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408-88C2-451C-AD40-4E0392855EFF}">
  <sheetPr>
    <pageSetUpPr fitToPage="1"/>
  </sheetPr>
  <dimension ref="A1:J61"/>
  <sheetViews>
    <sheetView zoomScaleNormal="100" workbookViewId="0">
      <selection activeCell="B32" sqref="B3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3.7109375" customWidth="1"/>
    <col min="6" max="6" width="13.5703125" customWidth="1"/>
    <col min="7" max="7" width="12.42578125" customWidth="1"/>
    <col min="8" max="8" width="10.5703125" customWidth="1"/>
    <col min="9" max="9" width="11.8554687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#9486.00'!B1</f>
        <v>DVA IVH Fox and Ulery Carpet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#9486.00'!B2</f>
        <v>Project # 9486.00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#9486.00'!B3</f>
        <v>Program code 948600</v>
      </c>
      <c r="B3" s="100"/>
      <c r="C3" s="100"/>
      <c r="D3" s="9"/>
      <c r="E3" s="103" t="str">
        <f>'RECAP #9486.00'!E3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#9486.00'!B6</f>
        <v>Project Manager - Brandon A</v>
      </c>
      <c r="B6" s="106"/>
      <c r="C6" s="106"/>
      <c r="D6" s="166"/>
      <c r="E6" s="162" t="s">
        <v>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30000</v>
      </c>
      <c r="F9" s="384">
        <f>E9</f>
        <v>30000</v>
      </c>
      <c r="G9" s="385"/>
      <c r="H9" s="385"/>
      <c r="I9" s="385">
        <f>F9</f>
        <v>30000</v>
      </c>
      <c r="J9" s="386"/>
    </row>
    <row r="10" spans="1:10" s="365" customFormat="1" ht="12.75" customHeight="1" x14ac:dyDescent="0.25">
      <c r="A10" s="490" t="s">
        <v>152</v>
      </c>
      <c r="B10" s="491">
        <v>45876</v>
      </c>
      <c r="C10" s="488">
        <v>2507</v>
      </c>
      <c r="D10" s="486" t="s">
        <v>153</v>
      </c>
      <c r="E10" s="384"/>
      <c r="F10" s="384">
        <f t="shared" ref="F10:F26" si="0">F9+E10</f>
        <v>30000</v>
      </c>
      <c r="G10" s="389">
        <f>13.8+19.9</f>
        <v>33.700000000000003</v>
      </c>
      <c r="H10" s="385">
        <f t="shared" ref="H10:H26" si="1">H9+G10</f>
        <v>33.700000000000003</v>
      </c>
      <c r="I10" s="385">
        <f t="shared" ref="I10:I26" si="2">I9-G10+E10</f>
        <v>29966.3</v>
      </c>
      <c r="J10" s="386"/>
    </row>
    <row r="11" spans="1:10" s="365" customFormat="1" ht="12.75" customHeight="1" x14ac:dyDescent="0.25">
      <c r="A11" s="490" t="s">
        <v>152</v>
      </c>
      <c r="B11" s="491">
        <v>45876</v>
      </c>
      <c r="C11" s="488">
        <v>9500</v>
      </c>
      <c r="D11" s="492" t="s">
        <v>154</v>
      </c>
      <c r="E11" s="384"/>
      <c r="F11" s="384">
        <f t="shared" si="0"/>
        <v>30000</v>
      </c>
      <c r="G11" s="389">
        <f>24.5+344.3</f>
        <v>368.8</v>
      </c>
      <c r="H11" s="385">
        <f>H10+G11</f>
        <v>402.5</v>
      </c>
      <c r="I11" s="385">
        <f>I10-G11+E11</f>
        <v>29597.5</v>
      </c>
      <c r="J11" s="386"/>
    </row>
    <row r="12" spans="1:10" s="365" customFormat="1" ht="12.75" customHeight="1" x14ac:dyDescent="0.25">
      <c r="A12" s="490" t="s">
        <v>217</v>
      </c>
      <c r="B12" s="491">
        <v>45908</v>
      </c>
      <c r="C12" s="488">
        <v>2507</v>
      </c>
      <c r="D12" s="486" t="s">
        <v>220</v>
      </c>
      <c r="E12" s="384"/>
      <c r="F12" s="384">
        <f t="shared" si="0"/>
        <v>30000</v>
      </c>
      <c r="G12" s="389">
        <v>94.58</v>
      </c>
      <c r="H12" s="385">
        <f t="shared" si="1"/>
        <v>497.08</v>
      </c>
      <c r="I12" s="385">
        <f t="shared" si="2"/>
        <v>29502.92</v>
      </c>
      <c r="J12" s="386"/>
    </row>
    <row r="13" spans="1:10" s="365" customFormat="1" ht="12.75" customHeight="1" x14ac:dyDescent="0.25">
      <c r="A13" s="490" t="s">
        <v>217</v>
      </c>
      <c r="B13" s="491">
        <v>45908</v>
      </c>
      <c r="C13" s="488">
        <v>9500</v>
      </c>
      <c r="D13" s="492" t="s">
        <v>221</v>
      </c>
      <c r="E13" s="384"/>
      <c r="F13" s="384">
        <f t="shared" si="0"/>
        <v>30000</v>
      </c>
      <c r="G13" s="389">
        <v>732.6</v>
      </c>
      <c r="H13" s="385">
        <f>H12+G13</f>
        <v>1229.68</v>
      </c>
      <c r="I13" s="385">
        <f>I12-G13+E13</f>
        <v>28770.32</v>
      </c>
      <c r="J13" s="386"/>
    </row>
    <row r="14" spans="1:10" s="365" customFormat="1" ht="12.75" customHeight="1" x14ac:dyDescent="0.25">
      <c r="A14" s="483" t="s">
        <v>277</v>
      </c>
      <c r="B14" s="484">
        <v>45937</v>
      </c>
      <c r="C14" s="488" t="s">
        <v>278</v>
      </c>
      <c r="D14" s="486" t="s">
        <v>279</v>
      </c>
      <c r="E14" s="384"/>
      <c r="F14" s="384">
        <f t="shared" si="0"/>
        <v>30000</v>
      </c>
      <c r="G14" s="389">
        <v>91.24</v>
      </c>
      <c r="H14" s="385">
        <f t="shared" si="1"/>
        <v>1320.92</v>
      </c>
      <c r="I14" s="385">
        <f t="shared" si="2"/>
        <v>28679.079999999998</v>
      </c>
      <c r="J14" s="386"/>
    </row>
    <row r="15" spans="1:10" s="365" customFormat="1" ht="12.75" customHeight="1" x14ac:dyDescent="0.25">
      <c r="A15" s="483" t="s">
        <v>277</v>
      </c>
      <c r="B15" s="484">
        <v>45937</v>
      </c>
      <c r="C15" s="488">
        <v>9500</v>
      </c>
      <c r="D15" s="396" t="s">
        <v>280</v>
      </c>
      <c r="E15" s="384"/>
      <c r="F15" s="384">
        <f t="shared" si="0"/>
        <v>30000</v>
      </c>
      <c r="G15" s="389">
        <v>474.7</v>
      </c>
      <c r="H15" s="385">
        <f t="shared" si="1"/>
        <v>1795.6200000000001</v>
      </c>
      <c r="I15" s="385">
        <f t="shared" si="2"/>
        <v>28204.379999999997</v>
      </c>
      <c r="J15" s="386"/>
    </row>
    <row r="16" spans="1:10" s="365" customFormat="1" ht="12.75" customHeight="1" x14ac:dyDescent="0.25">
      <c r="A16" s="483" t="s">
        <v>326</v>
      </c>
      <c r="B16" s="484">
        <v>45968</v>
      </c>
      <c r="C16" s="488" t="s">
        <v>278</v>
      </c>
      <c r="D16" s="486" t="s">
        <v>329</v>
      </c>
      <c r="E16" s="384"/>
      <c r="F16" s="384">
        <f t="shared" si="0"/>
        <v>30000</v>
      </c>
      <c r="G16" s="389">
        <v>71.84</v>
      </c>
      <c r="H16" s="385">
        <f t="shared" si="1"/>
        <v>1867.46</v>
      </c>
      <c r="I16" s="385">
        <f t="shared" si="2"/>
        <v>28132.539999999997</v>
      </c>
      <c r="J16" s="386"/>
    </row>
    <row r="17" spans="1:10" s="365" customFormat="1" ht="12.75" customHeight="1" x14ac:dyDescent="0.25">
      <c r="A17" s="483" t="s">
        <v>326</v>
      </c>
      <c r="B17" s="484">
        <v>45968</v>
      </c>
      <c r="C17" s="488">
        <v>9500</v>
      </c>
      <c r="D17" s="396" t="s">
        <v>330</v>
      </c>
      <c r="E17" s="384"/>
      <c r="F17" s="384">
        <f t="shared" si="0"/>
        <v>30000</v>
      </c>
      <c r="G17" s="389">
        <v>712.1</v>
      </c>
      <c r="H17" s="385">
        <f t="shared" si="1"/>
        <v>2579.56</v>
      </c>
      <c r="I17" s="385">
        <f t="shared" si="2"/>
        <v>27420.44</v>
      </c>
      <c r="J17" s="386"/>
    </row>
    <row r="18" spans="1:10" s="365" customFormat="1" ht="12.75" customHeight="1" x14ac:dyDescent="0.25">
      <c r="A18" s="483" t="s">
        <v>390</v>
      </c>
      <c r="B18" s="484">
        <v>45996</v>
      </c>
      <c r="C18" s="485" t="s">
        <v>278</v>
      </c>
      <c r="D18" s="486" t="s">
        <v>391</v>
      </c>
      <c r="E18" s="384"/>
      <c r="F18" s="384">
        <f t="shared" si="0"/>
        <v>30000</v>
      </c>
      <c r="G18" s="389">
        <v>72.16</v>
      </c>
      <c r="H18" s="385">
        <f t="shared" si="1"/>
        <v>2651.72</v>
      </c>
      <c r="I18" s="385">
        <f t="shared" si="2"/>
        <v>27348.28</v>
      </c>
      <c r="J18" s="386"/>
    </row>
    <row r="19" spans="1:10" s="365" customFormat="1" ht="12.75" customHeight="1" x14ac:dyDescent="0.25">
      <c r="A19" s="483" t="s">
        <v>390</v>
      </c>
      <c r="B19" s="484">
        <v>45996</v>
      </c>
      <c r="C19" s="487">
        <v>9500</v>
      </c>
      <c r="D19" s="396" t="s">
        <v>392</v>
      </c>
      <c r="E19" s="384"/>
      <c r="F19" s="384">
        <f t="shared" si="0"/>
        <v>30000</v>
      </c>
      <c r="G19" s="389">
        <v>460.4</v>
      </c>
      <c r="H19" s="385">
        <f t="shared" si="1"/>
        <v>3112.12</v>
      </c>
      <c r="I19" s="385">
        <f t="shared" si="2"/>
        <v>26887.879999999997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81" t="s">
        <v>278</v>
      </c>
      <c r="D20" s="214" t="s">
        <v>426</v>
      </c>
      <c r="E20" s="384"/>
      <c r="F20" s="384">
        <f t="shared" si="0"/>
        <v>30000</v>
      </c>
      <c r="G20" s="389">
        <v>68.260000000000005</v>
      </c>
      <c r="H20" s="385">
        <f t="shared" si="1"/>
        <v>3180.38</v>
      </c>
      <c r="I20" s="385">
        <f t="shared" si="2"/>
        <v>26819.62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82">
        <v>9500</v>
      </c>
      <c r="D21" s="145" t="s">
        <v>427</v>
      </c>
      <c r="E21" s="384"/>
      <c r="F21" s="384">
        <f t="shared" si="0"/>
        <v>30000</v>
      </c>
      <c r="G21" s="389">
        <v>778</v>
      </c>
      <c r="H21" s="385">
        <f t="shared" si="1"/>
        <v>3958.38</v>
      </c>
      <c r="I21" s="385">
        <f t="shared" si="2"/>
        <v>26041.62</v>
      </c>
      <c r="J21" s="386"/>
    </row>
    <row r="22" spans="1:10" s="365" customFormat="1" ht="12.75" customHeight="1" x14ac:dyDescent="0.2">
      <c r="A22" s="229"/>
      <c r="B22" s="230"/>
      <c r="C22" s="482"/>
      <c r="D22" s="145"/>
      <c r="E22" s="384"/>
      <c r="F22" s="384">
        <f t="shared" si="0"/>
        <v>30000</v>
      </c>
      <c r="G22" s="390"/>
      <c r="H22" s="385">
        <f t="shared" si="1"/>
        <v>3958.38</v>
      </c>
      <c r="I22" s="385">
        <f t="shared" si="2"/>
        <v>26041.62</v>
      </c>
      <c r="J22" s="386"/>
    </row>
    <row r="23" spans="1:10" s="365" customFormat="1" ht="12.75" customHeight="1" x14ac:dyDescent="0.2">
      <c r="A23" s="229"/>
      <c r="B23" s="230"/>
      <c r="C23" s="482"/>
      <c r="D23" s="145"/>
      <c r="E23" s="384"/>
      <c r="F23" s="384">
        <f t="shared" si="0"/>
        <v>30000</v>
      </c>
      <c r="G23" s="390"/>
      <c r="H23" s="385">
        <f t="shared" si="1"/>
        <v>3958.38</v>
      </c>
      <c r="I23" s="385">
        <f t="shared" si="2"/>
        <v>26041.62</v>
      </c>
      <c r="J23" s="386"/>
    </row>
    <row r="24" spans="1:10" s="365" customFormat="1" ht="12.75" customHeight="1" x14ac:dyDescent="0.2">
      <c r="A24" s="229"/>
      <c r="B24" s="230"/>
      <c r="C24" s="482"/>
      <c r="D24" s="145"/>
      <c r="E24" s="384"/>
      <c r="F24" s="384">
        <f t="shared" si="0"/>
        <v>30000</v>
      </c>
      <c r="G24" s="390"/>
      <c r="H24" s="385">
        <f t="shared" si="1"/>
        <v>3958.38</v>
      </c>
      <c r="I24" s="385">
        <f t="shared" si="2"/>
        <v>26041.62</v>
      </c>
      <c r="J24" s="386"/>
    </row>
    <row r="25" spans="1:10" s="365" customFormat="1" ht="12.75" customHeight="1" x14ac:dyDescent="0.2">
      <c r="A25" s="229"/>
      <c r="B25" s="230"/>
      <c r="C25" s="482"/>
      <c r="D25" s="145"/>
      <c r="E25" s="384"/>
      <c r="F25" s="384">
        <f t="shared" si="0"/>
        <v>30000</v>
      </c>
      <c r="G25" s="390"/>
      <c r="H25" s="385">
        <f t="shared" si="1"/>
        <v>3958.38</v>
      </c>
      <c r="I25" s="385">
        <f t="shared" si="2"/>
        <v>26041.62</v>
      </c>
      <c r="J25" s="386"/>
    </row>
    <row r="26" spans="1:10" s="365" customFormat="1" ht="12.75" customHeight="1" x14ac:dyDescent="0.2">
      <c r="A26" s="229"/>
      <c r="B26" s="230"/>
      <c r="C26" s="482"/>
      <c r="D26" s="145"/>
      <c r="E26" s="384"/>
      <c r="F26" s="384">
        <f t="shared" si="0"/>
        <v>30000</v>
      </c>
      <c r="G26" s="390"/>
      <c r="H26" s="385">
        <f t="shared" si="1"/>
        <v>3958.38</v>
      </c>
      <c r="I26" s="385">
        <f t="shared" si="2"/>
        <v>26041.62</v>
      </c>
      <c r="J26" s="386"/>
    </row>
    <row r="27" spans="1:10" s="365" customFormat="1" ht="12.75" customHeight="1" x14ac:dyDescent="0.25">
      <c r="A27" s="396"/>
      <c r="B27" s="388"/>
      <c r="C27" s="488"/>
      <c r="D27" s="392"/>
      <c r="E27" s="385"/>
      <c r="F27" s="385"/>
      <c r="G27" s="385"/>
      <c r="H27" s="385"/>
      <c r="I27" s="385"/>
      <c r="J27" s="386"/>
    </row>
    <row r="28" spans="1:10" s="365" customFormat="1" ht="12.75" customHeight="1" thickBot="1" x14ac:dyDescent="0.3">
      <c r="A28" s="396"/>
      <c r="B28" s="393"/>
      <c r="C28" s="488"/>
      <c r="D28" s="394" t="s">
        <v>54</v>
      </c>
      <c r="E28" s="218">
        <f>SUM(E9:E27)</f>
        <v>30000</v>
      </c>
      <c r="F28" s="218"/>
      <c r="G28" s="218">
        <f>SUM(G9:G27)</f>
        <v>3958.38</v>
      </c>
      <c r="H28" s="218"/>
      <c r="I28" s="218">
        <f>E28-G28</f>
        <v>26041.62</v>
      </c>
      <c r="J28" s="386"/>
    </row>
    <row r="29" spans="1:10" s="365" customFormat="1" ht="12.75" customHeight="1" thickTop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578-3D52-4807-9330-A2161CEFABAF}">
  <sheetPr>
    <tabColor indexed="30"/>
    <pageSetUpPr fitToPage="1"/>
  </sheetPr>
  <dimension ref="A1:H102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#9486.00'!B1</f>
        <v>DVA IVH Fox and Ulery Carpet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#9486.00'!B2</f>
        <v>Project # 9486.00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#9486.00'!B3</f>
        <v>Program code 948600</v>
      </c>
      <c r="B3" s="100"/>
      <c r="C3" s="100"/>
      <c r="D3" s="100"/>
      <c r="E3" s="103" t="str">
        <f>'RECAP #9486.00'!E3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#9486.00'!B6</f>
        <v>Project Manager - Brandon A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5411-12B6-467F-ACD4-2DD4841933C3}">
  <sheetPr>
    <pageSetUpPr fitToPage="1"/>
  </sheetPr>
  <dimension ref="A1:I51"/>
  <sheetViews>
    <sheetView topLeftCell="A3" zoomScaleNormal="100" workbookViewId="0">
      <selection activeCell="F13" sqref="F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263</v>
      </c>
      <c r="B4" s="155"/>
      <c r="C4" s="156"/>
      <c r="D4" s="157" t="s">
        <v>264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265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268</v>
      </c>
      <c r="B9" s="381">
        <v>45930</v>
      </c>
      <c r="C9" s="388" t="s">
        <v>267</v>
      </c>
      <c r="D9" s="383">
        <v>783113</v>
      </c>
      <c r="E9" s="384">
        <f>D9</f>
        <v>783113</v>
      </c>
      <c r="F9" s="385"/>
      <c r="G9" s="385"/>
      <c r="H9" s="385">
        <f>E9</f>
        <v>783113</v>
      </c>
      <c r="I9" s="386"/>
    </row>
    <row r="10" spans="1:9" s="365" customFormat="1" ht="12.75" customHeight="1" x14ac:dyDescent="0.25">
      <c r="A10" s="380" t="s">
        <v>292</v>
      </c>
      <c r="B10" s="387">
        <v>45961</v>
      </c>
      <c r="C10" s="388" t="s">
        <v>293</v>
      </c>
      <c r="D10" s="384"/>
      <c r="E10" s="384">
        <f t="shared" ref="E10:E21" si="0">E9+D10</f>
        <v>783113</v>
      </c>
      <c r="F10" s="389">
        <v>293919</v>
      </c>
      <c r="G10" s="385">
        <f t="shared" ref="G10:G21" si="1">G9+F10</f>
        <v>293919</v>
      </c>
      <c r="H10" s="385">
        <f t="shared" ref="H10:H21" si="2">H9-F10+D10</f>
        <v>489194</v>
      </c>
      <c r="I10" s="386"/>
    </row>
    <row r="11" spans="1:9" s="365" customFormat="1" ht="12.75" customHeight="1" x14ac:dyDescent="0.25">
      <c r="A11" s="380" t="s">
        <v>268</v>
      </c>
      <c r="B11" s="381">
        <v>45996</v>
      </c>
      <c r="C11" s="388" t="s">
        <v>216</v>
      </c>
      <c r="D11" s="383">
        <v>12260</v>
      </c>
      <c r="E11" s="384">
        <f t="shared" si="0"/>
        <v>795373</v>
      </c>
      <c r="F11" s="390"/>
      <c r="G11" s="385">
        <f t="shared" si="1"/>
        <v>293919</v>
      </c>
      <c r="H11" s="385">
        <f t="shared" si="2"/>
        <v>501454</v>
      </c>
      <c r="I11" s="386"/>
    </row>
    <row r="12" spans="1:9" s="365" customFormat="1" ht="12.75" customHeight="1" x14ac:dyDescent="0.25">
      <c r="A12" s="380" t="s">
        <v>404</v>
      </c>
      <c r="B12" s="381">
        <v>46020</v>
      </c>
      <c r="C12" s="388" t="s">
        <v>405</v>
      </c>
      <c r="D12" s="384"/>
      <c r="E12" s="384">
        <f t="shared" si="0"/>
        <v>795373</v>
      </c>
      <c r="F12" s="389">
        <v>116843</v>
      </c>
      <c r="G12" s="385">
        <f t="shared" si="1"/>
        <v>410762</v>
      </c>
      <c r="H12" s="385">
        <f t="shared" si="2"/>
        <v>384611</v>
      </c>
      <c r="I12" s="386"/>
    </row>
    <row r="13" spans="1:9" s="365" customFormat="1" ht="12.75" customHeight="1" x14ac:dyDescent="0.25">
      <c r="A13" s="380" t="s">
        <v>431</v>
      </c>
      <c r="B13" s="381">
        <v>46038</v>
      </c>
      <c r="C13" s="388" t="s">
        <v>432</v>
      </c>
      <c r="D13" s="384"/>
      <c r="E13" s="384">
        <f t="shared" si="0"/>
        <v>795373</v>
      </c>
      <c r="F13" s="389">
        <v>98971</v>
      </c>
      <c r="G13" s="385">
        <f t="shared" si="1"/>
        <v>509733</v>
      </c>
      <c r="H13" s="385">
        <f t="shared" si="2"/>
        <v>285640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795373</v>
      </c>
      <c r="F14" s="385"/>
      <c r="G14" s="385">
        <f t="shared" si="1"/>
        <v>509733</v>
      </c>
      <c r="H14" s="385">
        <f t="shared" si="2"/>
        <v>285640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795373</v>
      </c>
      <c r="F15" s="390"/>
      <c r="G15" s="385">
        <f t="shared" si="1"/>
        <v>509733</v>
      </c>
      <c r="H15" s="385">
        <f t="shared" si="2"/>
        <v>285640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795373</v>
      </c>
      <c r="F16" s="390"/>
      <c r="G16" s="385">
        <f t="shared" si="1"/>
        <v>509733</v>
      </c>
      <c r="H16" s="385">
        <f t="shared" si="2"/>
        <v>285640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795373</v>
      </c>
      <c r="F17" s="390"/>
      <c r="G17" s="385">
        <f t="shared" si="1"/>
        <v>509733</v>
      </c>
      <c r="H17" s="385">
        <f t="shared" si="2"/>
        <v>285640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795373</v>
      </c>
      <c r="F18" s="390"/>
      <c r="G18" s="385">
        <f t="shared" si="1"/>
        <v>509733</v>
      </c>
      <c r="H18" s="385">
        <f t="shared" si="2"/>
        <v>285640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795373</v>
      </c>
      <c r="F19" s="385"/>
      <c r="G19" s="385">
        <f t="shared" si="1"/>
        <v>509733</v>
      </c>
      <c r="H19" s="385">
        <f t="shared" si="2"/>
        <v>285640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795373</v>
      </c>
      <c r="F20" s="385"/>
      <c r="G20" s="385">
        <f t="shared" si="1"/>
        <v>509733</v>
      </c>
      <c r="H20" s="385">
        <f t="shared" si="2"/>
        <v>285640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795373</v>
      </c>
      <c r="F21" s="385"/>
      <c r="G21" s="385">
        <f t="shared" si="1"/>
        <v>509733</v>
      </c>
      <c r="H21" s="385">
        <f t="shared" si="2"/>
        <v>285640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795373</v>
      </c>
      <c r="E23" s="218"/>
      <c r="F23" s="218">
        <f>SUM(F9:F22)</f>
        <v>509733</v>
      </c>
      <c r="G23" s="218"/>
      <c r="H23" s="218">
        <f>D23-F23</f>
        <v>285640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</sheetData>
  <conditionalFormatting sqref="I9:I23">
    <cfRule type="cellIs" dxfId="13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4DDA-296A-4238-A08F-A0A839FFEC6A}">
  <sheetPr>
    <pageSetUpPr fitToPage="1"/>
  </sheetPr>
  <dimension ref="A1:I87"/>
  <sheetViews>
    <sheetView topLeftCell="A8" zoomScaleNormal="100" workbookViewId="0">
      <selection activeCell="L19" sqref="L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3.71093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318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91" t="s">
        <v>321</v>
      </c>
      <c r="B9" s="381">
        <v>45967</v>
      </c>
      <c r="C9" s="388" t="s">
        <v>150</v>
      </c>
      <c r="D9" s="383">
        <v>128119.75</v>
      </c>
      <c r="E9" s="384">
        <f>D9</f>
        <v>128119.75</v>
      </c>
      <c r="F9" s="385"/>
      <c r="G9" s="385"/>
      <c r="H9" s="385">
        <f>E9</f>
        <v>128119.75</v>
      </c>
      <c r="I9" s="386"/>
    </row>
    <row r="10" spans="1:9" s="365" customFormat="1" ht="12.75" customHeight="1" x14ac:dyDescent="0.25">
      <c r="A10" s="391" t="s">
        <v>397</v>
      </c>
      <c r="B10" s="387">
        <v>46014</v>
      </c>
      <c r="C10" s="388" t="s">
        <v>398</v>
      </c>
      <c r="D10" s="384"/>
      <c r="E10" s="384">
        <f t="shared" ref="E10:E21" si="0">E9+D10</f>
        <v>128119.75</v>
      </c>
      <c r="F10" s="389">
        <v>5787.75</v>
      </c>
      <c r="G10" s="385">
        <f t="shared" ref="G10:G21" si="1">G9+F10</f>
        <v>5787.75</v>
      </c>
      <c r="H10" s="385">
        <f t="shared" ref="H10:H21" si="2">H9-F10+D10</f>
        <v>122332</v>
      </c>
      <c r="I10" s="386"/>
    </row>
    <row r="11" spans="1:9" s="365" customFormat="1" ht="12.75" customHeight="1" x14ac:dyDescent="0.25">
      <c r="A11" s="391" t="s">
        <v>458</v>
      </c>
      <c r="B11" s="381">
        <v>46048</v>
      </c>
      <c r="C11" s="388" t="s">
        <v>459</v>
      </c>
      <c r="D11" s="384"/>
      <c r="E11" s="384">
        <f t="shared" si="0"/>
        <v>128119.75</v>
      </c>
      <c r="F11" s="389">
        <v>9970.9599999999991</v>
      </c>
      <c r="G11" s="385">
        <f t="shared" si="1"/>
        <v>15758.71</v>
      </c>
      <c r="H11" s="385">
        <f t="shared" si="2"/>
        <v>112361.04000000001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128119.75</v>
      </c>
      <c r="F12" s="390"/>
      <c r="G12" s="385">
        <f t="shared" si="1"/>
        <v>15758.71</v>
      </c>
      <c r="H12" s="385">
        <f t="shared" si="2"/>
        <v>112361.04000000001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128119.75</v>
      </c>
      <c r="F13" s="390"/>
      <c r="G13" s="385">
        <f t="shared" si="1"/>
        <v>15758.71</v>
      </c>
      <c r="H13" s="385">
        <f t="shared" si="2"/>
        <v>112361.04000000001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128119.75</v>
      </c>
      <c r="F14" s="385"/>
      <c r="G14" s="385">
        <f t="shared" si="1"/>
        <v>15758.71</v>
      </c>
      <c r="H14" s="385">
        <f t="shared" si="2"/>
        <v>112361.04000000001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128119.75</v>
      </c>
      <c r="F15" s="390"/>
      <c r="G15" s="385">
        <f t="shared" si="1"/>
        <v>15758.71</v>
      </c>
      <c r="H15" s="385">
        <f t="shared" si="2"/>
        <v>112361.04000000001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128119.75</v>
      </c>
      <c r="F16" s="390"/>
      <c r="G16" s="385">
        <f t="shared" si="1"/>
        <v>15758.71</v>
      </c>
      <c r="H16" s="385">
        <f t="shared" si="2"/>
        <v>112361.04000000001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128119.75</v>
      </c>
      <c r="F17" s="390"/>
      <c r="G17" s="385">
        <f t="shared" si="1"/>
        <v>15758.71</v>
      </c>
      <c r="H17" s="385">
        <f t="shared" si="2"/>
        <v>112361.04000000001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128119.75</v>
      </c>
      <c r="F18" s="390"/>
      <c r="G18" s="385">
        <f t="shared" si="1"/>
        <v>15758.71</v>
      </c>
      <c r="H18" s="385">
        <f t="shared" si="2"/>
        <v>112361.04000000001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128119.75</v>
      </c>
      <c r="F19" s="385"/>
      <c r="G19" s="385">
        <f t="shared" si="1"/>
        <v>15758.71</v>
      </c>
      <c r="H19" s="385">
        <f t="shared" si="2"/>
        <v>112361.04000000001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128119.75</v>
      </c>
      <c r="F20" s="385"/>
      <c r="G20" s="385">
        <f t="shared" si="1"/>
        <v>15758.71</v>
      </c>
      <c r="H20" s="385">
        <f t="shared" si="2"/>
        <v>112361.04000000001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128119.75</v>
      </c>
      <c r="F21" s="385"/>
      <c r="G21" s="385">
        <f t="shared" si="1"/>
        <v>15758.71</v>
      </c>
      <c r="H21" s="385">
        <f t="shared" si="2"/>
        <v>112361.04000000001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128119.75</v>
      </c>
      <c r="E23" s="218"/>
      <c r="F23" s="218">
        <f>SUM(F9:F22)</f>
        <v>15758.71</v>
      </c>
      <c r="G23" s="218"/>
      <c r="H23" s="218">
        <f>D23-F23</f>
        <v>112361.04000000001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319</v>
      </c>
      <c r="D26" s="427">
        <v>83964.1</v>
      </c>
      <c r="E26" s="427"/>
      <c r="F26" s="427">
        <f>3701.22+7884.43</f>
        <v>11585.65</v>
      </c>
      <c r="G26" s="427"/>
      <c r="H26" s="427">
        <f>D26-F26</f>
        <v>72378.450000000012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5000</v>
      </c>
      <c r="E27" s="427"/>
      <c r="F27" s="427">
        <f>128.75+128.75</f>
        <v>257.5</v>
      </c>
      <c r="G27" s="427"/>
      <c r="H27" s="427">
        <f t="shared" ref="H27:H28" si="3">D27-F27</f>
        <v>4742.5</v>
      </c>
      <c r="I27" s="386"/>
    </row>
    <row r="28" spans="1:9" s="365" customFormat="1" ht="12.75" customHeight="1" x14ac:dyDescent="0.25">
      <c r="A28" s="380"/>
      <c r="B28" s="388"/>
      <c r="C28" s="426" t="s">
        <v>320</v>
      </c>
      <c r="D28" s="427">
        <v>39155.65</v>
      </c>
      <c r="E28" s="219"/>
      <c r="F28" s="427">
        <f>1957.78+1957.78</f>
        <v>3915.56</v>
      </c>
      <c r="G28" s="219"/>
      <c r="H28" s="427">
        <f t="shared" si="3"/>
        <v>35240.090000000004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128119.75</v>
      </c>
      <c r="E29" s="390"/>
      <c r="F29" s="429">
        <f>SUM(F26:F28)</f>
        <v>15758.71</v>
      </c>
      <c r="G29" s="390"/>
      <c r="H29" s="429">
        <f>SUM(H26:H28)</f>
        <v>112361.04000000001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</sheetData>
  <conditionalFormatting sqref="I9:I25">
    <cfRule type="cellIs" dxfId="12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8467-A29B-4AC9-BDDF-0E5E73EE6C3F}">
  <sheetPr>
    <pageSetUpPr fitToPage="1"/>
  </sheetPr>
  <dimension ref="A1:G17"/>
  <sheetViews>
    <sheetView zoomScaleNormal="100" workbookViewId="0">
      <selection activeCell="F15" sqref="F1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84</v>
      </c>
      <c r="C1" s="99"/>
      <c r="D1" s="9"/>
      <c r="E1" s="9"/>
      <c r="F1" s="9"/>
      <c r="G1" s="9"/>
    </row>
    <row r="2" spans="1:7" ht="15.75" x14ac:dyDescent="0.25">
      <c r="A2" s="97"/>
      <c r="B2" s="101" t="s">
        <v>89</v>
      </c>
      <c r="C2" s="100"/>
      <c r="D2" s="9"/>
      <c r="E2" s="9"/>
      <c r="F2" s="9"/>
      <c r="G2" s="9"/>
    </row>
    <row r="3" spans="1:7" ht="15.75" x14ac:dyDescent="0.25">
      <c r="A3" s="97"/>
      <c r="B3" s="102" t="s">
        <v>90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'#9487.00 Funds Rec''d'!H24</f>
        <v>500000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'#9487.00 DCI Group'!D23</f>
        <v>29130.18</v>
      </c>
      <c r="E10" s="450">
        <f>'#9487.00 DCI Group'!F23</f>
        <v>11297.699999999999</v>
      </c>
      <c r="F10" s="450">
        <f>'#9487.00 DCI Group'!H23</f>
        <v>17832.480000000003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'#9487.00 PM TIME'!E28</f>
        <v>20000</v>
      </c>
      <c r="E11" s="450">
        <f>'#9487.00 PM TIME'!G28</f>
        <v>4481.5499999999993</v>
      </c>
      <c r="F11" s="450">
        <f>'#9487.00 PM TIME'!I28</f>
        <v>15518.45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'#9487.00 Misc'!G22</f>
        <v>0</v>
      </c>
      <c r="E12" s="438">
        <f>'#9487.00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'#9487.00 Genesis Architectural'!D23</f>
        <v>13500</v>
      </c>
      <c r="E13" s="438">
        <f>'#9487.00 Genesis Architectural'!F23</f>
        <v>12930</v>
      </c>
      <c r="F13" s="450">
        <f>'#9487.00 Genesis Architectural'!H23</f>
        <v>570</v>
      </c>
      <c r="G13" s="449"/>
    </row>
    <row r="14" spans="1:7" s="365" customFormat="1" ht="12.75" customHeight="1" x14ac:dyDescent="0.25">
      <c r="A14" s="445"/>
      <c r="B14" s="446" t="s">
        <v>471</v>
      </c>
      <c r="C14" s="448"/>
      <c r="D14" s="438">
        <f>'#9487.00 Genesis Architectu (2)'!D23</f>
        <v>4150</v>
      </c>
      <c r="E14" s="438">
        <f>'#9487.00 Genesis Architectu (2)'!F23</f>
        <v>0</v>
      </c>
      <c r="F14" s="450">
        <f>'#9487.00 Genesis Architectu (2)'!H23</f>
        <v>4150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500000</v>
      </c>
      <c r="D16" s="127">
        <f>SUM(D8:D15)</f>
        <v>66780.179999999993</v>
      </c>
      <c r="E16" s="127">
        <f>SUM(E8:E15)</f>
        <v>28709.25</v>
      </c>
      <c r="F16" s="127">
        <f>SUM(D16-E16)</f>
        <v>38070.929999999993</v>
      </c>
      <c r="G16" s="127">
        <f>C8-D16</f>
        <v>433219.82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08ED-4FE2-4C89-BAC8-42BF82E88F51}">
  <sheetPr>
    <pageSetUpPr fitToPage="1"/>
  </sheetPr>
  <dimension ref="A1:H41"/>
  <sheetViews>
    <sheetView zoomScaleNormal="100" workbookViewId="0">
      <selection activeCell="B30" sqref="B3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#9487.00'!B1</f>
        <v>DVA IVH Loftus and Malloy Water Infiltration-Flooding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#9487.00'!B2</f>
        <v>Project # 9487.00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#9487.00'!B3</f>
        <v>Program code 948700</v>
      </c>
      <c r="B3" s="10"/>
      <c r="C3" s="131" t="s">
        <v>3</v>
      </c>
      <c r="D3" s="133" t="str">
        <f>'RECAP #9487.00'!E3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100</v>
      </c>
      <c r="F9" s="399">
        <v>45867</v>
      </c>
      <c r="G9" s="493">
        <v>500000</v>
      </c>
      <c r="H9" s="493">
        <v>500000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500000</v>
      </c>
      <c r="H24" s="218">
        <f>SUM(H9:H23)</f>
        <v>500000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C3B7-624F-4C32-9D24-43AF9AD83E9C}">
  <sheetPr>
    <pageSetUpPr fitToPage="1"/>
  </sheetPr>
  <dimension ref="A1:I33"/>
  <sheetViews>
    <sheetView topLeftCell="A5" zoomScaleNormal="100" workbookViewId="0">
      <selection activeCell="A19" sqref="A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205</v>
      </c>
      <c r="B9" s="381">
        <v>45912</v>
      </c>
      <c r="C9" s="388" t="s">
        <v>150</v>
      </c>
      <c r="D9" s="383">
        <v>29130.18</v>
      </c>
      <c r="E9" s="384">
        <f>D9</f>
        <v>29130.18</v>
      </c>
      <c r="F9" s="385"/>
      <c r="G9" s="385"/>
      <c r="H9" s="385">
        <f>E9</f>
        <v>29130.18</v>
      </c>
      <c r="I9" s="386"/>
    </row>
    <row r="10" spans="1:9" s="365" customFormat="1" ht="12.75" customHeight="1" x14ac:dyDescent="0.25">
      <c r="A10" s="380" t="s">
        <v>348</v>
      </c>
      <c r="B10" s="387">
        <v>45994</v>
      </c>
      <c r="C10" s="388" t="s">
        <v>349</v>
      </c>
      <c r="D10" s="384"/>
      <c r="E10" s="384">
        <f t="shared" ref="E10:E21" si="0">E9+D10</f>
        <v>29130.18</v>
      </c>
      <c r="F10" s="389">
        <v>7266.66</v>
      </c>
      <c r="G10" s="385">
        <f t="shared" ref="G10:G21" si="1">G9+F10</f>
        <v>7266.66</v>
      </c>
      <c r="H10" s="385">
        <f t="shared" ref="H10:H21" si="2">H9-F10+D10</f>
        <v>21863.52</v>
      </c>
      <c r="I10" s="386"/>
    </row>
    <row r="11" spans="1:9" s="365" customFormat="1" ht="12.75" customHeight="1" x14ac:dyDescent="0.25">
      <c r="A11" s="380" t="s">
        <v>399</v>
      </c>
      <c r="B11" s="381">
        <v>46014</v>
      </c>
      <c r="C11" s="388" t="s">
        <v>400</v>
      </c>
      <c r="D11" s="384"/>
      <c r="E11" s="384">
        <f t="shared" si="0"/>
        <v>29130.18</v>
      </c>
      <c r="F11" s="389">
        <v>1220.22</v>
      </c>
      <c r="G11" s="385">
        <f t="shared" si="1"/>
        <v>8486.8799999999992</v>
      </c>
      <c r="H11" s="385">
        <f t="shared" si="2"/>
        <v>20643.3</v>
      </c>
      <c r="I11" s="386"/>
    </row>
    <row r="12" spans="1:9" s="365" customFormat="1" ht="12.75" customHeight="1" x14ac:dyDescent="0.25">
      <c r="A12" s="380" t="s">
        <v>460</v>
      </c>
      <c r="B12" s="381">
        <v>46048</v>
      </c>
      <c r="C12" s="388" t="s">
        <v>461</v>
      </c>
      <c r="D12" s="384"/>
      <c r="E12" s="384">
        <f t="shared" si="0"/>
        <v>29130.18</v>
      </c>
      <c r="F12" s="389">
        <v>2810.82</v>
      </c>
      <c r="G12" s="385">
        <f t="shared" si="1"/>
        <v>11297.699999999999</v>
      </c>
      <c r="H12" s="385">
        <f t="shared" si="2"/>
        <v>17832.48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29130.18</v>
      </c>
      <c r="F13" s="390"/>
      <c r="G13" s="385">
        <f t="shared" si="1"/>
        <v>11297.699999999999</v>
      </c>
      <c r="H13" s="385">
        <f t="shared" si="2"/>
        <v>17832.48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29130.18</v>
      </c>
      <c r="F14" s="385"/>
      <c r="G14" s="385">
        <f t="shared" si="1"/>
        <v>11297.699999999999</v>
      </c>
      <c r="H14" s="385">
        <f t="shared" si="2"/>
        <v>17832.48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29130.18</v>
      </c>
      <c r="F15" s="390"/>
      <c r="G15" s="385">
        <f t="shared" si="1"/>
        <v>11297.699999999999</v>
      </c>
      <c r="H15" s="385">
        <f t="shared" si="2"/>
        <v>17832.48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29130.18</v>
      </c>
      <c r="F16" s="390"/>
      <c r="G16" s="385">
        <f t="shared" si="1"/>
        <v>11297.699999999999</v>
      </c>
      <c r="H16" s="385">
        <f t="shared" si="2"/>
        <v>17832.48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29130.18</v>
      </c>
      <c r="F17" s="390"/>
      <c r="G17" s="385">
        <f t="shared" si="1"/>
        <v>11297.699999999999</v>
      </c>
      <c r="H17" s="385">
        <f t="shared" si="2"/>
        <v>17832.48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29130.18</v>
      </c>
      <c r="F18" s="390"/>
      <c r="G18" s="385">
        <f t="shared" si="1"/>
        <v>11297.699999999999</v>
      </c>
      <c r="H18" s="385">
        <f t="shared" si="2"/>
        <v>17832.48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29130.18</v>
      </c>
      <c r="F19" s="385"/>
      <c r="G19" s="385">
        <f t="shared" si="1"/>
        <v>11297.699999999999</v>
      </c>
      <c r="H19" s="385">
        <f t="shared" si="2"/>
        <v>17832.48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29130.18</v>
      </c>
      <c r="F20" s="385"/>
      <c r="G20" s="385">
        <f t="shared" si="1"/>
        <v>11297.699999999999</v>
      </c>
      <c r="H20" s="385">
        <f t="shared" si="2"/>
        <v>17832.48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29130.18</v>
      </c>
      <c r="F21" s="385"/>
      <c r="G21" s="385">
        <f t="shared" si="1"/>
        <v>11297.699999999999</v>
      </c>
      <c r="H21" s="385">
        <f t="shared" si="2"/>
        <v>17832.48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29130.18</v>
      </c>
      <c r="E23" s="218"/>
      <c r="F23" s="218">
        <f>SUM(F9:F22)</f>
        <v>11297.699999999999</v>
      </c>
      <c r="G23" s="218"/>
      <c r="H23" s="218">
        <f>D23-F23</f>
        <v>17832.480000000003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28130.18</v>
      </c>
      <c r="E26" s="427"/>
      <c r="F26" s="427">
        <f>7060.66+1220.22+2810.82</f>
        <v>11091.699999999999</v>
      </c>
      <c r="G26" s="427"/>
      <c r="H26" s="427">
        <f>D26-F26</f>
        <v>17038.480000000003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219"/>
      <c r="F27" s="427">
        <f>206</f>
        <v>206</v>
      </c>
      <c r="G27" s="219"/>
      <c r="H27" s="427">
        <f>D27-F27</f>
        <v>794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29130.18</v>
      </c>
      <c r="E28" s="390"/>
      <c r="F28" s="429">
        <f>SUM(F26:F27)</f>
        <v>11297.699999999999</v>
      </c>
      <c r="G28" s="390"/>
      <c r="H28" s="429">
        <f>SUM(H26:H27)</f>
        <v>17832.480000000003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</sheetData>
  <conditionalFormatting sqref="I9:I25">
    <cfRule type="cellIs" dxfId="11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5D90-2808-4FFE-A620-9BDC7FD8FE1E}">
  <sheetPr>
    <pageSetUpPr fitToPage="1"/>
  </sheetPr>
  <dimension ref="A1:J33"/>
  <sheetViews>
    <sheetView topLeftCell="A3" zoomScaleNormal="100" workbookViewId="0">
      <selection activeCell="G15" sqref="G1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855468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#9279.50'!B1</f>
        <v>HHS WRC Campus Utility Decentralization Phase 5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#9279.50'!B2</f>
        <v>Project # 9279.50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#9279.50'!B3</f>
        <v>Program code 927950</v>
      </c>
      <c r="B3" s="100"/>
      <c r="C3" s="100"/>
      <c r="D3" s="9"/>
      <c r="E3" s="103" t="str">
        <f>'RECAP #9279.50'!E3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#9279.50'!B6</f>
        <v>Project Manager - Jennifer K.</v>
      </c>
      <c r="B6" s="106"/>
      <c r="C6" s="106"/>
      <c r="D6" s="166"/>
      <c r="E6" s="162" t="s">
        <v>324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293189</f>
        <v>293189</v>
      </c>
      <c r="F9" s="384">
        <f>E9</f>
        <v>293189</v>
      </c>
      <c r="G9" s="385"/>
      <c r="H9" s="385"/>
      <c r="I9" s="385">
        <f>F9</f>
        <v>293189</v>
      </c>
      <c r="J9" s="386"/>
    </row>
    <row r="10" spans="1:10" s="365" customFormat="1" ht="12.75" customHeight="1" x14ac:dyDescent="0.25">
      <c r="A10" s="483" t="s">
        <v>390</v>
      </c>
      <c r="B10" s="484">
        <v>45996</v>
      </c>
      <c r="C10" s="485" t="s">
        <v>278</v>
      </c>
      <c r="D10" s="486" t="s">
        <v>391</v>
      </c>
      <c r="E10" s="384"/>
      <c r="F10" s="384">
        <f t="shared" ref="F10:F21" si="0">E10</f>
        <v>0</v>
      </c>
      <c r="G10" s="389">
        <v>116.55</v>
      </c>
      <c r="H10" s="385">
        <f t="shared" ref="H10:H21" si="1">H9+G10</f>
        <v>116.55</v>
      </c>
      <c r="I10" s="436">
        <f>I9-G10+E10</f>
        <v>293072.45</v>
      </c>
      <c r="J10" s="386"/>
    </row>
    <row r="11" spans="1:10" s="365" customFormat="1" ht="12.75" customHeight="1" x14ac:dyDescent="0.25">
      <c r="A11" s="483" t="s">
        <v>390</v>
      </c>
      <c r="B11" s="484">
        <v>45996</v>
      </c>
      <c r="C11" s="487">
        <v>9500</v>
      </c>
      <c r="D11" s="396" t="s">
        <v>392</v>
      </c>
      <c r="E11" s="384"/>
      <c r="F11" s="384">
        <f t="shared" si="0"/>
        <v>0</v>
      </c>
      <c r="G11" s="389">
        <v>741.5</v>
      </c>
      <c r="H11" s="385">
        <f t="shared" si="1"/>
        <v>858.05</v>
      </c>
      <c r="I11" s="436">
        <f t="shared" ref="I11:I21" si="2">I10-G11+E11</f>
        <v>292330.95</v>
      </c>
      <c r="J11" s="386"/>
    </row>
    <row r="12" spans="1:10" s="365" customFormat="1" ht="12.75" customHeight="1" x14ac:dyDescent="0.25">
      <c r="A12" s="396" t="s">
        <v>394</v>
      </c>
      <c r="B12" s="381">
        <v>46009</v>
      </c>
      <c r="C12" s="485" t="s">
        <v>278</v>
      </c>
      <c r="D12" s="392" t="s">
        <v>395</v>
      </c>
      <c r="E12" s="384"/>
      <c r="F12" s="384">
        <f t="shared" si="0"/>
        <v>0</v>
      </c>
      <c r="G12" s="444">
        <v>-116.55</v>
      </c>
      <c r="H12" s="385">
        <f t="shared" si="1"/>
        <v>741.5</v>
      </c>
      <c r="I12" s="436">
        <f t="shared" si="2"/>
        <v>292447.5</v>
      </c>
      <c r="J12" s="386"/>
    </row>
    <row r="13" spans="1:10" s="365" customFormat="1" ht="12.75" customHeight="1" x14ac:dyDescent="0.25">
      <c r="A13" s="396" t="s">
        <v>394</v>
      </c>
      <c r="B13" s="381">
        <v>46009</v>
      </c>
      <c r="C13" s="487">
        <v>9500</v>
      </c>
      <c r="D13" s="392" t="s">
        <v>395</v>
      </c>
      <c r="E13" s="384"/>
      <c r="F13" s="384">
        <f t="shared" si="0"/>
        <v>0</v>
      </c>
      <c r="G13" s="444">
        <v>-741.5</v>
      </c>
      <c r="H13" s="385">
        <f t="shared" si="1"/>
        <v>0</v>
      </c>
      <c r="I13" s="385">
        <f t="shared" si="2"/>
        <v>293189</v>
      </c>
      <c r="J13" s="386"/>
    </row>
    <row r="14" spans="1:10" s="365" customFormat="1" ht="12.75" customHeight="1" x14ac:dyDescent="0.2">
      <c r="A14" s="229" t="s">
        <v>425</v>
      </c>
      <c r="B14" s="230">
        <v>46030</v>
      </c>
      <c r="C14" s="481" t="s">
        <v>278</v>
      </c>
      <c r="D14" s="214" t="s">
        <v>426</v>
      </c>
      <c r="E14" s="384"/>
      <c r="F14" s="384">
        <f t="shared" si="0"/>
        <v>0</v>
      </c>
      <c r="G14" s="389">
        <v>21.39</v>
      </c>
      <c r="H14" s="385">
        <f t="shared" si="1"/>
        <v>21.39</v>
      </c>
      <c r="I14" s="385">
        <f t="shared" si="2"/>
        <v>293167.61</v>
      </c>
      <c r="J14" s="386"/>
    </row>
    <row r="15" spans="1:10" s="365" customFormat="1" ht="12.75" customHeight="1" x14ac:dyDescent="0.2">
      <c r="A15" s="229" t="s">
        <v>425</v>
      </c>
      <c r="B15" s="230">
        <v>46030</v>
      </c>
      <c r="C15" s="482">
        <v>9500</v>
      </c>
      <c r="D15" s="145" t="s">
        <v>427</v>
      </c>
      <c r="E15" s="384"/>
      <c r="F15" s="384">
        <f t="shared" si="0"/>
        <v>0</v>
      </c>
      <c r="G15" s="389">
        <v>243.3</v>
      </c>
      <c r="H15" s="385">
        <f t="shared" si="1"/>
        <v>264.69</v>
      </c>
      <c r="I15" s="385">
        <f t="shared" si="2"/>
        <v>292924.31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264.69</v>
      </c>
      <c r="I16" s="385">
        <f t="shared" si="2"/>
        <v>292924.31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264.69</v>
      </c>
      <c r="I17" s="385">
        <f t="shared" si="2"/>
        <v>292924.31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264.69</v>
      </c>
      <c r="I18" s="385">
        <f t="shared" si="2"/>
        <v>292924.31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264.69</v>
      </c>
      <c r="I19" s="385">
        <f t="shared" si="2"/>
        <v>292924.31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264.69</v>
      </c>
      <c r="I20" s="385">
        <f t="shared" si="2"/>
        <v>292924.31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264.69</v>
      </c>
      <c r="I21" s="385">
        <f t="shared" si="2"/>
        <v>292924.31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293189</v>
      </c>
      <c r="F23" s="218"/>
      <c r="G23" s="218">
        <f>SUM(G9:G22)</f>
        <v>264.69</v>
      </c>
      <c r="H23" s="218"/>
      <c r="I23" s="218">
        <f>SUM(E23-G23)</f>
        <v>292924.31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F785-22AE-41B1-90ED-6F4F741A216E}">
  <sheetPr>
    <pageSetUpPr fitToPage="1"/>
  </sheetPr>
  <dimension ref="A1:J37"/>
  <sheetViews>
    <sheetView topLeftCell="A4" zoomScaleNormal="100" workbookViewId="0">
      <selection activeCell="M23" sqref="M23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5.4257812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#9487.00'!B1</f>
        <v>DVA IVH Loftus and Malloy Water Infiltration-Flooding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#9487.00'!B2</f>
        <v>Project # 9487.00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#9487.00'!B3</f>
        <v>Program code 948700</v>
      </c>
      <c r="B3" s="100"/>
      <c r="C3" s="100"/>
      <c r="D3" s="9"/>
      <c r="E3" s="103" t="str">
        <f>'RECAP #9487.00'!E3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#9487.00'!B6</f>
        <v>Project Manager - Brad T.</v>
      </c>
      <c r="B6" s="106"/>
      <c r="C6" s="106"/>
      <c r="D6" s="166"/>
      <c r="E6" s="162" t="s">
        <v>94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ht="12.75" customHeight="1" x14ac:dyDescent="0.25">
      <c r="A9" s="193"/>
      <c r="B9" s="178"/>
      <c r="C9" s="178"/>
      <c r="D9" s="194" t="s">
        <v>96</v>
      </c>
      <c r="E9" s="195">
        <v>20000</v>
      </c>
      <c r="F9" s="180">
        <f>E9</f>
        <v>20000</v>
      </c>
      <c r="G9" s="181"/>
      <c r="H9" s="181"/>
      <c r="I9" s="181">
        <f>F9</f>
        <v>20000</v>
      </c>
      <c r="J9" s="182"/>
    </row>
    <row r="10" spans="1:10" ht="12.75" customHeight="1" x14ac:dyDescent="0.25">
      <c r="A10" s="211" t="s">
        <v>152</v>
      </c>
      <c r="B10" s="212">
        <v>45876</v>
      </c>
      <c r="C10" s="213">
        <v>2507</v>
      </c>
      <c r="D10" s="214" t="s">
        <v>153</v>
      </c>
      <c r="E10" s="180"/>
      <c r="F10" s="180">
        <f t="shared" ref="F10:F26" si="0">F9+E10</f>
        <v>20000</v>
      </c>
      <c r="G10" s="196">
        <f>13.8+19.9</f>
        <v>33.700000000000003</v>
      </c>
      <c r="H10" s="181">
        <f t="shared" ref="H10:H26" si="1">H9+G10</f>
        <v>33.700000000000003</v>
      </c>
      <c r="I10" s="181">
        <f t="shared" ref="I10:I26" si="2">I9-G10+E10</f>
        <v>19966.3</v>
      </c>
      <c r="J10" s="182"/>
    </row>
    <row r="11" spans="1:10" ht="12.75" customHeight="1" x14ac:dyDescent="0.25">
      <c r="A11" s="211" t="s">
        <v>152</v>
      </c>
      <c r="B11" s="212">
        <v>45876</v>
      </c>
      <c r="C11" s="213">
        <v>9500</v>
      </c>
      <c r="D11" s="215" t="s">
        <v>154</v>
      </c>
      <c r="E11" s="180"/>
      <c r="F11" s="180">
        <f t="shared" si="0"/>
        <v>20000</v>
      </c>
      <c r="G11" s="196">
        <f>24.5+344.3</f>
        <v>368.8</v>
      </c>
      <c r="H11" s="181">
        <f t="shared" si="1"/>
        <v>402.5</v>
      </c>
      <c r="I11" s="181">
        <f t="shared" si="2"/>
        <v>19597.5</v>
      </c>
      <c r="J11" s="182"/>
    </row>
    <row r="12" spans="1:10" ht="12.75" customHeight="1" x14ac:dyDescent="0.25">
      <c r="A12" s="211" t="s">
        <v>217</v>
      </c>
      <c r="B12" s="212">
        <v>45908</v>
      </c>
      <c r="C12" s="213">
        <v>2507</v>
      </c>
      <c r="D12" s="214" t="s">
        <v>220</v>
      </c>
      <c r="E12" s="180"/>
      <c r="F12" s="180">
        <f t="shared" si="0"/>
        <v>20000</v>
      </c>
      <c r="G12" s="196">
        <v>99.87</v>
      </c>
      <c r="H12" s="181">
        <f t="shared" si="1"/>
        <v>502.37</v>
      </c>
      <c r="I12" s="181">
        <f t="shared" si="2"/>
        <v>19497.63</v>
      </c>
      <c r="J12" s="182"/>
    </row>
    <row r="13" spans="1:10" ht="12.75" customHeight="1" x14ac:dyDescent="0.25">
      <c r="A13" s="211" t="s">
        <v>217</v>
      </c>
      <c r="B13" s="212">
        <v>45908</v>
      </c>
      <c r="C13" s="213">
        <v>9500</v>
      </c>
      <c r="D13" s="215" t="s">
        <v>221</v>
      </c>
      <c r="E13" s="180"/>
      <c r="F13" s="180">
        <f t="shared" si="0"/>
        <v>20000</v>
      </c>
      <c r="G13" s="196">
        <v>776.9</v>
      </c>
      <c r="H13" s="181">
        <f t="shared" si="1"/>
        <v>1279.27</v>
      </c>
      <c r="I13" s="181">
        <f t="shared" si="2"/>
        <v>18720.73</v>
      </c>
      <c r="J13" s="182"/>
    </row>
    <row r="14" spans="1:10" ht="12.75" customHeight="1" x14ac:dyDescent="0.25">
      <c r="A14" s="229" t="s">
        <v>277</v>
      </c>
      <c r="B14" s="230">
        <v>45937</v>
      </c>
      <c r="C14" s="213" t="s">
        <v>278</v>
      </c>
      <c r="D14" s="214" t="s">
        <v>279</v>
      </c>
      <c r="E14" s="180"/>
      <c r="F14" s="180">
        <f t="shared" si="0"/>
        <v>20000</v>
      </c>
      <c r="G14" s="196">
        <v>127.29</v>
      </c>
      <c r="H14" s="181">
        <f t="shared" si="1"/>
        <v>1406.56</v>
      </c>
      <c r="I14" s="181">
        <f t="shared" si="2"/>
        <v>18593.439999999999</v>
      </c>
      <c r="J14" s="182"/>
    </row>
    <row r="15" spans="1:10" ht="12.75" customHeight="1" x14ac:dyDescent="0.25">
      <c r="A15" s="229" t="s">
        <v>277</v>
      </c>
      <c r="B15" s="230">
        <v>45937</v>
      </c>
      <c r="C15" s="213">
        <v>9500</v>
      </c>
      <c r="D15" s="145" t="s">
        <v>280</v>
      </c>
      <c r="E15" s="180"/>
      <c r="F15" s="180">
        <f t="shared" si="0"/>
        <v>20000</v>
      </c>
      <c r="G15" s="196">
        <v>666.1</v>
      </c>
      <c r="H15" s="181">
        <f t="shared" si="1"/>
        <v>2072.66</v>
      </c>
      <c r="I15" s="181">
        <f t="shared" si="2"/>
        <v>17927.34</v>
      </c>
      <c r="J15" s="182"/>
    </row>
    <row r="16" spans="1:10" ht="12.75" customHeight="1" x14ac:dyDescent="0.25">
      <c r="A16" s="229" t="s">
        <v>326</v>
      </c>
      <c r="B16" s="230">
        <v>45968</v>
      </c>
      <c r="C16" s="213" t="s">
        <v>278</v>
      </c>
      <c r="D16" s="214" t="s">
        <v>329</v>
      </c>
      <c r="E16" s="180"/>
      <c r="F16" s="180">
        <f t="shared" si="0"/>
        <v>20000</v>
      </c>
      <c r="G16" s="196">
        <v>79.989999999999995</v>
      </c>
      <c r="H16" s="181">
        <f t="shared" si="1"/>
        <v>2152.6499999999996</v>
      </c>
      <c r="I16" s="181">
        <f t="shared" si="2"/>
        <v>17847.349999999999</v>
      </c>
      <c r="J16" s="182"/>
    </row>
    <row r="17" spans="1:10" ht="12.75" customHeight="1" x14ac:dyDescent="0.25">
      <c r="A17" s="229" t="s">
        <v>326</v>
      </c>
      <c r="B17" s="230">
        <v>45968</v>
      </c>
      <c r="C17" s="213">
        <v>9500</v>
      </c>
      <c r="D17" s="145" t="s">
        <v>330</v>
      </c>
      <c r="E17" s="180"/>
      <c r="F17" s="180">
        <f t="shared" si="0"/>
        <v>20000</v>
      </c>
      <c r="G17" s="196">
        <v>794.7</v>
      </c>
      <c r="H17" s="181">
        <f t="shared" si="1"/>
        <v>2947.3499999999995</v>
      </c>
      <c r="I17" s="181">
        <f t="shared" si="2"/>
        <v>17052.649999999998</v>
      </c>
      <c r="J17" s="182"/>
    </row>
    <row r="18" spans="1:10" ht="12.75" customHeight="1" x14ac:dyDescent="0.25">
      <c r="A18" s="229" t="s">
        <v>390</v>
      </c>
      <c r="B18" s="230">
        <v>45996</v>
      </c>
      <c r="C18" s="481" t="s">
        <v>278</v>
      </c>
      <c r="D18" s="214" t="s">
        <v>391</v>
      </c>
      <c r="E18" s="180"/>
      <c r="F18" s="180">
        <f t="shared" si="0"/>
        <v>20000</v>
      </c>
      <c r="G18" s="196">
        <v>59.49</v>
      </c>
      <c r="H18" s="181">
        <f t="shared" si="1"/>
        <v>3006.8399999999992</v>
      </c>
      <c r="I18" s="181">
        <f t="shared" si="2"/>
        <v>16993.159999999996</v>
      </c>
      <c r="J18" s="182"/>
    </row>
    <row r="19" spans="1:10" ht="12.75" customHeight="1" x14ac:dyDescent="0.25">
      <c r="A19" s="229" t="s">
        <v>390</v>
      </c>
      <c r="B19" s="230">
        <v>45996</v>
      </c>
      <c r="C19" s="482">
        <v>9500</v>
      </c>
      <c r="D19" s="145" t="s">
        <v>392</v>
      </c>
      <c r="E19" s="180"/>
      <c r="F19" s="180">
        <f t="shared" si="0"/>
        <v>20000</v>
      </c>
      <c r="G19" s="196">
        <v>377.3</v>
      </c>
      <c r="H19" s="181">
        <f t="shared" si="1"/>
        <v>3384.1399999999994</v>
      </c>
      <c r="I19" s="181">
        <f t="shared" si="2"/>
        <v>16615.859999999997</v>
      </c>
      <c r="J19" s="182"/>
    </row>
    <row r="20" spans="1:10" ht="12.75" customHeight="1" x14ac:dyDescent="0.25">
      <c r="A20" s="229" t="s">
        <v>425</v>
      </c>
      <c r="B20" s="230">
        <v>46030</v>
      </c>
      <c r="C20" s="481" t="s">
        <v>278</v>
      </c>
      <c r="D20" s="214" t="s">
        <v>426</v>
      </c>
      <c r="E20" s="180"/>
      <c r="F20" s="180">
        <f t="shared" si="0"/>
        <v>20000</v>
      </c>
      <c r="G20" s="196">
        <v>89.21</v>
      </c>
      <c r="H20" s="181">
        <f t="shared" si="1"/>
        <v>3473.3499999999995</v>
      </c>
      <c r="I20" s="181">
        <f t="shared" si="2"/>
        <v>16526.649999999998</v>
      </c>
      <c r="J20" s="182"/>
    </row>
    <row r="21" spans="1:10" ht="12.75" customHeight="1" x14ac:dyDescent="0.25">
      <c r="A21" s="229" t="s">
        <v>425</v>
      </c>
      <c r="B21" s="230">
        <v>46030</v>
      </c>
      <c r="C21" s="482">
        <v>9500</v>
      </c>
      <c r="D21" s="145" t="s">
        <v>427</v>
      </c>
      <c r="E21" s="180"/>
      <c r="F21" s="180">
        <f t="shared" si="0"/>
        <v>20000</v>
      </c>
      <c r="G21" s="196">
        <v>1008.2</v>
      </c>
      <c r="H21" s="181">
        <f t="shared" si="1"/>
        <v>4481.5499999999993</v>
      </c>
      <c r="I21" s="181">
        <f t="shared" si="2"/>
        <v>15518.449999999997</v>
      </c>
      <c r="J21" s="182"/>
    </row>
    <row r="22" spans="1:10" ht="12.75" customHeight="1" x14ac:dyDescent="0.25">
      <c r="A22" s="229"/>
      <c r="B22" s="230"/>
      <c r="C22" s="482"/>
      <c r="D22" s="145"/>
      <c r="E22" s="180"/>
      <c r="F22" s="180">
        <f t="shared" si="0"/>
        <v>20000</v>
      </c>
      <c r="G22" s="183"/>
      <c r="H22" s="181">
        <f t="shared" si="1"/>
        <v>4481.5499999999993</v>
      </c>
      <c r="I22" s="181">
        <f t="shared" si="2"/>
        <v>15518.449999999997</v>
      </c>
      <c r="J22" s="182"/>
    </row>
    <row r="23" spans="1:10" ht="12.75" customHeight="1" x14ac:dyDescent="0.25">
      <c r="A23" s="229"/>
      <c r="B23" s="230"/>
      <c r="C23" s="482"/>
      <c r="D23" s="145"/>
      <c r="E23" s="180"/>
      <c r="F23" s="180">
        <f t="shared" si="0"/>
        <v>20000</v>
      </c>
      <c r="G23" s="183"/>
      <c r="H23" s="181">
        <f t="shared" si="1"/>
        <v>4481.5499999999993</v>
      </c>
      <c r="I23" s="181">
        <f t="shared" si="2"/>
        <v>15518.449999999997</v>
      </c>
      <c r="J23" s="182"/>
    </row>
    <row r="24" spans="1:10" ht="12.75" customHeight="1" x14ac:dyDescent="0.25">
      <c r="A24" s="229"/>
      <c r="B24" s="230"/>
      <c r="C24" s="482"/>
      <c r="D24" s="145"/>
      <c r="E24" s="180"/>
      <c r="F24" s="180">
        <f t="shared" si="0"/>
        <v>20000</v>
      </c>
      <c r="G24" s="183"/>
      <c r="H24" s="181">
        <f t="shared" si="1"/>
        <v>4481.5499999999993</v>
      </c>
      <c r="I24" s="181">
        <f t="shared" si="2"/>
        <v>15518.449999999997</v>
      </c>
      <c r="J24" s="182"/>
    </row>
    <row r="25" spans="1:10" ht="12.75" customHeight="1" x14ac:dyDescent="0.25">
      <c r="A25" s="229"/>
      <c r="B25" s="230"/>
      <c r="C25" s="482"/>
      <c r="D25" s="145"/>
      <c r="E25" s="180"/>
      <c r="F25" s="180">
        <f t="shared" si="0"/>
        <v>20000</v>
      </c>
      <c r="G25" s="183"/>
      <c r="H25" s="181">
        <f t="shared" si="1"/>
        <v>4481.5499999999993</v>
      </c>
      <c r="I25" s="181">
        <f t="shared" si="2"/>
        <v>15518.449999999997</v>
      </c>
      <c r="J25" s="182"/>
    </row>
    <row r="26" spans="1:10" ht="12.75" customHeight="1" x14ac:dyDescent="0.25">
      <c r="A26" s="229"/>
      <c r="B26" s="230"/>
      <c r="C26" s="482"/>
      <c r="D26" s="145"/>
      <c r="E26" s="180"/>
      <c r="F26" s="180">
        <f t="shared" si="0"/>
        <v>20000</v>
      </c>
      <c r="G26" s="183"/>
      <c r="H26" s="181">
        <f t="shared" si="1"/>
        <v>4481.5499999999993</v>
      </c>
      <c r="I26" s="181">
        <f t="shared" si="2"/>
        <v>15518.449999999997</v>
      </c>
      <c r="J26" s="182"/>
    </row>
    <row r="27" spans="1:10" ht="12.75" customHeight="1" x14ac:dyDescent="0.25">
      <c r="A27" s="145"/>
      <c r="B27" s="179"/>
      <c r="C27" s="213"/>
      <c r="D27" s="185"/>
      <c r="E27" s="181"/>
      <c r="F27" s="181"/>
      <c r="G27" s="181"/>
      <c r="H27" s="181"/>
      <c r="I27" s="181"/>
      <c r="J27" s="182"/>
    </row>
    <row r="28" spans="1:10" ht="12.75" customHeight="1" thickBot="1" x14ac:dyDescent="0.3">
      <c r="A28" s="145"/>
      <c r="B28" s="186"/>
      <c r="C28" s="213"/>
      <c r="D28" s="187" t="s">
        <v>54</v>
      </c>
      <c r="E28" s="152">
        <f>SUM(E9:E27)</f>
        <v>20000</v>
      </c>
      <c r="F28" s="152"/>
      <c r="G28" s="152">
        <f>SUM(G9:G27)</f>
        <v>4481.5499999999993</v>
      </c>
      <c r="H28" s="152"/>
      <c r="I28" s="152">
        <f>E28-G28</f>
        <v>15518.45</v>
      </c>
      <c r="J28" s="182"/>
    </row>
    <row r="29" spans="1:10" ht="12.75" customHeight="1" thickTop="1" x14ac:dyDescent="0.25"/>
    <row r="30" spans="1:10" ht="12.75" customHeight="1" x14ac:dyDescent="0.25"/>
    <row r="31" spans="1:10" ht="12.75" customHeight="1" x14ac:dyDescent="0.25"/>
    <row r="32" spans="1:10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DD2A-4ED2-4EEE-A7A8-61B239CD5498}">
  <sheetPr>
    <tabColor indexed="30"/>
    <pageSetUpPr fitToPage="1"/>
  </sheetPr>
  <dimension ref="A1:H27"/>
  <sheetViews>
    <sheetView zoomScaleNormal="100" workbookViewId="0">
      <selection activeCell="A30" sqref="A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#9487.00'!B1</f>
        <v>DVA IVH Loftus and Malloy Water Infiltration-Flooding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#9487.00'!B2</f>
        <v>Project # 9487.00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#9487.00'!B3</f>
        <v>Program code 948700</v>
      </c>
      <c r="B3" s="100"/>
      <c r="C3" s="100"/>
      <c r="D3" s="100"/>
      <c r="E3" s="103" t="str">
        <f>'RECAP #9487.00'!E3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#9487.00'!B6</f>
        <v>Project Manager - Brad T.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E40E-2FBA-4245-98A3-D0E96B8D2307}">
  <sheetPr>
    <pageSetUpPr fitToPage="1"/>
  </sheetPr>
  <dimension ref="A1:I31"/>
  <sheetViews>
    <sheetView zoomScaleNormal="100" workbookViewId="0">
      <selection activeCell="A31" sqref="A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272</v>
      </c>
      <c r="B9" s="381">
        <v>45933</v>
      </c>
      <c r="C9" s="388" t="s">
        <v>150</v>
      </c>
      <c r="D9" s="383">
        <v>13500</v>
      </c>
      <c r="E9" s="384">
        <f>D9</f>
        <v>13500</v>
      </c>
      <c r="F9" s="385"/>
      <c r="G9" s="385"/>
      <c r="H9" s="385">
        <f>E9</f>
        <v>13500</v>
      </c>
      <c r="I9" s="386"/>
    </row>
    <row r="10" spans="1:9" s="365" customFormat="1" ht="12.75" customHeight="1" x14ac:dyDescent="0.2">
      <c r="A10" s="380" t="s">
        <v>350</v>
      </c>
      <c r="B10" s="387">
        <v>45994</v>
      </c>
      <c r="C10" s="388" t="s">
        <v>351</v>
      </c>
      <c r="D10" s="384"/>
      <c r="E10" s="384">
        <f t="shared" ref="E10:E21" si="0">E9+D10</f>
        <v>13500</v>
      </c>
      <c r="F10" s="196">
        <v>7020</v>
      </c>
      <c r="G10" s="385">
        <f t="shared" ref="G10:G21" si="1">G9+F10</f>
        <v>7020</v>
      </c>
      <c r="H10" s="385">
        <f t="shared" ref="H10:H21" si="2">H9-F10+D10</f>
        <v>6480</v>
      </c>
      <c r="I10" s="386"/>
    </row>
    <row r="11" spans="1:9" s="365" customFormat="1" ht="12.75" customHeight="1" x14ac:dyDescent="0.2">
      <c r="A11" s="380" t="s">
        <v>375</v>
      </c>
      <c r="B11" s="381">
        <v>46006</v>
      </c>
      <c r="C11" s="388" t="s">
        <v>376</v>
      </c>
      <c r="D11" s="384"/>
      <c r="E11" s="384">
        <f t="shared" si="0"/>
        <v>13500</v>
      </c>
      <c r="F11" s="196">
        <v>5910</v>
      </c>
      <c r="G11" s="385">
        <f t="shared" si="1"/>
        <v>12930</v>
      </c>
      <c r="H11" s="385">
        <f t="shared" si="2"/>
        <v>570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13500</v>
      </c>
      <c r="F12" s="390"/>
      <c r="G12" s="385">
        <f t="shared" si="1"/>
        <v>12930</v>
      </c>
      <c r="H12" s="385">
        <f t="shared" si="2"/>
        <v>570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13500</v>
      </c>
      <c r="F13" s="390"/>
      <c r="G13" s="385">
        <f t="shared" si="1"/>
        <v>12930</v>
      </c>
      <c r="H13" s="385">
        <f t="shared" si="2"/>
        <v>570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13500</v>
      </c>
      <c r="F14" s="385"/>
      <c r="G14" s="385">
        <f t="shared" si="1"/>
        <v>12930</v>
      </c>
      <c r="H14" s="385">
        <f t="shared" si="2"/>
        <v>570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13500</v>
      </c>
      <c r="F15" s="390"/>
      <c r="G15" s="385">
        <f t="shared" si="1"/>
        <v>12930</v>
      </c>
      <c r="H15" s="385">
        <f t="shared" si="2"/>
        <v>570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13500</v>
      </c>
      <c r="F16" s="390"/>
      <c r="G16" s="385">
        <f t="shared" si="1"/>
        <v>12930</v>
      </c>
      <c r="H16" s="385">
        <f t="shared" si="2"/>
        <v>570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13500</v>
      </c>
      <c r="F17" s="390"/>
      <c r="G17" s="385">
        <f t="shared" si="1"/>
        <v>12930</v>
      </c>
      <c r="H17" s="385">
        <f t="shared" si="2"/>
        <v>570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13500</v>
      </c>
      <c r="F18" s="390"/>
      <c r="G18" s="385">
        <f t="shared" si="1"/>
        <v>12930</v>
      </c>
      <c r="H18" s="385">
        <f t="shared" si="2"/>
        <v>570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13500</v>
      </c>
      <c r="F19" s="385"/>
      <c r="G19" s="385">
        <f t="shared" si="1"/>
        <v>12930</v>
      </c>
      <c r="H19" s="385">
        <f t="shared" si="2"/>
        <v>570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13500</v>
      </c>
      <c r="F20" s="385"/>
      <c r="G20" s="385">
        <f t="shared" si="1"/>
        <v>12930</v>
      </c>
      <c r="H20" s="385">
        <f t="shared" si="2"/>
        <v>570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13500</v>
      </c>
      <c r="F21" s="385"/>
      <c r="G21" s="385">
        <f t="shared" si="1"/>
        <v>12930</v>
      </c>
      <c r="H21" s="385">
        <f t="shared" si="2"/>
        <v>570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13500</v>
      </c>
      <c r="E23" s="218"/>
      <c r="F23" s="218">
        <f>SUM(F9:F22)</f>
        <v>12930</v>
      </c>
      <c r="G23" s="218"/>
      <c r="H23" s="218">
        <f>D23-F23</f>
        <v>570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273</v>
      </c>
      <c r="D26" s="427">
        <v>7800</v>
      </c>
      <c r="E26" s="427"/>
      <c r="F26" s="427">
        <f>7020+780</f>
        <v>7800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274</v>
      </c>
      <c r="D27" s="427">
        <v>5700</v>
      </c>
      <c r="E27" s="219"/>
      <c r="F27" s="219">
        <f>5130</f>
        <v>5130</v>
      </c>
      <c r="G27" s="219"/>
      <c r="H27" s="427">
        <f>D27-F27</f>
        <v>570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13500</v>
      </c>
      <c r="E28" s="390"/>
      <c r="F28" s="429">
        <f>SUM(F26:F27)</f>
        <v>12930</v>
      </c>
      <c r="G28" s="390"/>
      <c r="H28" s="429">
        <f>SUM(H26:H27)</f>
        <v>570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</sheetData>
  <conditionalFormatting sqref="I9:I25">
    <cfRule type="cellIs" dxfId="10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E623-9399-409B-B7C5-27E60E63C05E}">
  <sheetPr>
    <pageSetUpPr fitToPage="1"/>
  </sheetPr>
  <dimension ref="A1:I31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471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472</v>
      </c>
      <c r="B9" s="381">
        <v>46052</v>
      </c>
      <c r="C9" s="388" t="s">
        <v>150</v>
      </c>
      <c r="D9" s="383">
        <v>4150</v>
      </c>
      <c r="E9" s="384">
        <f>D9</f>
        <v>4150</v>
      </c>
      <c r="F9" s="385"/>
      <c r="G9" s="385"/>
      <c r="H9" s="385">
        <f>E9</f>
        <v>4150</v>
      </c>
      <c r="I9" s="386"/>
    </row>
    <row r="10" spans="1:9" s="365" customFormat="1" ht="12.75" customHeight="1" x14ac:dyDescent="0.2">
      <c r="A10" s="380"/>
      <c r="B10" s="387"/>
      <c r="C10" s="388"/>
      <c r="D10" s="384"/>
      <c r="E10" s="384">
        <f t="shared" ref="E10:E21" si="0">E9+D10</f>
        <v>4150</v>
      </c>
      <c r="F10" s="196"/>
      <c r="G10" s="385">
        <f t="shared" ref="G10:G21" si="1">G9+F10</f>
        <v>0</v>
      </c>
      <c r="H10" s="385">
        <f t="shared" ref="H10:H21" si="2">H9-F10+D10</f>
        <v>4150</v>
      </c>
      <c r="I10" s="386"/>
    </row>
    <row r="11" spans="1:9" s="365" customFormat="1" ht="12.75" customHeight="1" x14ac:dyDescent="0.2">
      <c r="A11" s="380"/>
      <c r="B11" s="381"/>
      <c r="C11" s="388"/>
      <c r="D11" s="384"/>
      <c r="E11" s="384">
        <f t="shared" si="0"/>
        <v>4150</v>
      </c>
      <c r="F11" s="196"/>
      <c r="G11" s="385">
        <f t="shared" si="1"/>
        <v>0</v>
      </c>
      <c r="H11" s="385">
        <f t="shared" si="2"/>
        <v>4150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4150</v>
      </c>
      <c r="F12" s="390"/>
      <c r="G12" s="385">
        <f t="shared" si="1"/>
        <v>0</v>
      </c>
      <c r="H12" s="385">
        <f t="shared" si="2"/>
        <v>4150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4150</v>
      </c>
      <c r="F13" s="390"/>
      <c r="G13" s="385">
        <f t="shared" si="1"/>
        <v>0</v>
      </c>
      <c r="H13" s="385">
        <f t="shared" si="2"/>
        <v>4150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4150</v>
      </c>
      <c r="F14" s="385"/>
      <c r="G14" s="385">
        <f t="shared" si="1"/>
        <v>0</v>
      </c>
      <c r="H14" s="385">
        <f t="shared" si="2"/>
        <v>4150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4150</v>
      </c>
      <c r="F15" s="390"/>
      <c r="G15" s="385">
        <f t="shared" si="1"/>
        <v>0</v>
      </c>
      <c r="H15" s="385">
        <f t="shared" si="2"/>
        <v>4150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4150</v>
      </c>
      <c r="F16" s="390"/>
      <c r="G16" s="385">
        <f t="shared" si="1"/>
        <v>0</v>
      </c>
      <c r="H16" s="385">
        <f t="shared" si="2"/>
        <v>4150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4150</v>
      </c>
      <c r="F17" s="390"/>
      <c r="G17" s="385">
        <f t="shared" si="1"/>
        <v>0</v>
      </c>
      <c r="H17" s="385">
        <f t="shared" si="2"/>
        <v>4150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4150</v>
      </c>
      <c r="F18" s="390"/>
      <c r="G18" s="385">
        <f t="shared" si="1"/>
        <v>0</v>
      </c>
      <c r="H18" s="385">
        <f t="shared" si="2"/>
        <v>4150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4150</v>
      </c>
      <c r="F19" s="385"/>
      <c r="G19" s="385">
        <f t="shared" si="1"/>
        <v>0</v>
      </c>
      <c r="H19" s="385">
        <f t="shared" si="2"/>
        <v>4150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4150</v>
      </c>
      <c r="F20" s="385"/>
      <c r="G20" s="385">
        <f t="shared" si="1"/>
        <v>0</v>
      </c>
      <c r="H20" s="385">
        <f t="shared" si="2"/>
        <v>4150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4150</v>
      </c>
      <c r="F21" s="385"/>
      <c r="G21" s="385">
        <f t="shared" si="1"/>
        <v>0</v>
      </c>
      <c r="H21" s="385">
        <f t="shared" si="2"/>
        <v>4150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4150</v>
      </c>
      <c r="E23" s="218"/>
      <c r="F23" s="218">
        <f>SUM(F9:F22)</f>
        <v>0</v>
      </c>
      <c r="G23" s="218"/>
      <c r="H23" s="218">
        <f>D23-F23</f>
        <v>4150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/>
      <c r="D26" s="427"/>
      <c r="E26" s="427"/>
      <c r="F26" s="427"/>
      <c r="G26" s="427"/>
      <c r="H26" s="427"/>
      <c r="I26" s="509"/>
    </row>
    <row r="27" spans="1:9" s="365" customFormat="1" ht="12.75" customHeight="1" x14ac:dyDescent="0.25">
      <c r="A27" s="380"/>
      <c r="B27" s="388"/>
      <c r="C27" s="426"/>
      <c r="D27" s="427"/>
      <c r="E27" s="219"/>
      <c r="F27" s="219"/>
      <c r="G27" s="219"/>
      <c r="H27" s="427"/>
      <c r="I27" s="509"/>
    </row>
    <row r="28" spans="1:9" s="365" customFormat="1" ht="12.75" customHeight="1" x14ac:dyDescent="0.25">
      <c r="A28" s="380"/>
      <c r="B28" s="388"/>
      <c r="C28" s="503"/>
      <c r="D28" s="504"/>
      <c r="E28" s="505"/>
      <c r="F28" s="504"/>
      <c r="G28" s="505"/>
      <c r="H28" s="504"/>
      <c r="I28" s="509"/>
    </row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88FC-F410-49AD-881A-4FAB2BBAE797}">
  <sheetPr>
    <pageSetUpPr fitToPage="1"/>
  </sheetPr>
  <dimension ref="A1:G16"/>
  <sheetViews>
    <sheetView zoomScaleNormal="100" workbookViewId="0">
      <selection activeCell="B19" sqref="B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108</v>
      </c>
      <c r="C1" s="99"/>
      <c r="D1" s="9"/>
      <c r="E1" s="9"/>
      <c r="F1" s="9"/>
      <c r="G1" s="9"/>
    </row>
    <row r="2" spans="1:7" ht="15.75" x14ac:dyDescent="0.25">
      <c r="A2" s="97"/>
      <c r="B2" s="101" t="s">
        <v>110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111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7.75" customHeight="1" x14ac:dyDescent="0.25">
      <c r="A8" s="97"/>
      <c r="B8" s="100" t="s">
        <v>39</v>
      </c>
      <c r="C8" s="118">
        <f>'#9488.00 Funds Rec''d '!H24</f>
        <v>4163847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'#9488.00 Samuels Group'!D23</f>
        <v>71389.88</v>
      </c>
      <c r="E10" s="450">
        <f>'#9488.00 Samuels Group'!F23</f>
        <v>17076.169999999998</v>
      </c>
      <c r="F10" s="450">
        <f>'#9488.00 Samuels Group'!H23</f>
        <v>54313.710000000006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'#9488.00 PM TIME'!E25</f>
        <v>145000</v>
      </c>
      <c r="E11" s="450">
        <f>'#9488.00 PM TIME'!G25</f>
        <v>8767.34</v>
      </c>
      <c r="F11" s="450">
        <f>'#9488.00 PM TIME'!I25</f>
        <v>136232.66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'#9488.00 Misc'!G22</f>
        <v>0</v>
      </c>
      <c r="E12" s="438">
        <f>'#9488.00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306</v>
      </c>
      <c r="C13" s="448"/>
      <c r="D13" s="438">
        <f>'#9488.00 SVPA Architects'!D23</f>
        <v>417400</v>
      </c>
      <c r="E13" s="438">
        <f>'#9488.00 SVPA Architects'!F23</f>
        <v>92160</v>
      </c>
      <c r="F13" s="450">
        <f>'#9488.00 SVPA Architects'!H23</f>
        <v>325240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4163847</v>
      </c>
      <c r="D15" s="127">
        <f>SUM(D8:D14)</f>
        <v>633789.88</v>
      </c>
      <c r="E15" s="127">
        <f>SUM(E8:E14)</f>
        <v>118003.51</v>
      </c>
      <c r="F15" s="127">
        <f>SUM(D15-E15)</f>
        <v>515786.37</v>
      </c>
      <c r="G15" s="127">
        <f>C8-D15</f>
        <v>3530057.12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1018-D7D9-4B4C-B843-AA4A5BC4C945}">
  <sheetPr>
    <pageSetUpPr fitToPage="1"/>
  </sheetPr>
  <dimension ref="A1:H25"/>
  <sheetViews>
    <sheetView zoomScaleNormal="100" workbookViewId="0">
      <selection activeCell="D27" sqref="D2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710937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#9488.00'!B1</f>
        <v xml:space="preserve">DOC 4JD New Central Office Building 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#9488.00'!B2</f>
        <v>Project # 9488.00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#9488.00'!B3</f>
        <v>Program code 948800</v>
      </c>
      <c r="B3" s="10"/>
      <c r="C3" s="131" t="s">
        <v>3</v>
      </c>
      <c r="D3" s="133" t="str">
        <f>'RECAP #9488.00'!E3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#9488.00'!B6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193</v>
      </c>
      <c r="F9" s="399">
        <v>45884</v>
      </c>
      <c r="G9" s="493">
        <v>4163847</v>
      </c>
      <c r="H9" s="493">
        <v>4163847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4163847</v>
      </c>
      <c r="H24" s="152">
        <f>SUM(H9:H22)</f>
        <v>4163847</v>
      </c>
    </row>
    <row r="25" spans="1:8" ht="15" customHeight="1" thickTop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A79B-9CB5-426E-A7F1-11EE2DFB8523}">
  <sheetPr>
    <pageSetUpPr fitToPage="1"/>
  </sheetPr>
  <dimension ref="A1:I34"/>
  <sheetViews>
    <sheetView zoomScaleNormal="100" workbookViewId="0">
      <selection activeCell="F11" sqref="F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255</v>
      </c>
      <c r="B9" s="381">
        <v>45930</v>
      </c>
      <c r="C9" s="388" t="s">
        <v>150</v>
      </c>
      <c r="D9" s="383">
        <v>71389.88</v>
      </c>
      <c r="E9" s="384">
        <f>D9</f>
        <v>71389.88</v>
      </c>
      <c r="F9" s="385"/>
      <c r="G9" s="385"/>
      <c r="H9" s="385">
        <f>E9</f>
        <v>71389.88</v>
      </c>
      <c r="I9" s="386"/>
    </row>
    <row r="10" spans="1:9" s="365" customFormat="1" ht="12.75" customHeight="1" x14ac:dyDescent="0.2">
      <c r="A10" s="380" t="s">
        <v>356</v>
      </c>
      <c r="B10" s="387">
        <v>45995</v>
      </c>
      <c r="C10" s="388" t="s">
        <v>357</v>
      </c>
      <c r="D10" s="384"/>
      <c r="E10" s="384">
        <f t="shared" ref="E10:E21" si="0">E9+D10</f>
        <v>71389.88</v>
      </c>
      <c r="F10" s="196">
        <v>2720.91</v>
      </c>
      <c r="G10" s="385">
        <f t="shared" ref="G10:G21" si="1">G9+F10</f>
        <v>2720.91</v>
      </c>
      <c r="H10" s="385">
        <f t="shared" ref="H10:H21" si="2">H9-F10+D10</f>
        <v>68668.97</v>
      </c>
      <c r="I10" s="386"/>
    </row>
    <row r="11" spans="1:9" s="365" customFormat="1" ht="12.75" customHeight="1" x14ac:dyDescent="0.2">
      <c r="A11" s="380" t="s">
        <v>414</v>
      </c>
      <c r="B11" s="381">
        <v>46031</v>
      </c>
      <c r="C11" s="388" t="s">
        <v>415</v>
      </c>
      <c r="D11" s="384"/>
      <c r="E11" s="384">
        <f t="shared" si="0"/>
        <v>71389.88</v>
      </c>
      <c r="F11" s="196">
        <v>14355.26</v>
      </c>
      <c r="G11" s="385">
        <f t="shared" si="1"/>
        <v>17076.169999999998</v>
      </c>
      <c r="H11" s="385">
        <f t="shared" si="2"/>
        <v>54313.71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71389.88</v>
      </c>
      <c r="F12" s="390"/>
      <c r="G12" s="385">
        <f t="shared" si="1"/>
        <v>17076.169999999998</v>
      </c>
      <c r="H12" s="385">
        <f t="shared" si="2"/>
        <v>54313.71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71389.88</v>
      </c>
      <c r="F13" s="390"/>
      <c r="G13" s="385">
        <f t="shared" si="1"/>
        <v>17076.169999999998</v>
      </c>
      <c r="H13" s="385">
        <f t="shared" si="2"/>
        <v>54313.71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71389.88</v>
      </c>
      <c r="F14" s="385"/>
      <c r="G14" s="385">
        <f t="shared" si="1"/>
        <v>17076.169999999998</v>
      </c>
      <c r="H14" s="385">
        <f t="shared" si="2"/>
        <v>54313.71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71389.88</v>
      </c>
      <c r="F15" s="390"/>
      <c r="G15" s="385">
        <f t="shared" si="1"/>
        <v>17076.169999999998</v>
      </c>
      <c r="H15" s="385">
        <f t="shared" si="2"/>
        <v>54313.71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71389.88</v>
      </c>
      <c r="F16" s="390"/>
      <c r="G16" s="385">
        <f t="shared" si="1"/>
        <v>17076.169999999998</v>
      </c>
      <c r="H16" s="385">
        <f t="shared" si="2"/>
        <v>54313.71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71389.88</v>
      </c>
      <c r="F17" s="390"/>
      <c r="G17" s="385">
        <f t="shared" si="1"/>
        <v>17076.169999999998</v>
      </c>
      <c r="H17" s="385">
        <f t="shared" si="2"/>
        <v>54313.71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71389.88</v>
      </c>
      <c r="F18" s="390"/>
      <c r="G18" s="385">
        <f t="shared" si="1"/>
        <v>17076.169999999998</v>
      </c>
      <c r="H18" s="385">
        <f t="shared" si="2"/>
        <v>54313.71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71389.88</v>
      </c>
      <c r="F19" s="385"/>
      <c r="G19" s="385">
        <f t="shared" si="1"/>
        <v>17076.169999999998</v>
      </c>
      <c r="H19" s="385">
        <f t="shared" si="2"/>
        <v>54313.71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71389.88</v>
      </c>
      <c r="F20" s="385"/>
      <c r="G20" s="385">
        <f t="shared" si="1"/>
        <v>17076.169999999998</v>
      </c>
      <c r="H20" s="385">
        <f t="shared" si="2"/>
        <v>54313.71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71389.88</v>
      </c>
      <c r="F21" s="385"/>
      <c r="G21" s="385">
        <f t="shared" si="1"/>
        <v>17076.169999999998</v>
      </c>
      <c r="H21" s="385">
        <f t="shared" si="2"/>
        <v>54313.71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71389.88</v>
      </c>
      <c r="E23" s="218"/>
      <c r="F23" s="218">
        <f>SUM(F9:F22)</f>
        <v>17076.169999999998</v>
      </c>
      <c r="G23" s="218"/>
      <c r="H23" s="218">
        <f>D23-F23</f>
        <v>54313.710000000006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63389.88</v>
      </c>
      <c r="E26" s="427"/>
      <c r="F26" s="427">
        <f>2599.91+14355.26</f>
        <v>16955.169999999998</v>
      </c>
      <c r="G26" s="427"/>
      <c r="H26" s="427">
        <f>D26-F26</f>
        <v>46434.71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427"/>
      <c r="F27" s="427">
        <f>121</f>
        <v>121</v>
      </c>
      <c r="G27" s="427"/>
      <c r="H27" s="427">
        <f>D27-F27</f>
        <v>879</v>
      </c>
      <c r="I27" s="386"/>
    </row>
    <row r="28" spans="1:9" s="365" customFormat="1" ht="12.75" customHeight="1" x14ac:dyDescent="0.25">
      <c r="A28" s="380"/>
      <c r="B28" s="388"/>
      <c r="C28" s="426" t="s">
        <v>258</v>
      </c>
      <c r="D28" s="427">
        <v>7000</v>
      </c>
      <c r="E28" s="219"/>
      <c r="F28" s="219"/>
      <c r="G28" s="219"/>
      <c r="H28" s="427">
        <f>D28-F28</f>
        <v>7000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71389.88</v>
      </c>
      <c r="E29" s="390"/>
      <c r="F29" s="429">
        <f>SUM(F26:F28)</f>
        <v>17076.169999999998</v>
      </c>
      <c r="G29" s="390"/>
      <c r="H29" s="429">
        <f>SUM(H26:H28)</f>
        <v>54313.71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</sheetData>
  <conditionalFormatting sqref="I9:I25">
    <cfRule type="cellIs" dxfId="9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7C41-834E-4EA5-946C-C7FC30228E60}">
  <sheetPr>
    <pageSetUpPr fitToPage="1"/>
  </sheetPr>
  <dimension ref="A1:J122"/>
  <sheetViews>
    <sheetView zoomScaleNormal="100" workbookViewId="0">
      <selection activeCell="B28" sqref="B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" customWidth="1"/>
    <col min="5" max="5" width="14.28515625" customWidth="1"/>
    <col min="6" max="6" width="13.5703125" customWidth="1"/>
    <col min="7" max="7" width="12.42578125" customWidth="1"/>
    <col min="8" max="8" width="10.5703125" customWidth="1"/>
    <col min="9" max="9" width="16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#9488.00'!B1</f>
        <v xml:space="preserve">DOC 4JD New Central Office Building 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#9488.00'!B2</f>
        <v>Project # 9488.00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#9488.00'!B3</f>
        <v>Program code 948800</v>
      </c>
      <c r="B3" s="100"/>
      <c r="C3" s="100"/>
      <c r="D3" s="9"/>
      <c r="E3" s="103" t="str">
        <f>'RECAP #9488.00'!E3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#9488.00'!B6</f>
        <v>Project Manager - Jennie E</v>
      </c>
      <c r="B6" s="106"/>
      <c r="C6" s="106"/>
      <c r="D6" s="166"/>
      <c r="E6" s="162" t="s">
        <v>114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145000</v>
      </c>
      <c r="F9" s="384">
        <f>E9</f>
        <v>145000</v>
      </c>
      <c r="G9" s="385"/>
      <c r="H9" s="385"/>
      <c r="I9" s="385">
        <f>F9</f>
        <v>145000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3" si="0">E10</f>
        <v>0</v>
      </c>
      <c r="G10" s="389">
        <v>85.66</v>
      </c>
      <c r="H10" s="385">
        <f t="shared" ref="H10:H23" si="1">H9+G10</f>
        <v>85.66</v>
      </c>
      <c r="I10" s="385">
        <f>I9-G10+E10</f>
        <v>144914.34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657.1</v>
      </c>
      <c r="H11" s="385">
        <f t="shared" si="1"/>
        <v>742.76</v>
      </c>
      <c r="I11" s="385">
        <f t="shared" ref="I11:I23" si="2">I10-G11+E11</f>
        <v>144257.24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 t="s">
        <v>278</v>
      </c>
      <c r="D12" s="486" t="s">
        <v>279</v>
      </c>
      <c r="E12" s="384"/>
      <c r="F12" s="384">
        <f t="shared" si="0"/>
        <v>0</v>
      </c>
      <c r="G12" s="389">
        <v>132.44999999999999</v>
      </c>
      <c r="H12" s="385">
        <f t="shared" si="1"/>
        <v>875.21</v>
      </c>
      <c r="I12" s="385">
        <f t="shared" si="2"/>
        <v>144124.78999999998</v>
      </c>
      <c r="J12" s="386"/>
    </row>
    <row r="13" spans="1:10" s="365" customFormat="1" ht="12.75" customHeight="1" x14ac:dyDescent="0.25">
      <c r="A13" s="483" t="s">
        <v>277</v>
      </c>
      <c r="B13" s="484">
        <v>45937</v>
      </c>
      <c r="C13" s="488">
        <v>9500</v>
      </c>
      <c r="D13" s="396" t="s">
        <v>280</v>
      </c>
      <c r="E13" s="384"/>
      <c r="F13" s="384">
        <f t="shared" si="0"/>
        <v>0</v>
      </c>
      <c r="G13" s="389">
        <v>681.1</v>
      </c>
      <c r="H13" s="385">
        <f t="shared" si="1"/>
        <v>1556.31</v>
      </c>
      <c r="I13" s="385">
        <f t="shared" si="2"/>
        <v>143443.68999999997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 t="s">
        <v>278</v>
      </c>
      <c r="D14" s="486" t="s">
        <v>329</v>
      </c>
      <c r="E14" s="384"/>
      <c r="F14" s="384">
        <f t="shared" si="0"/>
        <v>0</v>
      </c>
      <c r="G14" s="389">
        <v>212.65</v>
      </c>
      <c r="H14" s="385">
        <f t="shared" si="1"/>
        <v>1768.96</v>
      </c>
      <c r="I14" s="385">
        <f t="shared" si="2"/>
        <v>143231.03999999998</v>
      </c>
      <c r="J14" s="386"/>
    </row>
    <row r="15" spans="1:10" s="365" customFormat="1" ht="12.75" customHeight="1" x14ac:dyDescent="0.25">
      <c r="A15" s="483" t="s">
        <v>326</v>
      </c>
      <c r="B15" s="484">
        <v>45968</v>
      </c>
      <c r="C15" s="488">
        <v>9500</v>
      </c>
      <c r="D15" s="396" t="s">
        <v>330</v>
      </c>
      <c r="E15" s="384"/>
      <c r="F15" s="384">
        <f t="shared" si="0"/>
        <v>0</v>
      </c>
      <c r="G15" s="389">
        <v>2112.8000000000002</v>
      </c>
      <c r="H15" s="385">
        <f t="shared" si="1"/>
        <v>3881.76</v>
      </c>
      <c r="I15" s="385">
        <f t="shared" si="2"/>
        <v>141118.24</v>
      </c>
      <c r="J15" s="386"/>
    </row>
    <row r="16" spans="1:10" s="365" customFormat="1" ht="12.75" customHeight="1" x14ac:dyDescent="0.25">
      <c r="A16" s="483" t="s">
        <v>390</v>
      </c>
      <c r="B16" s="484">
        <v>45996</v>
      </c>
      <c r="C16" s="485" t="s">
        <v>278</v>
      </c>
      <c r="D16" s="486" t="s">
        <v>391</v>
      </c>
      <c r="E16" s="384"/>
      <c r="F16" s="384">
        <f t="shared" si="0"/>
        <v>0</v>
      </c>
      <c r="G16" s="389">
        <v>286.08999999999997</v>
      </c>
      <c r="H16" s="385">
        <f t="shared" si="1"/>
        <v>4167.8500000000004</v>
      </c>
      <c r="I16" s="385">
        <f t="shared" si="2"/>
        <v>140832.15</v>
      </c>
      <c r="J16" s="386"/>
    </row>
    <row r="17" spans="1:10" s="365" customFormat="1" ht="12.75" customHeight="1" x14ac:dyDescent="0.25">
      <c r="A17" s="483" t="s">
        <v>390</v>
      </c>
      <c r="B17" s="484">
        <v>45996</v>
      </c>
      <c r="C17" s="487">
        <v>9500</v>
      </c>
      <c r="D17" s="396" t="s">
        <v>392</v>
      </c>
      <c r="E17" s="384"/>
      <c r="F17" s="384">
        <f t="shared" si="0"/>
        <v>0</v>
      </c>
      <c r="G17" s="389">
        <v>1818.7</v>
      </c>
      <c r="H17" s="385">
        <f t="shared" si="1"/>
        <v>5986.55</v>
      </c>
      <c r="I17" s="385">
        <f t="shared" si="2"/>
        <v>139013.44999999998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1" t="s">
        <v>278</v>
      </c>
      <c r="D18" s="214" t="s">
        <v>426</v>
      </c>
      <c r="E18" s="384"/>
      <c r="F18" s="384">
        <f t="shared" si="0"/>
        <v>0</v>
      </c>
      <c r="G18" s="389">
        <v>225.29</v>
      </c>
      <c r="H18" s="385">
        <f t="shared" si="1"/>
        <v>6211.84</v>
      </c>
      <c r="I18" s="385">
        <f t="shared" si="2"/>
        <v>138788.15999999997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82">
        <v>9500</v>
      </c>
      <c r="D19" s="145" t="s">
        <v>427</v>
      </c>
      <c r="E19" s="384"/>
      <c r="F19" s="384">
        <f t="shared" si="0"/>
        <v>0</v>
      </c>
      <c r="G19" s="389">
        <v>2555.5</v>
      </c>
      <c r="H19" s="385">
        <f t="shared" si="1"/>
        <v>8767.34</v>
      </c>
      <c r="I19" s="385">
        <f t="shared" si="2"/>
        <v>136232.65999999997</v>
      </c>
      <c r="J19" s="386"/>
    </row>
    <row r="20" spans="1:10" s="365" customFormat="1" ht="12.75" customHeight="1" x14ac:dyDescent="0.2">
      <c r="A20" s="229"/>
      <c r="B20" s="230"/>
      <c r="C20" s="482"/>
      <c r="D20" s="145"/>
      <c r="E20" s="384"/>
      <c r="F20" s="384">
        <f t="shared" si="0"/>
        <v>0</v>
      </c>
      <c r="G20" s="390"/>
      <c r="H20" s="385">
        <f t="shared" si="1"/>
        <v>8767.34</v>
      </c>
      <c r="I20" s="385">
        <f t="shared" si="2"/>
        <v>136232.65999999997</v>
      </c>
      <c r="J20" s="386"/>
    </row>
    <row r="21" spans="1:10" s="365" customFormat="1" ht="12.75" customHeight="1" x14ac:dyDescent="0.2">
      <c r="A21" s="229"/>
      <c r="B21" s="230"/>
      <c r="C21" s="482"/>
      <c r="D21" s="145"/>
      <c r="E21" s="384"/>
      <c r="F21" s="384">
        <f t="shared" si="0"/>
        <v>0</v>
      </c>
      <c r="G21" s="390"/>
      <c r="H21" s="385">
        <f t="shared" si="1"/>
        <v>8767.34</v>
      </c>
      <c r="I21" s="385">
        <f t="shared" si="2"/>
        <v>136232.65999999997</v>
      </c>
      <c r="J21" s="386"/>
    </row>
    <row r="22" spans="1:10" s="365" customFormat="1" ht="12.75" customHeight="1" x14ac:dyDescent="0.25">
      <c r="A22" s="396"/>
      <c r="B22" s="381"/>
      <c r="C22" s="488"/>
      <c r="D22" s="392"/>
      <c r="E22" s="384"/>
      <c r="F22" s="384">
        <f t="shared" si="0"/>
        <v>0</v>
      </c>
      <c r="G22" s="385"/>
      <c r="H22" s="385">
        <f t="shared" si="1"/>
        <v>8767.34</v>
      </c>
      <c r="I22" s="385">
        <f t="shared" si="2"/>
        <v>136232.65999999997</v>
      </c>
      <c r="J22" s="386"/>
    </row>
    <row r="23" spans="1:10" s="365" customFormat="1" ht="12.75" customHeight="1" x14ac:dyDescent="0.25">
      <c r="A23" s="396"/>
      <c r="B23" s="381"/>
      <c r="C23" s="488"/>
      <c r="D23" s="432"/>
      <c r="E23" s="384"/>
      <c r="F23" s="384">
        <f t="shared" si="0"/>
        <v>0</v>
      </c>
      <c r="G23" s="385"/>
      <c r="H23" s="385">
        <f t="shared" si="1"/>
        <v>8767.34</v>
      </c>
      <c r="I23" s="385">
        <f t="shared" si="2"/>
        <v>136232.65999999997</v>
      </c>
      <c r="J23" s="386"/>
    </row>
    <row r="24" spans="1:10" s="365" customFormat="1" ht="12.75" customHeight="1" x14ac:dyDescent="0.25">
      <c r="A24" s="396"/>
      <c r="B24" s="388"/>
      <c r="C24" s="488"/>
      <c r="D24" s="392"/>
      <c r="E24" s="385"/>
      <c r="F24" s="385"/>
      <c r="G24" s="385"/>
      <c r="H24" s="385"/>
      <c r="I24" s="385"/>
      <c r="J24" s="386"/>
    </row>
    <row r="25" spans="1:10" s="365" customFormat="1" ht="12.75" customHeight="1" thickBot="1" x14ac:dyDescent="0.3">
      <c r="A25" s="396"/>
      <c r="B25" s="393"/>
      <c r="C25" s="488"/>
      <c r="D25" s="394" t="s">
        <v>54</v>
      </c>
      <c r="E25" s="218">
        <f>SUM(E9:E24)</f>
        <v>145000</v>
      </c>
      <c r="F25" s="218"/>
      <c r="G25" s="218">
        <f>SUM(G9:G24)</f>
        <v>8767.34</v>
      </c>
      <c r="H25" s="218"/>
      <c r="I25" s="218">
        <f>SUM(E25-G25)</f>
        <v>136232.66</v>
      </c>
      <c r="J25" s="386"/>
    </row>
    <row r="26" spans="1:10" s="365" customFormat="1" ht="12.75" customHeight="1" thickTop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</sheetData>
  <pageMargins left="0.25" right="0.25" top="0.85" bottom="0.75" header="0.08" footer="0.3"/>
  <pageSetup scale="6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49D-F7F9-4B23-8CC6-79884A280732}">
  <sheetPr>
    <tabColor indexed="30"/>
    <pageSetUpPr fitToPage="1"/>
  </sheetPr>
  <dimension ref="A1:H23"/>
  <sheetViews>
    <sheetView zoomScaleNormal="100" workbookViewId="0">
      <selection activeCell="E11" sqref="E10:E11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'#9488.00 PM TIME'!A1</f>
        <v xml:space="preserve">DOC 4JD New Central Office Building 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#9488.00'!B2</f>
        <v>Project # 9488.00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#9488.00'!B3</f>
        <v>Program code 948800</v>
      </c>
      <c r="B3" s="100"/>
      <c r="C3" s="100"/>
      <c r="D3" s="100"/>
      <c r="E3" s="103" t="str">
        <f>'RECAP #9488.00'!E3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#9488.00'!B6</f>
        <v>Project Manager - Jennie E</v>
      </c>
      <c r="B6" s="106"/>
      <c r="C6" s="106"/>
      <c r="D6" s="106"/>
      <c r="E6" s="103" t="s">
        <v>259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3BE5-67C8-4D2F-9BC3-6813AF5F749C}">
  <sheetPr>
    <pageSetUpPr fitToPage="1"/>
  </sheetPr>
  <dimension ref="A1:I35"/>
  <sheetViews>
    <sheetView topLeftCell="A6" zoomScaleNormal="100" workbookViewId="0">
      <selection activeCell="K11" sqref="K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7.140625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306</v>
      </c>
      <c r="B4" s="155"/>
      <c r="C4" s="156"/>
      <c r="D4" s="157" t="s">
        <v>316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317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307</v>
      </c>
      <c r="B9" s="381">
        <v>45967</v>
      </c>
      <c r="C9" s="388" t="s">
        <v>150</v>
      </c>
      <c r="D9" s="383">
        <v>417400</v>
      </c>
      <c r="E9" s="384">
        <f>D9</f>
        <v>417400</v>
      </c>
      <c r="F9" s="385"/>
      <c r="G9" s="385"/>
      <c r="H9" s="385">
        <f>E9</f>
        <v>417400</v>
      </c>
      <c r="I9" s="386"/>
    </row>
    <row r="10" spans="1:9" s="365" customFormat="1" ht="12.75" customHeight="1" x14ac:dyDescent="0.25">
      <c r="A10" s="380" t="s">
        <v>381</v>
      </c>
      <c r="B10" s="387">
        <v>46007</v>
      </c>
      <c r="C10" s="388" t="s">
        <v>382</v>
      </c>
      <c r="D10" s="384"/>
      <c r="E10" s="384">
        <f t="shared" ref="E10:E21" si="0">E9+D10</f>
        <v>417400</v>
      </c>
      <c r="F10" s="389">
        <v>49030</v>
      </c>
      <c r="G10" s="385">
        <f t="shared" ref="G10:G21" si="1">G9+F10</f>
        <v>49030</v>
      </c>
      <c r="H10" s="385">
        <f t="shared" ref="H10:H21" si="2">H9-F10+D10</f>
        <v>368370</v>
      </c>
      <c r="I10" s="386"/>
    </row>
    <row r="11" spans="1:9" s="365" customFormat="1" ht="12.75" customHeight="1" x14ac:dyDescent="0.25">
      <c r="A11" s="380" t="s">
        <v>462</v>
      </c>
      <c r="B11" s="381">
        <v>46048</v>
      </c>
      <c r="C11" s="388" t="s">
        <v>463</v>
      </c>
      <c r="D11" s="384"/>
      <c r="E11" s="384">
        <f t="shared" si="0"/>
        <v>417400</v>
      </c>
      <c r="F11" s="390">
        <v>43130</v>
      </c>
      <c r="G11" s="385">
        <f t="shared" si="1"/>
        <v>92160</v>
      </c>
      <c r="H11" s="385">
        <f t="shared" si="2"/>
        <v>325240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417400</v>
      </c>
      <c r="F12" s="390"/>
      <c r="G12" s="385">
        <f t="shared" si="1"/>
        <v>92160</v>
      </c>
      <c r="H12" s="385">
        <f t="shared" si="2"/>
        <v>325240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417400</v>
      </c>
      <c r="F13" s="390"/>
      <c r="G13" s="385">
        <f t="shared" si="1"/>
        <v>92160</v>
      </c>
      <c r="H13" s="385">
        <f t="shared" si="2"/>
        <v>325240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417400</v>
      </c>
      <c r="F14" s="385"/>
      <c r="G14" s="385">
        <f t="shared" si="1"/>
        <v>92160</v>
      </c>
      <c r="H14" s="385">
        <f t="shared" si="2"/>
        <v>325240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417400</v>
      </c>
      <c r="F15" s="390"/>
      <c r="G15" s="385">
        <f t="shared" si="1"/>
        <v>92160</v>
      </c>
      <c r="H15" s="385">
        <f t="shared" si="2"/>
        <v>325240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417400</v>
      </c>
      <c r="F16" s="390"/>
      <c r="G16" s="385">
        <f t="shared" si="1"/>
        <v>92160</v>
      </c>
      <c r="H16" s="385">
        <f t="shared" si="2"/>
        <v>325240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417400</v>
      </c>
      <c r="F17" s="390"/>
      <c r="G17" s="385">
        <f t="shared" si="1"/>
        <v>92160</v>
      </c>
      <c r="H17" s="385">
        <f t="shared" si="2"/>
        <v>325240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417400</v>
      </c>
      <c r="F18" s="390"/>
      <c r="G18" s="385">
        <f t="shared" si="1"/>
        <v>92160</v>
      </c>
      <c r="H18" s="385">
        <f t="shared" si="2"/>
        <v>325240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417400</v>
      </c>
      <c r="F19" s="385"/>
      <c r="G19" s="385">
        <f t="shared" si="1"/>
        <v>92160</v>
      </c>
      <c r="H19" s="385">
        <f t="shared" si="2"/>
        <v>325240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417400</v>
      </c>
      <c r="F20" s="385"/>
      <c r="G20" s="385">
        <f t="shared" si="1"/>
        <v>92160</v>
      </c>
      <c r="H20" s="385">
        <f t="shared" si="2"/>
        <v>325240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417400</v>
      </c>
      <c r="F21" s="385"/>
      <c r="G21" s="385">
        <f t="shared" si="1"/>
        <v>92160</v>
      </c>
      <c r="H21" s="385">
        <f t="shared" si="2"/>
        <v>325240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417400</v>
      </c>
      <c r="E23" s="218"/>
      <c r="F23" s="218">
        <f>SUM(F9:F22)</f>
        <v>92160</v>
      </c>
      <c r="G23" s="218"/>
      <c r="H23" s="218">
        <f>D23-F23</f>
        <v>325240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308</v>
      </c>
      <c r="D26" s="385">
        <v>72800</v>
      </c>
      <c r="E26" s="385"/>
      <c r="F26" s="385">
        <f>43680+29120</f>
        <v>72800</v>
      </c>
      <c r="G26" s="385"/>
      <c r="H26" s="385">
        <f>D26-F26</f>
        <v>0</v>
      </c>
      <c r="I26" s="386"/>
    </row>
    <row r="27" spans="1:9" s="365" customFormat="1" ht="12.75" customHeight="1" x14ac:dyDescent="0.25">
      <c r="A27" s="380"/>
      <c r="B27" s="388"/>
      <c r="C27" s="392" t="s">
        <v>309</v>
      </c>
      <c r="D27" s="385">
        <v>54600</v>
      </c>
      <c r="E27" s="385"/>
      <c r="F27" s="385">
        <f>10920</f>
        <v>10920</v>
      </c>
      <c r="G27" s="385"/>
      <c r="H27" s="385">
        <f t="shared" ref="H27:H33" si="3">D27-F27</f>
        <v>43680</v>
      </c>
      <c r="I27" s="386"/>
    </row>
    <row r="28" spans="1:9" s="365" customFormat="1" ht="12.75" customHeight="1" x14ac:dyDescent="0.25">
      <c r="A28" s="380"/>
      <c r="B28" s="388"/>
      <c r="C28" s="392" t="s">
        <v>310</v>
      </c>
      <c r="D28" s="385">
        <v>145600</v>
      </c>
      <c r="E28" s="385"/>
      <c r="F28" s="385"/>
      <c r="G28" s="385"/>
      <c r="H28" s="385">
        <f t="shared" si="3"/>
        <v>145600</v>
      </c>
      <c r="I28" s="386"/>
    </row>
    <row r="29" spans="1:9" s="365" customFormat="1" ht="12.75" customHeight="1" x14ac:dyDescent="0.25">
      <c r="A29" s="380"/>
      <c r="B29" s="388"/>
      <c r="C29" s="392" t="s">
        <v>311</v>
      </c>
      <c r="D29" s="385">
        <v>18200</v>
      </c>
      <c r="E29" s="385"/>
      <c r="F29" s="385"/>
      <c r="G29" s="385"/>
      <c r="H29" s="385">
        <f t="shared" si="3"/>
        <v>18200</v>
      </c>
      <c r="I29" s="386"/>
    </row>
    <row r="30" spans="1:9" s="365" customFormat="1" ht="12.75" customHeight="1" x14ac:dyDescent="0.25">
      <c r="A30" s="380"/>
      <c r="B30" s="388"/>
      <c r="C30" s="392" t="s">
        <v>312</v>
      </c>
      <c r="D30" s="385">
        <v>72800</v>
      </c>
      <c r="E30" s="385"/>
      <c r="F30" s="385"/>
      <c r="G30" s="385"/>
      <c r="H30" s="385">
        <f t="shared" si="3"/>
        <v>72800</v>
      </c>
      <c r="I30" s="386"/>
    </row>
    <row r="31" spans="1:9" s="365" customFormat="1" ht="12.75" customHeight="1" x14ac:dyDescent="0.25">
      <c r="A31" s="380"/>
      <c r="B31" s="388"/>
      <c r="C31" s="426" t="s">
        <v>313</v>
      </c>
      <c r="D31" s="427">
        <v>16000</v>
      </c>
      <c r="E31" s="427"/>
      <c r="F31" s="427"/>
      <c r="G31" s="427"/>
      <c r="H31" s="385">
        <f t="shared" si="3"/>
        <v>16000</v>
      </c>
      <c r="I31" s="386"/>
    </row>
    <row r="32" spans="1:9" s="365" customFormat="1" ht="12.75" customHeight="1" x14ac:dyDescent="0.25">
      <c r="A32" s="380"/>
      <c r="B32" s="388"/>
      <c r="C32" s="426" t="s">
        <v>314</v>
      </c>
      <c r="D32" s="427">
        <v>21400</v>
      </c>
      <c r="E32" s="427"/>
      <c r="F32" s="427">
        <f>5350+3090</f>
        <v>8440</v>
      </c>
      <c r="G32" s="427"/>
      <c r="H32" s="385">
        <f t="shared" si="3"/>
        <v>12960</v>
      </c>
      <c r="I32" s="386"/>
    </row>
    <row r="33" spans="1:9" s="365" customFormat="1" ht="12.75" customHeight="1" x14ac:dyDescent="0.25">
      <c r="A33" s="380"/>
      <c r="B33" s="388"/>
      <c r="C33" s="426" t="s">
        <v>315</v>
      </c>
      <c r="D33" s="427">
        <v>16000</v>
      </c>
      <c r="E33" s="219"/>
      <c r="F33" s="219"/>
      <c r="G33" s="219"/>
      <c r="H33" s="385">
        <f t="shared" si="3"/>
        <v>16000</v>
      </c>
      <c r="I33" s="386"/>
    </row>
    <row r="34" spans="1:9" s="365" customFormat="1" ht="12.75" customHeight="1" thickBot="1" x14ac:dyDescent="0.3">
      <c r="A34" s="380"/>
      <c r="B34" s="388"/>
      <c r="C34" s="428" t="s">
        <v>161</v>
      </c>
      <c r="D34" s="429">
        <f>SUM(D26:D33)</f>
        <v>417400</v>
      </c>
      <c r="E34" s="390"/>
      <c r="F34" s="429">
        <f>SUM(F26:F33)</f>
        <v>92160</v>
      </c>
      <c r="G34" s="390"/>
      <c r="H34" s="429">
        <f>SUM(H26:H33)</f>
        <v>325240</v>
      </c>
      <c r="I34" s="386"/>
    </row>
    <row r="35" spans="1:9" s="365" customFormat="1" ht="12.75" customHeight="1" thickTop="1" x14ac:dyDescent="0.25"/>
  </sheetData>
  <conditionalFormatting sqref="I9:I30">
    <cfRule type="cellIs" dxfId="8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0F4B-DC1A-4FE5-B9F9-1F255F80C7C7}">
  <sheetPr>
    <tabColor indexed="30"/>
    <pageSetUpPr fitToPage="1"/>
  </sheetPr>
  <dimension ref="A1:H23"/>
  <sheetViews>
    <sheetView zoomScaleNormal="100" workbookViewId="0">
      <selection activeCell="E7" sqref="E7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#9279.50'!B1</f>
        <v>HHS WRC Campus Utility Decentralization Phase 5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#9279.50'!B2</f>
        <v>Project # 9279.50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#9279.50'!B3</f>
        <v>Program code 927950</v>
      </c>
      <c r="B3" s="100"/>
      <c r="C3" s="100"/>
      <c r="D3" s="100"/>
      <c r="E3" s="103" t="str">
        <f>'RECAP #9279.50'!E3</f>
        <v>Major Program 4B02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#9279.50'!B6</f>
        <v>Project Manager - Jennifer K.</v>
      </c>
      <c r="B6" s="106"/>
      <c r="C6" s="106"/>
      <c r="D6" s="106"/>
      <c r="E6" s="103" t="s">
        <v>325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F245-476B-45C6-9470-9C9FF38712F1}">
  <sheetPr>
    <pageSetUpPr fitToPage="1"/>
  </sheetPr>
  <dimension ref="A1:G15"/>
  <sheetViews>
    <sheetView zoomScaleNormal="100" workbookViewId="0">
      <selection activeCell="D20" sqref="D2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115</v>
      </c>
      <c r="C1" s="99"/>
      <c r="D1" s="9"/>
      <c r="E1" s="9"/>
      <c r="F1" s="9"/>
      <c r="G1" s="9"/>
    </row>
    <row r="2" spans="1:7" ht="15.75" x14ac:dyDescent="0.25">
      <c r="A2" s="97"/>
      <c r="B2" s="101" t="s">
        <v>116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117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118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'#9489.00 Funds Rec''d'!H24</f>
        <v>50000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145</v>
      </c>
      <c r="C10" s="447"/>
      <c r="D10" s="450">
        <f>'#9489.00 McGough Construction'!D23</f>
        <v>16402.419999999998</v>
      </c>
      <c r="E10" s="450">
        <f>'#9489.00 McGough Construction'!F23</f>
        <v>0</v>
      </c>
      <c r="F10" s="450">
        <f>'#9489.00 McGough Construction'!H23</f>
        <v>16402.419999999998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'#9489.00 PM TIME'!E23</f>
        <v>5000</v>
      </c>
      <c r="E11" s="450">
        <f>'#9489.00 PM TIME'!G23</f>
        <v>1350.47</v>
      </c>
      <c r="F11" s="450">
        <f>'#9489.00 PM TIME'!I23</f>
        <v>3649.5299999999997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'#9489.00 Misc'!G22</f>
        <v>0</v>
      </c>
      <c r="E12" s="438">
        <f>'#9489.00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50000</v>
      </c>
      <c r="D14" s="127">
        <f>SUM(D8:D13)</f>
        <v>21402.42</v>
      </c>
      <c r="E14" s="127">
        <f>SUM(E8:E13)</f>
        <v>1350.47</v>
      </c>
      <c r="F14" s="127">
        <f>SUM(D14-E14)</f>
        <v>20051.949999999997</v>
      </c>
      <c r="G14" s="127">
        <f>C8-D14</f>
        <v>28597.58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9992-6F4B-4D0B-B51B-E1B828EF54C1}">
  <sheetPr>
    <pageSetUpPr fitToPage="1"/>
  </sheetPr>
  <dimension ref="A1:H33"/>
  <sheetViews>
    <sheetView zoomScaleNormal="100" workbookViewId="0">
      <selection activeCell="A6" sqref="A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#9489.00'!B1</f>
        <v>DOC &amp; ASP TWID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#9489.00'!B2</f>
        <v>Project # 9489.00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#9489.00'!B3</f>
        <v>Program code 948900</v>
      </c>
      <c r="B3" s="10"/>
      <c r="C3" s="131" t="s">
        <v>3</v>
      </c>
      <c r="D3" s="133" t="str">
        <f>'RECAP #9489.00'!E3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#9489.00'!B6</f>
        <v>Project Manager - Oliver S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183</v>
      </c>
      <c r="F9" s="399">
        <v>45888</v>
      </c>
      <c r="G9" s="493">
        <v>50000</v>
      </c>
      <c r="H9" s="493">
        <v>50000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</v>
      </c>
      <c r="H24" s="218">
        <f>SUM(H9:H22)</f>
        <v>50000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790D-C380-44A0-9910-A851458006E8}">
  <sheetPr>
    <pageSetUpPr fitToPage="1"/>
  </sheetPr>
  <dimension ref="A1:I50"/>
  <sheetViews>
    <sheetView zoomScaleNormal="100" workbookViewId="0">
      <selection activeCell="A20" sqref="A2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#9489.00'!B1</f>
        <v>DOC &amp; ASP TWID Repairs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#9489.00'!B2</f>
        <v>Project # 9489.00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#9489.00'!B3</f>
        <v>Program code 948900</v>
      </c>
      <c r="B3" s="100"/>
      <c r="C3" s="9"/>
      <c r="D3" s="103" t="str">
        <f>'RECAP #9489.00'!E3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#9489.00'!B6</f>
        <v>Project Manager - Oliver S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275</v>
      </c>
      <c r="B9" s="381">
        <v>45936</v>
      </c>
      <c r="C9" s="388" t="s">
        <v>150</v>
      </c>
      <c r="D9" s="383">
        <v>16402.419999999998</v>
      </c>
      <c r="E9" s="384">
        <f>D9</f>
        <v>16402.419999999998</v>
      </c>
      <c r="F9" s="385"/>
      <c r="G9" s="385"/>
      <c r="H9" s="385">
        <f>E9</f>
        <v>16402.419999999998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16402.419999999998</v>
      </c>
      <c r="F10" s="390"/>
      <c r="G10" s="385">
        <f t="shared" ref="G10:G21" si="1">G9+F10</f>
        <v>0</v>
      </c>
      <c r="H10" s="385">
        <f t="shared" ref="H10:H21" si="2">H9-F10+D10</f>
        <v>16402.419999999998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16402.419999999998</v>
      </c>
      <c r="F11" s="390"/>
      <c r="G11" s="385">
        <f t="shared" si="1"/>
        <v>0</v>
      </c>
      <c r="H11" s="385">
        <f t="shared" si="2"/>
        <v>16402.419999999998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16402.419999999998</v>
      </c>
      <c r="F12" s="390"/>
      <c r="G12" s="385">
        <f t="shared" si="1"/>
        <v>0</v>
      </c>
      <c r="H12" s="385">
        <f t="shared" si="2"/>
        <v>16402.419999999998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16402.419999999998</v>
      </c>
      <c r="F13" s="390"/>
      <c r="G13" s="385">
        <f t="shared" si="1"/>
        <v>0</v>
      </c>
      <c r="H13" s="385">
        <f t="shared" si="2"/>
        <v>16402.419999999998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16402.419999999998</v>
      </c>
      <c r="F14" s="385"/>
      <c r="G14" s="385">
        <f t="shared" si="1"/>
        <v>0</v>
      </c>
      <c r="H14" s="385">
        <f t="shared" si="2"/>
        <v>16402.419999999998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16402.419999999998</v>
      </c>
      <c r="F15" s="390"/>
      <c r="G15" s="385">
        <f t="shared" si="1"/>
        <v>0</v>
      </c>
      <c r="H15" s="385">
        <f t="shared" si="2"/>
        <v>16402.419999999998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16402.419999999998</v>
      </c>
      <c r="F16" s="390"/>
      <c r="G16" s="385">
        <f t="shared" si="1"/>
        <v>0</v>
      </c>
      <c r="H16" s="385">
        <f t="shared" si="2"/>
        <v>16402.419999999998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16402.419999999998</v>
      </c>
      <c r="F17" s="390"/>
      <c r="G17" s="385">
        <f t="shared" si="1"/>
        <v>0</v>
      </c>
      <c r="H17" s="385">
        <f t="shared" si="2"/>
        <v>16402.419999999998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16402.419999999998</v>
      </c>
      <c r="F18" s="390"/>
      <c r="G18" s="385">
        <f t="shared" si="1"/>
        <v>0</v>
      </c>
      <c r="H18" s="385">
        <f t="shared" si="2"/>
        <v>16402.419999999998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16402.419999999998</v>
      </c>
      <c r="F19" s="385"/>
      <c r="G19" s="385">
        <f t="shared" si="1"/>
        <v>0</v>
      </c>
      <c r="H19" s="385">
        <f t="shared" si="2"/>
        <v>16402.419999999998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16402.419999999998</v>
      </c>
      <c r="F20" s="385"/>
      <c r="G20" s="385">
        <f t="shared" si="1"/>
        <v>0</v>
      </c>
      <c r="H20" s="385">
        <f t="shared" si="2"/>
        <v>16402.419999999998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16402.419999999998</v>
      </c>
      <c r="F21" s="385"/>
      <c r="G21" s="385">
        <f t="shared" si="1"/>
        <v>0</v>
      </c>
      <c r="H21" s="385">
        <f t="shared" si="2"/>
        <v>16402.419999999998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16402.419999999998</v>
      </c>
      <c r="E23" s="218"/>
      <c r="F23" s="218">
        <f>SUM(F9:F22)</f>
        <v>0</v>
      </c>
      <c r="G23" s="218"/>
      <c r="H23" s="218">
        <f>D23-F23</f>
        <v>16402.419999999998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15472.42</v>
      </c>
      <c r="E26" s="427"/>
      <c r="F26" s="427"/>
      <c r="G26" s="427"/>
      <c r="H26" s="427">
        <f>D26-F26</f>
        <v>15472.42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930</v>
      </c>
      <c r="E27" s="219"/>
      <c r="F27" s="219"/>
      <c r="G27" s="219"/>
      <c r="H27" s="427">
        <f>D27-F27</f>
        <v>930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16402.419999999998</v>
      </c>
      <c r="E28" s="390"/>
      <c r="F28" s="429">
        <f>SUM(F25:F27)</f>
        <v>0</v>
      </c>
      <c r="G28" s="390"/>
      <c r="H28" s="429">
        <f>SUM(H25:H27)</f>
        <v>16402.419999999998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conditionalFormatting sqref="I9:I25">
    <cfRule type="cellIs" dxfId="7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6C52-A501-47DD-9C5B-789DD569D339}">
  <sheetPr>
    <pageSetUpPr fitToPage="1"/>
  </sheetPr>
  <dimension ref="A1:J89"/>
  <sheetViews>
    <sheetView zoomScaleNormal="100" workbookViewId="0">
      <selection activeCell="Q32" sqref="Q3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85546875" customWidth="1"/>
    <col min="5" max="5" width="15.28515625" customWidth="1"/>
    <col min="6" max="6" width="13.5703125" customWidth="1"/>
    <col min="7" max="7" width="12.42578125" customWidth="1"/>
    <col min="8" max="8" width="10.5703125" customWidth="1"/>
    <col min="9" max="9" width="14.1406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#9489.00'!B1</f>
        <v>DOC &amp; ASP TWID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#9489.00'!B2</f>
        <v>Project # 9489.00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#9489.00'!B3</f>
        <v>Program code 948900</v>
      </c>
      <c r="B3" s="100"/>
      <c r="C3" s="100"/>
      <c r="D3" s="9"/>
      <c r="E3" s="103" t="str">
        <f>'RECAP #9489.00'!E3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#9489.00'!B6</f>
        <v>Project Manager - Oliver S</v>
      </c>
      <c r="B6" s="106"/>
      <c r="C6" s="106"/>
      <c r="D6" s="166"/>
      <c r="E6" s="162" t="s">
        <v>144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5000</v>
      </c>
      <c r="F9" s="384">
        <f>E9</f>
        <v>5000</v>
      </c>
      <c r="G9" s="385"/>
      <c r="H9" s="385"/>
      <c r="I9" s="385">
        <f>F9</f>
        <v>5000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1" si="0">E10</f>
        <v>0</v>
      </c>
      <c r="G10" s="389">
        <v>54.39</v>
      </c>
      <c r="H10" s="385">
        <f t="shared" ref="H10:H21" si="1">H9+G10</f>
        <v>54.39</v>
      </c>
      <c r="I10" s="385">
        <f>I9-G10+E10</f>
        <v>4945.6099999999997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415.5</v>
      </c>
      <c r="H11" s="385">
        <f t="shared" si="1"/>
        <v>469.89</v>
      </c>
      <c r="I11" s="385">
        <f t="shared" ref="I11:I21" si="2">I10-G11+E11</f>
        <v>4530.1099999999997</v>
      </c>
      <c r="J11" s="386"/>
    </row>
    <row r="12" spans="1:10" s="365" customFormat="1" ht="12.75" customHeight="1" x14ac:dyDescent="0.25">
      <c r="A12" s="483" t="s">
        <v>326</v>
      </c>
      <c r="B12" s="484">
        <v>45968</v>
      </c>
      <c r="C12" s="488" t="s">
        <v>278</v>
      </c>
      <c r="D12" s="486" t="s">
        <v>329</v>
      </c>
      <c r="E12" s="384"/>
      <c r="F12" s="384">
        <f t="shared" si="0"/>
        <v>0</v>
      </c>
      <c r="G12" s="389">
        <v>28.98</v>
      </c>
      <c r="H12" s="385">
        <f t="shared" si="1"/>
        <v>498.87</v>
      </c>
      <c r="I12" s="385">
        <f t="shared" si="2"/>
        <v>4501.13</v>
      </c>
      <c r="J12" s="386"/>
    </row>
    <row r="13" spans="1:10" s="365" customFormat="1" ht="12.75" customHeight="1" x14ac:dyDescent="0.25">
      <c r="A13" s="483" t="s">
        <v>326</v>
      </c>
      <c r="B13" s="484">
        <v>45968</v>
      </c>
      <c r="C13" s="488">
        <v>9500</v>
      </c>
      <c r="D13" s="396" t="s">
        <v>330</v>
      </c>
      <c r="E13" s="384"/>
      <c r="F13" s="384">
        <f t="shared" si="0"/>
        <v>0</v>
      </c>
      <c r="G13" s="389">
        <v>286.60000000000002</v>
      </c>
      <c r="H13" s="385">
        <f t="shared" si="1"/>
        <v>785.47</v>
      </c>
      <c r="I13" s="385">
        <f t="shared" si="2"/>
        <v>4214.53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81" t="s">
        <v>278</v>
      </c>
      <c r="D14" s="214" t="s">
        <v>391</v>
      </c>
      <c r="E14" s="384"/>
      <c r="F14" s="384">
        <f t="shared" si="0"/>
        <v>0</v>
      </c>
      <c r="G14" s="389">
        <v>12.23</v>
      </c>
      <c r="H14" s="385">
        <f t="shared" si="1"/>
        <v>797.7</v>
      </c>
      <c r="I14" s="385">
        <f t="shared" si="2"/>
        <v>4202.3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2">
        <v>9500</v>
      </c>
      <c r="D15" s="145" t="s">
        <v>392</v>
      </c>
      <c r="E15" s="384"/>
      <c r="F15" s="384">
        <f t="shared" si="0"/>
        <v>0</v>
      </c>
      <c r="G15" s="389">
        <v>79.3</v>
      </c>
      <c r="H15" s="385">
        <f t="shared" si="1"/>
        <v>877</v>
      </c>
      <c r="I15" s="385">
        <f t="shared" si="2"/>
        <v>4123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81" t="s">
        <v>278</v>
      </c>
      <c r="D16" s="214" t="s">
        <v>426</v>
      </c>
      <c r="E16" s="384"/>
      <c r="F16" s="384">
        <f t="shared" si="0"/>
        <v>0</v>
      </c>
      <c r="G16" s="389">
        <v>38.270000000000003</v>
      </c>
      <c r="H16" s="385">
        <f t="shared" si="1"/>
        <v>915.27</v>
      </c>
      <c r="I16" s="385">
        <f t="shared" si="2"/>
        <v>4084.73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2">
        <v>9500</v>
      </c>
      <c r="D17" s="145" t="s">
        <v>427</v>
      </c>
      <c r="E17" s="384"/>
      <c r="F17" s="384">
        <f t="shared" si="0"/>
        <v>0</v>
      </c>
      <c r="G17" s="389">
        <v>435.2</v>
      </c>
      <c r="H17" s="385">
        <f t="shared" si="1"/>
        <v>1350.47</v>
      </c>
      <c r="I17" s="385">
        <f t="shared" si="2"/>
        <v>3649.53</v>
      </c>
      <c r="J17" s="386"/>
    </row>
    <row r="18" spans="1:10" s="365" customFormat="1" ht="12.75" customHeight="1" x14ac:dyDescent="0.25">
      <c r="A18" s="396"/>
      <c r="B18" s="381"/>
      <c r="C18" s="488"/>
      <c r="D18" s="392"/>
      <c r="E18" s="384"/>
      <c r="F18" s="384">
        <f t="shared" si="0"/>
        <v>0</v>
      </c>
      <c r="G18" s="390"/>
      <c r="H18" s="385">
        <f t="shared" si="1"/>
        <v>1350.47</v>
      </c>
      <c r="I18" s="385">
        <f t="shared" si="2"/>
        <v>3649.53</v>
      </c>
      <c r="J18" s="386"/>
    </row>
    <row r="19" spans="1:10" s="365" customFormat="1" ht="12.75" customHeight="1" x14ac:dyDescent="0.25">
      <c r="A19" s="396"/>
      <c r="B19" s="381"/>
      <c r="C19" s="488"/>
      <c r="D19" s="392"/>
      <c r="E19" s="384"/>
      <c r="F19" s="384">
        <f t="shared" si="0"/>
        <v>0</v>
      </c>
      <c r="G19" s="385"/>
      <c r="H19" s="385">
        <f t="shared" si="1"/>
        <v>1350.47</v>
      </c>
      <c r="I19" s="385">
        <f t="shared" si="2"/>
        <v>3649.53</v>
      </c>
      <c r="J19" s="386"/>
    </row>
    <row r="20" spans="1:10" s="365" customFormat="1" ht="12.75" customHeight="1" x14ac:dyDescent="0.25">
      <c r="A20" s="396"/>
      <c r="B20" s="381"/>
      <c r="C20" s="488"/>
      <c r="D20" s="392"/>
      <c r="E20" s="384"/>
      <c r="F20" s="384">
        <f t="shared" si="0"/>
        <v>0</v>
      </c>
      <c r="G20" s="385"/>
      <c r="H20" s="385">
        <f t="shared" si="1"/>
        <v>1350.47</v>
      </c>
      <c r="I20" s="385">
        <f t="shared" si="2"/>
        <v>3649.53</v>
      </c>
      <c r="J20" s="386"/>
    </row>
    <row r="21" spans="1:10" s="365" customFormat="1" ht="12.75" customHeight="1" x14ac:dyDescent="0.25">
      <c r="A21" s="396"/>
      <c r="B21" s="381"/>
      <c r="C21" s="488"/>
      <c r="D21" s="432"/>
      <c r="E21" s="384"/>
      <c r="F21" s="384">
        <f t="shared" si="0"/>
        <v>0</v>
      </c>
      <c r="G21" s="385"/>
      <c r="H21" s="385">
        <f t="shared" si="1"/>
        <v>1350.47</v>
      </c>
      <c r="I21" s="385">
        <f t="shared" si="2"/>
        <v>3649.53</v>
      </c>
      <c r="J21" s="386"/>
    </row>
    <row r="22" spans="1:10" s="365" customFormat="1" ht="12.75" customHeight="1" x14ac:dyDescent="0.25">
      <c r="A22" s="396"/>
      <c r="B22" s="388"/>
      <c r="C22" s="4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488"/>
      <c r="D23" s="394" t="s">
        <v>54</v>
      </c>
      <c r="E23" s="218">
        <f>SUM(E9:E22)</f>
        <v>5000</v>
      </c>
      <c r="F23" s="218"/>
      <c r="G23" s="218">
        <f>SUM(G9:G22)</f>
        <v>1350.47</v>
      </c>
      <c r="H23" s="218"/>
      <c r="I23" s="218">
        <f>SUM(E23-G23)</f>
        <v>3649.5299999999997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0F8F-A6A5-4E34-85FC-7317C3E71E3A}">
  <sheetPr>
    <tabColor indexed="30"/>
    <pageSetUpPr fitToPage="1"/>
  </sheetPr>
  <dimension ref="A1:H50"/>
  <sheetViews>
    <sheetView zoomScaleNormal="100" workbookViewId="0">
      <selection activeCell="O19" sqref="O1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'#9489.00 PM TIME'!A1</f>
        <v>DOC &amp; ASP TWID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#9489.00'!B2</f>
        <v>Project # 9489.00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#9489.00'!B3</f>
        <v>Program code 948900</v>
      </c>
      <c r="B3" s="100"/>
      <c r="C3" s="100"/>
      <c r="D3" s="100"/>
      <c r="E3" s="103" t="str">
        <f>'RECAP #9489.00'!E3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#9489.00'!B6</f>
        <v>Project Manager - Oliver S</v>
      </c>
      <c r="B6" s="106"/>
      <c r="C6" s="106"/>
      <c r="D6" s="106"/>
      <c r="E6" s="103" t="s">
        <v>276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77C-5E0C-4E71-819B-EC68261C77C5}">
  <sheetPr>
    <tabColor rgb="FF0070C0"/>
    <pageSetUpPr fitToPage="1"/>
  </sheetPr>
  <dimension ref="A1:G17"/>
  <sheetViews>
    <sheetView zoomScaleNormal="100" workbookViewId="0">
      <selection activeCell="C25" sqref="C2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284"/>
      <c r="B1" s="134" t="s">
        <v>137</v>
      </c>
      <c r="C1" s="134"/>
      <c r="D1" s="232"/>
      <c r="E1" s="232"/>
      <c r="F1" s="232"/>
      <c r="G1" s="232"/>
    </row>
    <row r="2" spans="1:7" ht="15.75" x14ac:dyDescent="0.25">
      <c r="A2" s="284"/>
      <c r="B2" s="235" t="s">
        <v>138</v>
      </c>
      <c r="C2" s="236"/>
      <c r="D2" s="232"/>
      <c r="E2" s="232"/>
      <c r="F2" s="232"/>
      <c r="G2" s="232"/>
    </row>
    <row r="3" spans="1:7" ht="15.75" x14ac:dyDescent="0.25">
      <c r="A3" s="284"/>
      <c r="B3" s="237" t="s">
        <v>139</v>
      </c>
      <c r="C3" s="236"/>
      <c r="D3" s="232"/>
      <c r="E3" s="238" t="s">
        <v>80</v>
      </c>
      <c r="F3" s="232"/>
      <c r="G3" s="232"/>
    </row>
    <row r="4" spans="1:7" ht="15.75" x14ac:dyDescent="0.25">
      <c r="A4" s="284"/>
      <c r="B4" s="240" t="s">
        <v>36</v>
      </c>
      <c r="C4" s="286" t="s">
        <v>3</v>
      </c>
      <c r="D4" s="232"/>
      <c r="E4" s="232"/>
      <c r="F4" s="232"/>
      <c r="G4" s="232"/>
    </row>
    <row r="5" spans="1:7" ht="15.75" x14ac:dyDescent="0.25">
      <c r="A5" s="284"/>
      <c r="B5" s="155" t="s">
        <v>63</v>
      </c>
      <c r="C5" s="236"/>
      <c r="D5" s="232"/>
      <c r="E5" s="232"/>
      <c r="F5" s="232"/>
      <c r="G5" s="232"/>
    </row>
    <row r="6" spans="1:7" ht="15.75" x14ac:dyDescent="0.25">
      <c r="A6" s="285"/>
      <c r="B6" s="244" t="s">
        <v>140</v>
      </c>
      <c r="C6" s="287"/>
      <c r="D6" s="288" t="s">
        <v>3</v>
      </c>
      <c r="E6" s="289"/>
      <c r="F6" s="289"/>
      <c r="G6" s="289"/>
    </row>
    <row r="7" spans="1:7" ht="26.85" customHeight="1" thickBot="1" x14ac:dyDescent="0.3">
      <c r="A7" s="284"/>
      <c r="B7" s="290" t="s">
        <v>3</v>
      </c>
      <c r="C7" s="291" t="s">
        <v>0</v>
      </c>
      <c r="D7" s="292" t="s">
        <v>1</v>
      </c>
      <c r="E7" s="293" t="s">
        <v>2</v>
      </c>
      <c r="F7" s="294" t="s">
        <v>37</v>
      </c>
      <c r="G7" s="294" t="s">
        <v>38</v>
      </c>
    </row>
    <row r="8" spans="1:7" ht="28.35" customHeight="1" x14ac:dyDescent="0.25">
      <c r="A8" s="284"/>
      <c r="B8" s="236" t="s">
        <v>39</v>
      </c>
      <c r="C8" s="295">
        <f>'#9490.00 Funds Rec''d '!H24</f>
        <v>20787.560000000001</v>
      </c>
      <c r="D8" s="296"/>
      <c r="E8" s="296"/>
      <c r="F8" s="296"/>
      <c r="G8" s="297"/>
    </row>
    <row r="9" spans="1:7" x14ac:dyDescent="0.25">
      <c r="A9" s="284"/>
      <c r="B9" s="236"/>
      <c r="C9" s="298"/>
      <c r="D9" s="299"/>
      <c r="E9" s="299"/>
      <c r="F9" s="299"/>
      <c r="G9" s="297"/>
    </row>
    <row r="10" spans="1:7" x14ac:dyDescent="0.25">
      <c r="A10" s="284" t="s">
        <v>331</v>
      </c>
      <c r="B10" s="236" t="s">
        <v>40</v>
      </c>
      <c r="C10" s="298"/>
      <c r="D10" s="296">
        <f>'#9490.00 Vendor A '!D23</f>
        <v>0</v>
      </c>
      <c r="E10" s="296">
        <f>'#9490.00 Vendor A '!F23</f>
        <v>0</v>
      </c>
      <c r="F10" s="296">
        <f>'#9490.00 Vendor A '!H23</f>
        <v>0</v>
      </c>
      <c r="G10" s="297"/>
    </row>
    <row r="11" spans="1:7" x14ac:dyDescent="0.25">
      <c r="A11" s="284" t="s">
        <v>331</v>
      </c>
      <c r="B11" s="236" t="s">
        <v>41</v>
      </c>
      <c r="C11" s="298"/>
      <c r="D11" s="296">
        <f>'#9490.00 PM TIME'!E23</f>
        <v>2127.56</v>
      </c>
      <c r="E11" s="296">
        <f>'#9490.00 PM TIME'!G23</f>
        <v>2127.5600000000004</v>
      </c>
      <c r="F11" s="300">
        <f>'#9490.00 PM TIME'!I23</f>
        <v>-4.5474735088646412E-13</v>
      </c>
      <c r="G11" s="297"/>
    </row>
    <row r="12" spans="1:7" x14ac:dyDescent="0.25">
      <c r="A12" s="284" t="s">
        <v>331</v>
      </c>
      <c r="B12" s="236" t="s">
        <v>42</v>
      </c>
      <c r="C12" s="299"/>
      <c r="D12" s="279">
        <f>'#9490.00 Misc '!G22</f>
        <v>18660</v>
      </c>
      <c r="E12" s="279">
        <f>'#9490.00 Misc '!G22</f>
        <v>18660</v>
      </c>
      <c r="F12" s="296">
        <f>D12-E12</f>
        <v>0</v>
      </c>
      <c r="G12" s="297"/>
    </row>
    <row r="13" spans="1:7" ht="13.35" customHeight="1" x14ac:dyDescent="0.25">
      <c r="A13" s="285"/>
      <c r="B13" s="236"/>
      <c r="C13" s="299"/>
      <c r="D13" s="279"/>
      <c r="E13" s="279"/>
      <c r="F13" s="296"/>
      <c r="G13" s="301"/>
    </row>
    <row r="14" spans="1:7" ht="24" customHeight="1" thickBot="1" x14ac:dyDescent="0.3">
      <c r="A14" s="302"/>
      <c r="B14" s="303" t="s">
        <v>43</v>
      </c>
      <c r="C14" s="304">
        <f>SUM(C8:C13)</f>
        <v>20787.560000000001</v>
      </c>
      <c r="D14" s="304">
        <f>SUM(D8:D13)</f>
        <v>20787.560000000001</v>
      </c>
      <c r="E14" s="304">
        <f>SUM(E8:E13)</f>
        <v>20787.560000000001</v>
      </c>
      <c r="F14" s="304">
        <f>SUM(D14-E14)</f>
        <v>0</v>
      </c>
      <c r="G14" s="304">
        <f>C8-D14</f>
        <v>0</v>
      </c>
    </row>
    <row r="15" spans="1:7" ht="13.35" customHeight="1" thickTop="1" x14ac:dyDescent="0.25">
      <c r="A15" s="285"/>
      <c r="B15" s="236"/>
      <c r="C15" s="236"/>
      <c r="D15" s="301"/>
      <c r="E15" s="301"/>
      <c r="F15" s="301"/>
      <c r="G15" s="301"/>
    </row>
    <row r="16" spans="1:7" ht="13.35" customHeight="1" x14ac:dyDescent="0.25">
      <c r="A16" s="285"/>
      <c r="B16" s="236"/>
      <c r="C16" s="236"/>
      <c r="D16" s="301"/>
      <c r="E16" s="301"/>
      <c r="F16" s="301"/>
      <c r="G16" s="301"/>
    </row>
    <row r="17" spans="1:7" ht="13.35" customHeight="1" x14ac:dyDescent="0.25">
      <c r="A17" s="285"/>
      <c r="B17" s="284" t="s">
        <v>332</v>
      </c>
      <c r="C17" s="236"/>
      <c r="D17" s="301"/>
      <c r="E17" s="301"/>
      <c r="F17" s="301"/>
      <c r="G17" s="301"/>
    </row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03E4-B6DC-480D-A7A9-D3AFB06534FA}">
  <sheetPr>
    <tabColor rgb="FF0070C0"/>
    <pageSetUpPr fitToPage="1"/>
  </sheetPr>
  <dimension ref="A1:H25"/>
  <sheetViews>
    <sheetView zoomScaleNormal="100" workbookViewId="0">
      <selection activeCell="A17" sqref="A1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306" t="str">
        <f>'RECAP #9490.00'!B1</f>
        <v>DOC NCF Forced Main Sewer Pipe Failure (29C20)</v>
      </c>
      <c r="B1" s="307"/>
      <c r="C1" s="308"/>
      <c r="D1" s="309"/>
      <c r="E1" s="309"/>
      <c r="F1" s="307"/>
      <c r="G1" s="307"/>
      <c r="H1" s="307"/>
    </row>
    <row r="2" spans="1:8" x14ac:dyDescent="0.25">
      <c r="A2" s="310" t="str">
        <f>'RECAP #9490.00'!B2</f>
        <v>Project # 9490.00</v>
      </c>
      <c r="B2" s="307"/>
      <c r="C2" s="311" t="s">
        <v>3</v>
      </c>
      <c r="D2" s="312"/>
      <c r="E2" s="312"/>
      <c r="F2" s="307"/>
      <c r="G2" s="307"/>
      <c r="H2" s="307"/>
    </row>
    <row r="3" spans="1:8" x14ac:dyDescent="0.25">
      <c r="A3" s="313" t="str">
        <f>'RECAP #9490.00'!B3</f>
        <v>Program code 949000</v>
      </c>
      <c r="B3" s="307"/>
      <c r="C3" s="311" t="s">
        <v>3</v>
      </c>
      <c r="D3" s="314" t="str">
        <f>'RECAP #9490.00'!E3</f>
        <v>Major Program 4E01</v>
      </c>
      <c r="E3" s="309"/>
      <c r="F3" s="307"/>
      <c r="G3" s="307"/>
      <c r="H3" s="307"/>
    </row>
    <row r="4" spans="1:8" ht="15.75" x14ac:dyDescent="0.25">
      <c r="A4" s="134" t="s">
        <v>44</v>
      </c>
      <c r="B4" s="315" t="s">
        <v>3</v>
      </c>
      <c r="C4" s="309"/>
      <c r="D4" s="309"/>
      <c r="E4" s="309"/>
      <c r="F4" s="307"/>
      <c r="G4" s="307"/>
      <c r="H4" s="307"/>
    </row>
    <row r="5" spans="1:8" x14ac:dyDescent="0.25">
      <c r="A5" s="316" t="s">
        <v>126</v>
      </c>
      <c r="B5" s="317"/>
      <c r="C5" s="318"/>
      <c r="D5" s="265"/>
      <c r="E5" s="307"/>
      <c r="F5" s="307"/>
      <c r="G5" s="307"/>
      <c r="H5" s="307"/>
    </row>
    <row r="6" spans="1:8" x14ac:dyDescent="0.25">
      <c r="A6" s="319" t="str">
        <f>'RECAP #9490.00'!B6</f>
        <v>Project Manager - Brad T.</v>
      </c>
      <c r="B6" s="317"/>
      <c r="C6" s="320"/>
      <c r="D6" s="265"/>
      <c r="E6" s="317"/>
      <c r="F6" s="265"/>
      <c r="G6" s="320"/>
      <c r="H6" s="320"/>
    </row>
    <row r="7" spans="1:8" ht="18" x14ac:dyDescent="0.25">
      <c r="A7" s="319"/>
      <c r="B7" s="322"/>
      <c r="C7" s="323"/>
      <c r="D7" s="322"/>
      <c r="E7" s="322"/>
      <c r="F7" s="324"/>
      <c r="G7" s="323"/>
      <c r="H7" s="323"/>
    </row>
    <row r="8" spans="1:8" ht="50.85" customHeight="1" thickBot="1" x14ac:dyDescent="0.3">
      <c r="A8" s="325" t="s">
        <v>4</v>
      </c>
      <c r="B8" s="326" t="s">
        <v>45</v>
      </c>
      <c r="C8" s="327" t="s">
        <v>5</v>
      </c>
      <c r="D8" s="325" t="s">
        <v>6</v>
      </c>
      <c r="E8" s="326" t="s">
        <v>46</v>
      </c>
      <c r="F8" s="328" t="s">
        <v>7</v>
      </c>
      <c r="G8" s="327" t="s">
        <v>5</v>
      </c>
      <c r="H8" s="329" t="s">
        <v>8</v>
      </c>
    </row>
    <row r="9" spans="1:8" x14ac:dyDescent="0.25">
      <c r="A9" s="330"/>
      <c r="B9" s="260"/>
      <c r="C9" s="331"/>
      <c r="D9" s="332" t="s">
        <v>97</v>
      </c>
      <c r="E9" s="332" t="s">
        <v>192</v>
      </c>
      <c r="F9" s="333">
        <v>45898</v>
      </c>
      <c r="G9" s="334">
        <v>25000</v>
      </c>
      <c r="H9" s="334">
        <v>25000</v>
      </c>
    </row>
    <row r="10" spans="1:8" ht="26.25" x14ac:dyDescent="0.25">
      <c r="A10" s="330"/>
      <c r="B10" s="330"/>
      <c r="C10" s="336"/>
      <c r="D10" s="332" t="s">
        <v>334</v>
      </c>
      <c r="E10" s="330" t="s">
        <v>333</v>
      </c>
      <c r="F10" s="330">
        <v>45973</v>
      </c>
      <c r="G10" s="337">
        <v>-4212.4399999999996</v>
      </c>
      <c r="H10" s="337">
        <v>-4212.4399999999996</v>
      </c>
    </row>
    <row r="11" spans="1:8" x14ac:dyDescent="0.25">
      <c r="A11" s="338"/>
      <c r="B11" s="335"/>
      <c r="C11" s="339"/>
      <c r="D11" s="332"/>
      <c r="E11" s="321"/>
      <c r="F11" s="330"/>
      <c r="G11" s="340"/>
      <c r="H11" s="341"/>
    </row>
    <row r="12" spans="1:8" x14ac:dyDescent="0.25">
      <c r="A12" s="338"/>
      <c r="B12" s="335"/>
      <c r="C12" s="342"/>
      <c r="D12" s="332"/>
      <c r="E12" s="321"/>
      <c r="F12" s="330"/>
      <c r="G12" s="340"/>
      <c r="H12" s="341"/>
    </row>
    <row r="13" spans="1:8" x14ac:dyDescent="0.25">
      <c r="A13" s="343"/>
      <c r="B13" s="344"/>
      <c r="C13" s="342"/>
      <c r="D13" s="332"/>
      <c r="E13" s="321"/>
      <c r="F13" s="330"/>
      <c r="G13" s="345"/>
      <c r="H13" s="341"/>
    </row>
    <row r="14" spans="1:8" x14ac:dyDescent="0.25">
      <c r="A14" s="338"/>
      <c r="B14" s="317"/>
      <c r="C14" s="342"/>
      <c r="D14" s="335"/>
      <c r="E14" s="317"/>
      <c r="F14" s="330"/>
      <c r="G14" s="340"/>
      <c r="H14" s="341"/>
    </row>
    <row r="15" spans="1:8" x14ac:dyDescent="0.25">
      <c r="A15" s="338"/>
      <c r="B15" s="317"/>
      <c r="C15" s="318"/>
      <c r="D15" s="346"/>
      <c r="E15" s="344"/>
      <c r="F15" s="347"/>
      <c r="G15" s="348"/>
      <c r="H15" s="348"/>
    </row>
    <row r="16" spans="1:8" x14ac:dyDescent="0.25">
      <c r="A16" s="338"/>
      <c r="B16" s="317"/>
      <c r="C16" s="318" t="s">
        <v>3</v>
      </c>
      <c r="D16" s="346"/>
      <c r="E16" s="317"/>
      <c r="F16" s="347"/>
      <c r="G16" s="348"/>
      <c r="H16" s="348"/>
    </row>
    <row r="17" spans="1:8" x14ac:dyDescent="0.25">
      <c r="A17" s="338"/>
      <c r="B17" s="317"/>
      <c r="C17" s="318"/>
      <c r="D17" s="346"/>
      <c r="E17" s="317"/>
      <c r="F17" s="347"/>
      <c r="G17" s="349"/>
      <c r="H17" s="318"/>
    </row>
    <row r="18" spans="1:8" x14ac:dyDescent="0.25">
      <c r="A18" s="338"/>
      <c r="B18" s="305"/>
      <c r="C18" s="318"/>
      <c r="D18" s="346"/>
      <c r="E18" s="317"/>
      <c r="F18" s="347"/>
      <c r="G18" s="348"/>
      <c r="H18" s="348"/>
    </row>
    <row r="19" spans="1:8" x14ac:dyDescent="0.25">
      <c r="A19" s="338"/>
      <c r="B19" s="317"/>
      <c r="C19" s="318"/>
      <c r="D19" s="346"/>
      <c r="E19" s="317"/>
      <c r="F19" s="347"/>
      <c r="G19" s="348"/>
      <c r="H19" s="348"/>
    </row>
    <row r="20" spans="1:8" x14ac:dyDescent="0.25">
      <c r="A20" s="338"/>
      <c r="B20" s="317"/>
      <c r="C20" s="318"/>
      <c r="D20" s="346"/>
      <c r="E20" s="317"/>
      <c r="F20" s="347"/>
      <c r="G20" s="349"/>
      <c r="H20" s="318"/>
    </row>
    <row r="21" spans="1:8" x14ac:dyDescent="0.25">
      <c r="A21" s="338"/>
      <c r="B21" s="317"/>
      <c r="C21" s="318"/>
      <c r="D21" s="346"/>
      <c r="E21" s="317"/>
      <c r="F21" s="347"/>
      <c r="G21" s="349"/>
      <c r="H21" s="318"/>
    </row>
    <row r="22" spans="1:8" x14ac:dyDescent="0.25">
      <c r="A22" s="338"/>
      <c r="B22" s="317"/>
      <c r="C22" s="318"/>
      <c r="D22" s="265"/>
      <c r="E22" s="317"/>
      <c r="F22" s="338"/>
      <c r="G22" s="348"/>
      <c r="H22" s="348"/>
    </row>
    <row r="23" spans="1:8" x14ac:dyDescent="0.25">
      <c r="A23" s="338"/>
      <c r="B23" s="317"/>
      <c r="C23" s="318"/>
      <c r="D23" s="265"/>
      <c r="E23" s="317"/>
      <c r="F23" s="338"/>
      <c r="G23" s="348"/>
      <c r="H23" s="348"/>
    </row>
    <row r="24" spans="1:8" ht="15.75" thickBot="1" x14ac:dyDescent="0.3">
      <c r="A24" s="350"/>
      <c r="B24" s="351" t="s">
        <v>9</v>
      </c>
      <c r="C24" s="352">
        <f>SUM(C9:C23)</f>
        <v>0</v>
      </c>
      <c r="D24" s="353" t="s">
        <v>10</v>
      </c>
      <c r="E24" s="354"/>
      <c r="F24" s="355"/>
      <c r="G24" s="270">
        <f>SUM(G9:G23)</f>
        <v>20787.560000000001</v>
      </c>
      <c r="H24" s="270">
        <f>SUM(H9:H22)</f>
        <v>20787.560000000001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1D8-402E-4568-82D8-E57F9CF1ABCD}">
  <sheetPr>
    <tabColor indexed="30"/>
    <pageSetUpPr fitToPage="1"/>
  </sheetPr>
  <dimension ref="A1:I24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#9490.00'!B1</f>
        <v>DOC NCF Forced Main Sewer Pipe Failure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#9490.00'!B2</f>
        <v>Project # 9490.00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#9490.00'!B3</f>
        <v>Program code 949000</v>
      </c>
      <c r="B3" s="236"/>
      <c r="C3" s="232"/>
      <c r="D3" s="238" t="str">
        <f>'RECAP #9490.00'!E3</f>
        <v>Major Program 4E01</v>
      </c>
      <c r="E3" s="232"/>
      <c r="F3" s="233"/>
      <c r="G3" s="233"/>
      <c r="H3" s="234"/>
      <c r="I3" s="234"/>
    </row>
    <row r="4" spans="1:9" ht="15.75" x14ac:dyDescent="0.25">
      <c r="A4" s="134" t="s">
        <v>13</v>
      </c>
      <c r="B4" s="155"/>
      <c r="C4" s="234"/>
      <c r="D4" s="239" t="s">
        <v>47</v>
      </c>
      <c r="E4" s="240"/>
      <c r="F4" s="233"/>
      <c r="G4" s="233"/>
      <c r="H4" s="234"/>
      <c r="I4" s="234"/>
    </row>
    <row r="5" spans="1:9" ht="15.75" x14ac:dyDescent="0.25">
      <c r="A5" s="241" t="s">
        <v>66</v>
      </c>
      <c r="B5" s="234"/>
      <c r="C5" s="242"/>
      <c r="D5" s="162"/>
      <c r="E5" s="168"/>
      <c r="F5" s="243"/>
      <c r="G5" s="233"/>
      <c r="H5" s="234"/>
      <c r="I5" s="234"/>
    </row>
    <row r="6" spans="1:9" ht="15.75" x14ac:dyDescent="0.25">
      <c r="A6" s="244" t="str">
        <f>'RECAP #9490.00'!B6</f>
        <v>Project Manager - Brad T.</v>
      </c>
      <c r="B6" s="155"/>
      <c r="C6" s="245"/>
      <c r="D6" s="356" t="s">
        <v>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x14ac:dyDescent="0.25">
      <c r="A9" s="357"/>
      <c r="B9" s="252"/>
      <c r="C9" s="267"/>
      <c r="D9" s="255"/>
      <c r="E9" s="255">
        <f>D9</f>
        <v>0</v>
      </c>
      <c r="F9" s="256"/>
      <c r="G9" s="256"/>
      <c r="H9" s="256">
        <f>E9</f>
        <v>0</v>
      </c>
      <c r="I9" s="168"/>
    </row>
    <row r="10" spans="1:9" x14ac:dyDescent="0.25">
      <c r="A10" s="357"/>
      <c r="B10" s="343"/>
      <c r="C10" s="267"/>
      <c r="D10" s="255"/>
      <c r="E10" s="255">
        <f t="shared" ref="E10:E21" si="0">E9+D10</f>
        <v>0</v>
      </c>
      <c r="F10" s="261"/>
      <c r="G10" s="256">
        <f t="shared" ref="G10:G21" si="1">G9+F10</f>
        <v>0</v>
      </c>
      <c r="H10" s="256">
        <f t="shared" ref="H10:H21" si="2">H9-F10+D10</f>
        <v>0</v>
      </c>
      <c r="I10" s="168"/>
    </row>
    <row r="11" spans="1:9" x14ac:dyDescent="0.25">
      <c r="A11" s="357"/>
      <c r="B11" s="252"/>
      <c r="C11" s="267"/>
      <c r="D11" s="255"/>
      <c r="E11" s="255">
        <f t="shared" si="0"/>
        <v>0</v>
      </c>
      <c r="F11" s="261"/>
      <c r="G11" s="256">
        <f t="shared" si="1"/>
        <v>0</v>
      </c>
      <c r="H11" s="256">
        <f t="shared" si="2"/>
        <v>0</v>
      </c>
      <c r="I11" s="168"/>
    </row>
    <row r="12" spans="1:9" x14ac:dyDescent="0.25">
      <c r="A12" s="357"/>
      <c r="B12" s="252"/>
      <c r="C12" s="267"/>
      <c r="D12" s="255"/>
      <c r="E12" s="255">
        <f t="shared" si="0"/>
        <v>0</v>
      </c>
      <c r="F12" s="261"/>
      <c r="G12" s="256">
        <f t="shared" si="1"/>
        <v>0</v>
      </c>
      <c r="H12" s="256">
        <f t="shared" si="2"/>
        <v>0</v>
      </c>
      <c r="I12" s="168"/>
    </row>
    <row r="13" spans="1:9" x14ac:dyDescent="0.25">
      <c r="A13" s="357"/>
      <c r="B13" s="252"/>
      <c r="C13" s="267"/>
      <c r="D13" s="255"/>
      <c r="E13" s="255">
        <f t="shared" si="0"/>
        <v>0</v>
      </c>
      <c r="F13" s="261"/>
      <c r="G13" s="256">
        <f t="shared" si="1"/>
        <v>0</v>
      </c>
      <c r="H13" s="256">
        <f t="shared" si="2"/>
        <v>0</v>
      </c>
      <c r="I13" s="168"/>
    </row>
    <row r="14" spans="1:9" x14ac:dyDescent="0.25">
      <c r="A14" s="357"/>
      <c r="B14" s="252"/>
      <c r="C14" s="267"/>
      <c r="D14" s="255"/>
      <c r="E14" s="255">
        <f t="shared" si="0"/>
        <v>0</v>
      </c>
      <c r="F14" s="256"/>
      <c r="G14" s="256">
        <f t="shared" si="1"/>
        <v>0</v>
      </c>
      <c r="H14" s="256">
        <f t="shared" si="2"/>
        <v>0</v>
      </c>
      <c r="I14" s="168"/>
    </row>
    <row r="15" spans="1:9" x14ac:dyDescent="0.25">
      <c r="A15" s="357"/>
      <c r="B15" s="252"/>
      <c r="C15" s="267"/>
      <c r="D15" s="255"/>
      <c r="E15" s="255">
        <f t="shared" si="0"/>
        <v>0</v>
      </c>
      <c r="F15" s="261"/>
      <c r="G15" s="256">
        <f t="shared" si="1"/>
        <v>0</v>
      </c>
      <c r="H15" s="256">
        <f t="shared" si="2"/>
        <v>0</v>
      </c>
      <c r="I15" s="168"/>
    </row>
    <row r="16" spans="1:9" x14ac:dyDescent="0.25">
      <c r="A16" s="357"/>
      <c r="B16" s="252"/>
      <c r="C16" s="267"/>
      <c r="D16" s="255"/>
      <c r="E16" s="255">
        <f t="shared" si="0"/>
        <v>0</v>
      </c>
      <c r="F16" s="261"/>
      <c r="G16" s="256">
        <f t="shared" si="1"/>
        <v>0</v>
      </c>
      <c r="H16" s="256">
        <f t="shared" si="2"/>
        <v>0</v>
      </c>
      <c r="I16" s="168"/>
    </row>
    <row r="17" spans="1:9" x14ac:dyDescent="0.25">
      <c r="A17" s="357"/>
      <c r="B17" s="252"/>
      <c r="C17" s="267"/>
      <c r="D17" s="255"/>
      <c r="E17" s="255">
        <f t="shared" si="0"/>
        <v>0</v>
      </c>
      <c r="F17" s="261"/>
      <c r="G17" s="256">
        <f t="shared" si="1"/>
        <v>0</v>
      </c>
      <c r="H17" s="256">
        <f t="shared" si="2"/>
        <v>0</v>
      </c>
      <c r="I17" s="168"/>
    </row>
    <row r="18" spans="1:9" x14ac:dyDescent="0.25">
      <c r="A18" s="357"/>
      <c r="B18" s="252"/>
      <c r="C18" s="267"/>
      <c r="D18" s="255"/>
      <c r="E18" s="255">
        <f t="shared" si="0"/>
        <v>0</v>
      </c>
      <c r="F18" s="261"/>
      <c r="G18" s="256">
        <f t="shared" si="1"/>
        <v>0</v>
      </c>
      <c r="H18" s="256">
        <f t="shared" si="2"/>
        <v>0</v>
      </c>
      <c r="I18" s="168"/>
    </row>
    <row r="19" spans="1:9" x14ac:dyDescent="0.25">
      <c r="A19" s="357"/>
      <c r="B19" s="252"/>
      <c r="C19" s="267"/>
      <c r="D19" s="255"/>
      <c r="E19" s="255">
        <f t="shared" si="0"/>
        <v>0</v>
      </c>
      <c r="F19" s="256"/>
      <c r="G19" s="256">
        <f t="shared" si="1"/>
        <v>0</v>
      </c>
      <c r="H19" s="256">
        <f t="shared" si="2"/>
        <v>0</v>
      </c>
      <c r="I19" s="168"/>
    </row>
    <row r="20" spans="1:9" x14ac:dyDescent="0.25">
      <c r="A20" s="357"/>
      <c r="B20" s="252"/>
      <c r="C20" s="267"/>
      <c r="D20" s="255"/>
      <c r="E20" s="255">
        <f t="shared" si="0"/>
        <v>0</v>
      </c>
      <c r="F20" s="256"/>
      <c r="G20" s="256">
        <f t="shared" si="1"/>
        <v>0</v>
      </c>
      <c r="H20" s="256">
        <f t="shared" si="2"/>
        <v>0</v>
      </c>
      <c r="I20" s="168"/>
    </row>
    <row r="21" spans="1:9" x14ac:dyDescent="0.25">
      <c r="A21" s="357"/>
      <c r="B21" s="252"/>
      <c r="C21" s="277"/>
      <c r="D21" s="255"/>
      <c r="E21" s="255">
        <f t="shared" si="0"/>
        <v>0</v>
      </c>
      <c r="F21" s="256"/>
      <c r="G21" s="256">
        <f t="shared" si="1"/>
        <v>0</v>
      </c>
      <c r="H21" s="256">
        <f t="shared" si="2"/>
        <v>0</v>
      </c>
      <c r="I21" s="168"/>
    </row>
    <row r="22" spans="1:9" x14ac:dyDescent="0.25">
      <c r="A22" s="357"/>
      <c r="B22" s="267"/>
      <c r="C22" s="227"/>
      <c r="D22" s="256"/>
      <c r="E22" s="256"/>
      <c r="F22" s="256"/>
      <c r="G22" s="256"/>
      <c r="H22" s="256"/>
      <c r="I22" s="168"/>
    </row>
    <row r="23" spans="1:9" ht="15.75" thickBot="1" x14ac:dyDescent="0.3">
      <c r="A23" s="357"/>
      <c r="B23" s="268"/>
      <c r="C23" s="269" t="s">
        <v>54</v>
      </c>
      <c r="D23" s="270">
        <f>SUM(D9:D22)</f>
        <v>0</v>
      </c>
      <c r="E23" s="270"/>
      <c r="F23" s="270">
        <f>SUM(F9:F22)</f>
        <v>0</v>
      </c>
      <c r="G23" s="270"/>
      <c r="H23" s="270">
        <f>D23-F23</f>
        <v>0</v>
      </c>
      <c r="I23" s="168"/>
    </row>
    <row r="24" spans="1:9" ht="15" customHeight="1" thickTop="1" x14ac:dyDescent="0.25"/>
  </sheetData>
  <conditionalFormatting sqref="I9:I23">
    <cfRule type="cellIs" dxfId="6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D8B-B3D1-4428-9995-9FCAC2470C59}">
  <sheetPr>
    <tabColor rgb="FF0070C0"/>
    <pageSetUpPr fitToPage="1"/>
  </sheetPr>
  <dimension ref="A1:J24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28515625" customWidth="1"/>
    <col min="5" max="5" width="14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134" t="str">
        <f>'RECAP #9490.00'!B1</f>
        <v>DOC NCF Forced Main Sewer Pipe Failure (29C20)</v>
      </c>
      <c r="B1" s="134"/>
      <c r="C1" s="134"/>
      <c r="D1" s="232"/>
      <c r="E1" s="232"/>
      <c r="F1" s="232"/>
      <c r="G1" s="233"/>
      <c r="H1" s="233"/>
      <c r="I1" s="234"/>
      <c r="J1" s="234"/>
    </row>
    <row r="2" spans="1:10" ht="15.75" x14ac:dyDescent="0.25">
      <c r="A2" s="235" t="str">
        <f>'RECAP #9490.00'!B2</f>
        <v>Project # 9490.00</v>
      </c>
      <c r="B2" s="236"/>
      <c r="C2" s="236"/>
      <c r="D2" s="232"/>
      <c r="E2" s="232"/>
      <c r="F2" s="232"/>
      <c r="G2" s="233"/>
      <c r="H2" s="233"/>
      <c r="I2" s="234"/>
      <c r="J2" s="234"/>
    </row>
    <row r="3" spans="1:10" ht="15.75" x14ac:dyDescent="0.25">
      <c r="A3" s="237" t="str">
        <f>'RECAP #9490.00'!B3</f>
        <v>Program code 949000</v>
      </c>
      <c r="B3" s="236"/>
      <c r="C3" s="236"/>
      <c r="D3" s="232"/>
      <c r="E3" s="238" t="str">
        <f>'RECAP #9490.00'!E3</f>
        <v>Major Program 4E01</v>
      </c>
      <c r="F3" s="232"/>
      <c r="G3" s="233"/>
      <c r="H3" s="233"/>
      <c r="I3" s="234"/>
      <c r="J3" s="234"/>
    </row>
    <row r="4" spans="1:10" ht="15.75" x14ac:dyDescent="0.25">
      <c r="A4" s="134" t="s">
        <v>41</v>
      </c>
      <c r="B4" s="155"/>
      <c r="C4" s="155"/>
      <c r="D4" s="234"/>
      <c r="E4" s="239" t="s">
        <v>55</v>
      </c>
      <c r="F4" s="240"/>
      <c r="G4" s="233"/>
      <c r="H4" s="233"/>
      <c r="I4" s="234"/>
      <c r="J4" s="234"/>
    </row>
    <row r="5" spans="1:10" ht="15.75" x14ac:dyDescent="0.25">
      <c r="A5" s="241" t="s">
        <v>66</v>
      </c>
      <c r="B5" s="234"/>
      <c r="C5" s="234"/>
      <c r="D5" s="242"/>
      <c r="E5" s="162"/>
      <c r="F5" s="168"/>
      <c r="G5" s="243"/>
      <c r="H5" s="233"/>
      <c r="I5" s="234"/>
      <c r="J5" s="234"/>
    </row>
    <row r="6" spans="1:10" ht="15.75" x14ac:dyDescent="0.25">
      <c r="A6" s="244" t="str">
        <f>'RECAP #9490.00'!B6</f>
        <v>Project Manager - Brad T.</v>
      </c>
      <c r="B6" s="155"/>
      <c r="C6" s="155"/>
      <c r="D6" s="245"/>
      <c r="E6" s="162" t="s">
        <v>143</v>
      </c>
      <c r="F6" s="168"/>
      <c r="G6" s="169"/>
      <c r="H6" s="233"/>
      <c r="I6" s="234"/>
      <c r="J6" s="234"/>
    </row>
    <row r="7" spans="1:10" ht="15.75" x14ac:dyDescent="0.25">
      <c r="A7" s="234"/>
      <c r="B7" s="246"/>
      <c r="C7" s="246"/>
      <c r="D7" s="246"/>
      <c r="E7" s="169" t="s">
        <v>3</v>
      </c>
      <c r="F7" s="171"/>
      <c r="G7" s="172"/>
      <c r="H7" s="233"/>
      <c r="I7" s="234"/>
      <c r="J7" s="234" t="s">
        <v>3</v>
      </c>
    </row>
    <row r="8" spans="1:10" ht="32.25" thickBot="1" x14ac:dyDescent="0.3">
      <c r="A8" s="247" t="s">
        <v>49</v>
      </c>
      <c r="B8" s="248" t="s">
        <v>4</v>
      </c>
      <c r="C8" s="249" t="s">
        <v>56</v>
      </c>
      <c r="D8" s="250" t="s">
        <v>57</v>
      </c>
      <c r="E8" s="231" t="s">
        <v>50</v>
      </c>
      <c r="F8" s="231" t="s">
        <v>51</v>
      </c>
      <c r="G8" s="231" t="s">
        <v>52</v>
      </c>
      <c r="H8" s="231" t="s">
        <v>53</v>
      </c>
      <c r="I8" s="231" t="s">
        <v>12</v>
      </c>
      <c r="J8" s="234" t="s">
        <v>3</v>
      </c>
    </row>
    <row r="9" spans="1:10" x14ac:dyDescent="0.25">
      <c r="A9" s="251"/>
      <c r="B9" s="252"/>
      <c r="C9" s="252"/>
      <c r="D9" s="253" t="s">
        <v>96</v>
      </c>
      <c r="E9" s="254">
        <f>3000-872.44</f>
        <v>2127.56</v>
      </c>
      <c r="F9" s="255">
        <f>E9</f>
        <v>2127.56</v>
      </c>
      <c r="G9" s="256"/>
      <c r="H9" s="256"/>
      <c r="I9" s="256">
        <f>F9</f>
        <v>2127.56</v>
      </c>
      <c r="J9" s="168"/>
    </row>
    <row r="10" spans="1:10" x14ac:dyDescent="0.25">
      <c r="A10" s="257" t="s">
        <v>217</v>
      </c>
      <c r="B10" s="258">
        <v>45908</v>
      </c>
      <c r="C10" s="259">
        <v>2507</v>
      </c>
      <c r="D10" s="260" t="s">
        <v>220</v>
      </c>
      <c r="E10" s="255"/>
      <c r="F10" s="255">
        <f t="shared" ref="F10:F21" si="0">E10</f>
        <v>0</v>
      </c>
      <c r="G10" s="261">
        <v>94.58</v>
      </c>
      <c r="H10" s="256">
        <f t="shared" ref="H10:H21" si="1">H9+G10</f>
        <v>94.58</v>
      </c>
      <c r="I10" s="256">
        <f>I9-G10+E10</f>
        <v>2032.98</v>
      </c>
      <c r="J10" s="168"/>
    </row>
    <row r="11" spans="1:10" x14ac:dyDescent="0.25">
      <c r="A11" s="257" t="s">
        <v>217</v>
      </c>
      <c r="B11" s="258">
        <v>45908</v>
      </c>
      <c r="C11" s="259">
        <v>9500</v>
      </c>
      <c r="D11" s="262" t="s">
        <v>221</v>
      </c>
      <c r="E11" s="255"/>
      <c r="F11" s="255">
        <f t="shared" si="0"/>
        <v>0</v>
      </c>
      <c r="G11" s="261">
        <v>732.6</v>
      </c>
      <c r="H11" s="256">
        <f t="shared" si="1"/>
        <v>827.18000000000006</v>
      </c>
      <c r="I11" s="256">
        <f t="shared" ref="I11:I21" si="2">I10-G11+E11</f>
        <v>1300.3800000000001</v>
      </c>
      <c r="J11" s="168"/>
    </row>
    <row r="12" spans="1:10" x14ac:dyDescent="0.25">
      <c r="A12" s="263" t="s">
        <v>277</v>
      </c>
      <c r="B12" s="252">
        <v>45937</v>
      </c>
      <c r="C12" s="264" t="s">
        <v>278</v>
      </c>
      <c r="D12" s="260" t="s">
        <v>279</v>
      </c>
      <c r="E12" s="255"/>
      <c r="F12" s="255">
        <f t="shared" si="0"/>
        <v>0</v>
      </c>
      <c r="G12" s="261">
        <v>127.29</v>
      </c>
      <c r="H12" s="256">
        <f t="shared" si="1"/>
        <v>954.47</v>
      </c>
      <c r="I12" s="256">
        <f t="shared" si="2"/>
        <v>1173.0900000000001</v>
      </c>
      <c r="J12" s="168"/>
    </row>
    <row r="13" spans="1:10" x14ac:dyDescent="0.25">
      <c r="A13" s="263" t="s">
        <v>277</v>
      </c>
      <c r="B13" s="252">
        <v>45937</v>
      </c>
      <c r="C13" s="265">
        <v>9500</v>
      </c>
      <c r="D13" s="260" t="s">
        <v>280</v>
      </c>
      <c r="E13" s="255"/>
      <c r="F13" s="255">
        <f t="shared" si="0"/>
        <v>0</v>
      </c>
      <c r="G13" s="261">
        <v>666.1</v>
      </c>
      <c r="H13" s="256">
        <f t="shared" si="1"/>
        <v>1620.5700000000002</v>
      </c>
      <c r="I13" s="256">
        <f t="shared" si="2"/>
        <v>506.99000000000012</v>
      </c>
      <c r="J13" s="168"/>
    </row>
    <row r="14" spans="1:10" x14ac:dyDescent="0.25">
      <c r="A14" s="263" t="s">
        <v>326</v>
      </c>
      <c r="B14" s="252">
        <v>45968</v>
      </c>
      <c r="C14" s="264" t="s">
        <v>278</v>
      </c>
      <c r="D14" s="260" t="s">
        <v>329</v>
      </c>
      <c r="E14" s="255"/>
      <c r="F14" s="255">
        <f t="shared" si="0"/>
        <v>0</v>
      </c>
      <c r="G14" s="261">
        <v>46.49</v>
      </c>
      <c r="H14" s="256">
        <f t="shared" si="1"/>
        <v>1667.0600000000002</v>
      </c>
      <c r="I14" s="256">
        <f t="shared" si="2"/>
        <v>460.50000000000011</v>
      </c>
      <c r="J14" s="168"/>
    </row>
    <row r="15" spans="1:10" x14ac:dyDescent="0.25">
      <c r="A15" s="263" t="s">
        <v>326</v>
      </c>
      <c r="B15" s="252">
        <v>45968</v>
      </c>
      <c r="C15" s="265">
        <v>9500</v>
      </c>
      <c r="D15" s="260" t="s">
        <v>330</v>
      </c>
      <c r="E15" s="255"/>
      <c r="F15" s="255">
        <f t="shared" si="0"/>
        <v>0</v>
      </c>
      <c r="G15" s="261">
        <v>460.5</v>
      </c>
      <c r="H15" s="256">
        <f t="shared" si="1"/>
        <v>2127.5600000000004</v>
      </c>
      <c r="I15" s="256">
        <f t="shared" si="2"/>
        <v>1.1368683772161603E-13</v>
      </c>
      <c r="J15" s="168"/>
    </row>
    <row r="16" spans="1:10" x14ac:dyDescent="0.25">
      <c r="A16" s="260"/>
      <c r="B16" s="252"/>
      <c r="C16" s="252"/>
      <c r="D16" s="253"/>
      <c r="E16" s="255"/>
      <c r="F16" s="255">
        <f t="shared" si="0"/>
        <v>0</v>
      </c>
      <c r="G16" s="261"/>
      <c r="H16" s="256">
        <f t="shared" si="1"/>
        <v>2127.5600000000004</v>
      </c>
      <c r="I16" s="256">
        <f t="shared" si="2"/>
        <v>1.1368683772161603E-13</v>
      </c>
      <c r="J16" s="168"/>
    </row>
    <row r="17" spans="1:10" x14ac:dyDescent="0.25">
      <c r="A17" s="260"/>
      <c r="B17" s="252"/>
      <c r="C17" s="252"/>
      <c r="D17" s="253"/>
      <c r="E17" s="255"/>
      <c r="F17" s="255">
        <f t="shared" si="0"/>
        <v>0</v>
      </c>
      <c r="G17" s="261"/>
      <c r="H17" s="256">
        <f t="shared" si="1"/>
        <v>2127.5600000000004</v>
      </c>
      <c r="I17" s="256">
        <f t="shared" si="2"/>
        <v>1.1368683772161603E-13</v>
      </c>
      <c r="J17" s="168"/>
    </row>
    <row r="18" spans="1:10" x14ac:dyDescent="0.25">
      <c r="A18" s="260"/>
      <c r="B18" s="252"/>
      <c r="C18" s="252"/>
      <c r="D18" s="253"/>
      <c r="E18" s="255"/>
      <c r="F18" s="255">
        <f t="shared" si="0"/>
        <v>0</v>
      </c>
      <c r="G18" s="261"/>
      <c r="H18" s="256">
        <f t="shared" si="1"/>
        <v>2127.5600000000004</v>
      </c>
      <c r="I18" s="256">
        <f t="shared" si="2"/>
        <v>1.1368683772161603E-13</v>
      </c>
      <c r="J18" s="168"/>
    </row>
    <row r="19" spans="1:10" x14ac:dyDescent="0.25">
      <c r="A19" s="260"/>
      <c r="B19" s="252"/>
      <c r="C19" s="252"/>
      <c r="D19" s="253"/>
      <c r="E19" s="255"/>
      <c r="F19" s="255">
        <f t="shared" si="0"/>
        <v>0</v>
      </c>
      <c r="G19" s="256"/>
      <c r="H19" s="256">
        <f t="shared" si="1"/>
        <v>2127.5600000000004</v>
      </c>
      <c r="I19" s="256">
        <f t="shared" si="2"/>
        <v>1.1368683772161603E-13</v>
      </c>
      <c r="J19" s="168"/>
    </row>
    <row r="20" spans="1:10" x14ac:dyDescent="0.25">
      <c r="A20" s="260"/>
      <c r="B20" s="252"/>
      <c r="C20" s="252"/>
      <c r="D20" s="253"/>
      <c r="E20" s="255"/>
      <c r="F20" s="255">
        <f t="shared" si="0"/>
        <v>0</v>
      </c>
      <c r="G20" s="256"/>
      <c r="H20" s="256">
        <f t="shared" si="1"/>
        <v>2127.5600000000004</v>
      </c>
      <c r="I20" s="256">
        <f t="shared" si="2"/>
        <v>1.1368683772161603E-13</v>
      </c>
      <c r="J20" s="168"/>
    </row>
    <row r="21" spans="1:10" x14ac:dyDescent="0.25">
      <c r="A21" s="260"/>
      <c r="B21" s="252"/>
      <c r="C21" s="252"/>
      <c r="D21" s="266"/>
      <c r="E21" s="255"/>
      <c r="F21" s="255">
        <f t="shared" si="0"/>
        <v>0</v>
      </c>
      <c r="G21" s="256"/>
      <c r="H21" s="256">
        <f t="shared" si="1"/>
        <v>2127.5600000000004</v>
      </c>
      <c r="I21" s="256">
        <f t="shared" si="2"/>
        <v>1.1368683772161603E-13</v>
      </c>
      <c r="J21" s="168"/>
    </row>
    <row r="22" spans="1:10" x14ac:dyDescent="0.25">
      <c r="A22" s="260"/>
      <c r="B22" s="267"/>
      <c r="C22" s="267"/>
      <c r="D22" s="227"/>
      <c r="E22" s="256"/>
      <c r="F22" s="256"/>
      <c r="G22" s="256"/>
      <c r="H22" s="256"/>
      <c r="I22" s="256"/>
      <c r="J22" s="168"/>
    </row>
    <row r="23" spans="1:10" ht="15.75" thickBot="1" x14ac:dyDescent="0.3">
      <c r="A23" s="260"/>
      <c r="B23" s="268"/>
      <c r="C23" s="268"/>
      <c r="D23" s="269" t="s">
        <v>54</v>
      </c>
      <c r="E23" s="270">
        <f>SUM(E9:E22)</f>
        <v>2127.56</v>
      </c>
      <c r="F23" s="270"/>
      <c r="G23" s="270">
        <f>SUM(G9:G22)</f>
        <v>2127.5600000000004</v>
      </c>
      <c r="H23" s="270"/>
      <c r="I23" s="271">
        <f>SUM(E23-G23)</f>
        <v>-4.5474735088646412E-13</v>
      </c>
      <c r="J23" s="168"/>
    </row>
    <row r="24" spans="1:10" ht="15" customHeight="1" thickTop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BD89-541B-42CD-81EF-7FC787B7247E}">
  <sheetPr>
    <tabColor rgb="FF0070C0"/>
    <pageSetUpPr fitToPage="1"/>
  </sheetPr>
  <dimension ref="A1:H23"/>
  <sheetViews>
    <sheetView zoomScaleNormal="100" workbookViewId="0">
      <selection activeCell="L26" sqref="L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28" customWidth="1"/>
    <col min="6" max="6" width="16.71093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134" t="str">
        <f>'#9490.00 PM TIME'!A1</f>
        <v>DOC NCF Forced Main Sewer Pipe Failure (29C20)</v>
      </c>
      <c r="B1" s="134"/>
      <c r="C1" s="134"/>
      <c r="D1" s="134"/>
      <c r="E1" s="232"/>
      <c r="F1" s="232"/>
      <c r="G1" s="232"/>
      <c r="H1" s="233"/>
    </row>
    <row r="2" spans="1:8" ht="15.75" x14ac:dyDescent="0.25">
      <c r="A2" s="235" t="str">
        <f>'RECAP #9490.00'!B2</f>
        <v>Project # 9490.00</v>
      </c>
      <c r="B2" s="236"/>
      <c r="C2" s="236"/>
      <c r="D2" s="236"/>
      <c r="E2" s="232"/>
      <c r="F2" s="232"/>
      <c r="G2" s="232"/>
      <c r="H2" s="233"/>
    </row>
    <row r="3" spans="1:8" ht="15.75" x14ac:dyDescent="0.25">
      <c r="A3" s="237" t="str">
        <f>'RECAP #9490.00'!B3</f>
        <v>Program code 949000</v>
      </c>
      <c r="B3" s="236"/>
      <c r="C3" s="236"/>
      <c r="D3" s="236"/>
      <c r="E3" s="238" t="str">
        <f>'RECAP #9490.00'!E3</f>
        <v>Major Program 4E01</v>
      </c>
      <c r="F3" s="236"/>
      <c r="G3" s="232"/>
      <c r="H3" s="233"/>
    </row>
    <row r="4" spans="1:8" ht="15.75" x14ac:dyDescent="0.25">
      <c r="A4" s="274" t="s">
        <v>14</v>
      </c>
      <c r="B4" s="155"/>
      <c r="C4" s="155"/>
      <c r="D4" s="155"/>
      <c r="E4" s="239"/>
      <c r="F4" s="236"/>
      <c r="G4" s="240"/>
      <c r="H4" s="233"/>
    </row>
    <row r="5" spans="1:8" ht="15.75" x14ac:dyDescent="0.25">
      <c r="A5" s="241" t="s">
        <v>66</v>
      </c>
      <c r="B5" s="234"/>
      <c r="C5" s="234"/>
      <c r="D5" s="234"/>
      <c r="E5" s="199" t="s">
        <v>58</v>
      </c>
      <c r="F5" s="236"/>
      <c r="G5" s="168"/>
      <c r="H5" s="243"/>
    </row>
    <row r="6" spans="1:8" ht="15.75" x14ac:dyDescent="0.25">
      <c r="A6" s="244" t="str">
        <f>'RECAP #9490.00'!B6</f>
        <v>Project Manager - Brad T.</v>
      </c>
      <c r="B6" s="155"/>
      <c r="C6" s="155"/>
      <c r="D6" s="155"/>
      <c r="E6" s="245"/>
      <c r="F6" s="234"/>
      <c r="G6" s="168"/>
      <c r="H6" s="243"/>
    </row>
    <row r="7" spans="1:8" ht="15.75" x14ac:dyDescent="0.25">
      <c r="A7" s="275"/>
      <c r="B7" s="246"/>
      <c r="C7" s="246"/>
      <c r="D7" s="246"/>
      <c r="E7" s="246"/>
      <c r="F7" s="275"/>
      <c r="G7" s="240"/>
      <c r="H7" s="233"/>
    </row>
    <row r="8" spans="1:8" ht="32.25" thickBot="1" x14ac:dyDescent="0.3">
      <c r="A8" s="247" t="s">
        <v>59</v>
      </c>
      <c r="B8" s="248" t="s">
        <v>4</v>
      </c>
      <c r="C8" s="249" t="s">
        <v>56</v>
      </c>
      <c r="D8" s="249" t="s">
        <v>57</v>
      </c>
      <c r="E8" s="276" t="s">
        <v>11</v>
      </c>
      <c r="F8" s="231" t="s">
        <v>60</v>
      </c>
      <c r="G8" s="231" t="s">
        <v>52</v>
      </c>
      <c r="H8" s="231" t="s">
        <v>53</v>
      </c>
    </row>
    <row r="9" spans="1:8" x14ac:dyDescent="0.25">
      <c r="A9" s="277" t="s">
        <v>214</v>
      </c>
      <c r="B9" s="252">
        <v>45916</v>
      </c>
      <c r="C9" s="272" t="s">
        <v>213</v>
      </c>
      <c r="D9" s="272" t="s">
        <v>212</v>
      </c>
      <c r="E9" s="263" t="s">
        <v>215</v>
      </c>
      <c r="F9" s="278" t="s">
        <v>211</v>
      </c>
      <c r="G9" s="261">
        <v>14700</v>
      </c>
      <c r="H9" s="273">
        <f>G9</f>
        <v>14700</v>
      </c>
    </row>
    <row r="10" spans="1:8" x14ac:dyDescent="0.25">
      <c r="A10" s="263" t="s">
        <v>289</v>
      </c>
      <c r="B10" s="252">
        <v>45951</v>
      </c>
      <c r="C10" s="272" t="s">
        <v>213</v>
      </c>
      <c r="D10" s="272" t="s">
        <v>212</v>
      </c>
      <c r="E10" s="263" t="s">
        <v>215</v>
      </c>
      <c r="F10" s="278" t="s">
        <v>288</v>
      </c>
      <c r="G10" s="261">
        <v>3960</v>
      </c>
      <c r="H10" s="273">
        <f>H9+G10</f>
        <v>18660</v>
      </c>
    </row>
    <row r="11" spans="1:8" x14ac:dyDescent="0.25">
      <c r="A11" s="264"/>
      <c r="B11" s="252"/>
      <c r="C11" s="252"/>
      <c r="D11" s="252"/>
      <c r="E11" s="168"/>
      <c r="F11" s="279"/>
      <c r="G11" s="273"/>
      <c r="H11" s="273">
        <f t="shared" ref="H11:H20" si="0">H10+G11</f>
        <v>18660</v>
      </c>
    </row>
    <row r="12" spans="1:8" x14ac:dyDescent="0.25">
      <c r="A12" s="264" t="s">
        <v>3</v>
      </c>
      <c r="B12" s="252" t="s">
        <v>3</v>
      </c>
      <c r="C12" s="252"/>
      <c r="D12" s="252"/>
      <c r="E12" s="168" t="s">
        <v>3</v>
      </c>
      <c r="F12" s="279"/>
      <c r="G12" s="273"/>
      <c r="H12" s="273">
        <f t="shared" si="0"/>
        <v>18660</v>
      </c>
    </row>
    <row r="13" spans="1:8" x14ac:dyDescent="0.25">
      <c r="A13" s="264" t="s">
        <v>3</v>
      </c>
      <c r="B13" s="252" t="s">
        <v>3</v>
      </c>
      <c r="C13" s="252"/>
      <c r="D13" s="252"/>
      <c r="E13" s="168" t="s">
        <v>3</v>
      </c>
      <c r="F13" s="279"/>
      <c r="G13" s="273"/>
      <c r="H13" s="273">
        <f t="shared" si="0"/>
        <v>18660</v>
      </c>
    </row>
    <row r="14" spans="1:8" x14ac:dyDescent="0.25">
      <c r="A14" s="264"/>
      <c r="B14" s="252"/>
      <c r="C14" s="252"/>
      <c r="D14" s="252"/>
      <c r="E14" s="168"/>
      <c r="F14" s="279"/>
      <c r="G14" s="273"/>
      <c r="H14" s="273">
        <f t="shared" si="0"/>
        <v>18660</v>
      </c>
    </row>
    <row r="15" spans="1:8" x14ac:dyDescent="0.25">
      <c r="A15" s="264"/>
      <c r="B15" s="252"/>
      <c r="C15" s="252"/>
      <c r="D15" s="252"/>
      <c r="E15" s="162"/>
      <c r="F15" s="279"/>
      <c r="G15" s="273"/>
      <c r="H15" s="273">
        <f t="shared" si="0"/>
        <v>18660</v>
      </c>
    </row>
    <row r="16" spans="1:8" x14ac:dyDescent="0.25">
      <c r="A16" s="264"/>
      <c r="B16" s="252"/>
      <c r="C16" s="252"/>
      <c r="D16" s="252"/>
      <c r="E16" s="168"/>
      <c r="F16" s="279"/>
      <c r="G16" s="273"/>
      <c r="H16" s="273">
        <f t="shared" si="0"/>
        <v>18660</v>
      </c>
    </row>
    <row r="17" spans="1:8" x14ac:dyDescent="0.25">
      <c r="A17" s="272"/>
      <c r="B17" s="252"/>
      <c r="C17" s="252"/>
      <c r="D17" s="252"/>
      <c r="E17" s="168"/>
      <c r="F17" s="279"/>
      <c r="G17" s="273"/>
      <c r="H17" s="273">
        <f t="shared" si="0"/>
        <v>18660</v>
      </c>
    </row>
    <row r="18" spans="1:8" x14ac:dyDescent="0.25">
      <c r="A18" s="272"/>
      <c r="B18" s="252"/>
      <c r="C18" s="252"/>
      <c r="D18" s="252"/>
      <c r="E18" s="168"/>
      <c r="F18" s="279"/>
      <c r="G18" s="273"/>
      <c r="H18" s="273">
        <f t="shared" si="0"/>
        <v>18660</v>
      </c>
    </row>
    <row r="19" spans="1:8" x14ac:dyDescent="0.25">
      <c r="A19" s="272"/>
      <c r="B19" s="252"/>
      <c r="C19" s="252"/>
      <c r="D19" s="252"/>
      <c r="E19" s="168"/>
      <c r="F19" s="279"/>
      <c r="G19" s="273"/>
      <c r="H19" s="273">
        <f t="shared" si="0"/>
        <v>18660</v>
      </c>
    </row>
    <row r="20" spans="1:8" x14ac:dyDescent="0.25">
      <c r="A20" s="272"/>
      <c r="B20" s="252"/>
      <c r="C20" s="252"/>
      <c r="D20" s="252"/>
      <c r="E20" s="168"/>
      <c r="F20" s="279"/>
      <c r="G20" s="273"/>
      <c r="H20" s="273">
        <f t="shared" si="0"/>
        <v>18660</v>
      </c>
    </row>
    <row r="21" spans="1:8" x14ac:dyDescent="0.25">
      <c r="A21" s="272"/>
      <c r="B21" s="227"/>
      <c r="C21" s="227"/>
      <c r="D21" s="227"/>
      <c r="E21" s="168"/>
      <c r="F21" s="273"/>
      <c r="G21" s="168"/>
      <c r="H21" s="273"/>
    </row>
    <row r="22" spans="1:8" ht="15.75" thickBot="1" x14ac:dyDescent="0.3">
      <c r="A22" s="280"/>
      <c r="B22" s="281"/>
      <c r="C22" s="281"/>
      <c r="D22" s="281"/>
      <c r="E22" s="282" t="s">
        <v>54</v>
      </c>
      <c r="F22" s="283"/>
      <c r="G22" s="270">
        <f>SUM(G9:G21)</f>
        <v>18660</v>
      </c>
      <c r="H22" s="283"/>
    </row>
    <row r="23" spans="1:8" ht="15" customHeight="1" thickTop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B11E-CDDC-4713-A44C-392F4C83D2E0}">
  <sheetPr>
    <pageSetUpPr fitToPage="1"/>
  </sheetPr>
  <dimension ref="A1:I59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466</v>
      </c>
      <c r="B4" s="155"/>
      <c r="C4" s="156"/>
      <c r="D4" s="157" t="s">
        <v>467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468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469</v>
      </c>
      <c r="B9" s="381">
        <v>46052</v>
      </c>
      <c r="C9" s="388" t="s">
        <v>150</v>
      </c>
      <c r="D9" s="220">
        <v>25212.59</v>
      </c>
      <c r="E9" s="384">
        <f>D9</f>
        <v>25212.59</v>
      </c>
      <c r="F9" s="385"/>
      <c r="G9" s="385"/>
      <c r="H9" s="385">
        <f>E9</f>
        <v>25212.59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25212.59</v>
      </c>
      <c r="F10" s="390"/>
      <c r="G10" s="385">
        <f t="shared" ref="G10:G21" si="1">G9+F10</f>
        <v>0</v>
      </c>
      <c r="H10" s="385">
        <f t="shared" ref="H10:H21" si="2">H9-F10+D10</f>
        <v>25212.59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25212.59</v>
      </c>
      <c r="F11" s="390"/>
      <c r="G11" s="385">
        <f t="shared" si="1"/>
        <v>0</v>
      </c>
      <c r="H11" s="385">
        <f t="shared" si="2"/>
        <v>25212.59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25212.59</v>
      </c>
      <c r="F12" s="390"/>
      <c r="G12" s="385">
        <f t="shared" si="1"/>
        <v>0</v>
      </c>
      <c r="H12" s="385">
        <f t="shared" si="2"/>
        <v>25212.59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25212.59</v>
      </c>
      <c r="F13" s="390"/>
      <c r="G13" s="385">
        <f t="shared" si="1"/>
        <v>0</v>
      </c>
      <c r="H13" s="385">
        <f t="shared" si="2"/>
        <v>25212.59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25212.59</v>
      </c>
      <c r="F14" s="385"/>
      <c r="G14" s="385">
        <f t="shared" si="1"/>
        <v>0</v>
      </c>
      <c r="H14" s="385">
        <f t="shared" si="2"/>
        <v>25212.59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25212.59</v>
      </c>
      <c r="F15" s="390"/>
      <c r="G15" s="385">
        <f t="shared" si="1"/>
        <v>0</v>
      </c>
      <c r="H15" s="385">
        <f t="shared" si="2"/>
        <v>25212.59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25212.59</v>
      </c>
      <c r="F16" s="390"/>
      <c r="G16" s="385">
        <f t="shared" si="1"/>
        <v>0</v>
      </c>
      <c r="H16" s="385">
        <f t="shared" si="2"/>
        <v>25212.59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25212.59</v>
      </c>
      <c r="F17" s="390"/>
      <c r="G17" s="385">
        <f t="shared" si="1"/>
        <v>0</v>
      </c>
      <c r="H17" s="385">
        <f t="shared" si="2"/>
        <v>25212.59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25212.59</v>
      </c>
      <c r="F18" s="390"/>
      <c r="G18" s="385">
        <f t="shared" si="1"/>
        <v>0</v>
      </c>
      <c r="H18" s="385">
        <f t="shared" si="2"/>
        <v>25212.59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25212.59</v>
      </c>
      <c r="F19" s="385"/>
      <c r="G19" s="385">
        <f t="shared" si="1"/>
        <v>0</v>
      </c>
      <c r="H19" s="385">
        <f t="shared" si="2"/>
        <v>25212.59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25212.59</v>
      </c>
      <c r="F20" s="385"/>
      <c r="G20" s="385">
        <f t="shared" si="1"/>
        <v>0</v>
      </c>
      <c r="H20" s="385">
        <f t="shared" si="2"/>
        <v>25212.59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25212.59</v>
      </c>
      <c r="F21" s="385"/>
      <c r="G21" s="385">
        <f t="shared" si="1"/>
        <v>0</v>
      </c>
      <c r="H21" s="385">
        <f t="shared" si="2"/>
        <v>25212.59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25212.59</v>
      </c>
      <c r="E23" s="218"/>
      <c r="F23" s="218">
        <f>SUM(F9:F22)</f>
        <v>0</v>
      </c>
      <c r="G23" s="218"/>
      <c r="H23" s="218">
        <f>D23-F23</f>
        <v>25212.59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470</v>
      </c>
      <c r="D26" s="385">
        <v>25124.09</v>
      </c>
      <c r="E26" s="385"/>
      <c r="F26" s="385"/>
      <c r="G26" s="385"/>
      <c r="H26" s="385">
        <f>D26-F26</f>
        <v>25124.09</v>
      </c>
      <c r="I26" s="386"/>
    </row>
    <row r="27" spans="1:9" s="365" customFormat="1" ht="12.75" customHeight="1" x14ac:dyDescent="0.25">
      <c r="A27" s="380"/>
      <c r="B27" s="388"/>
      <c r="C27" s="392" t="s">
        <v>257</v>
      </c>
      <c r="D27" s="385">
        <v>88.5</v>
      </c>
      <c r="E27" s="385"/>
      <c r="F27" s="385"/>
      <c r="G27" s="385"/>
      <c r="H27" s="385">
        <f t="shared" ref="H27" si="3">D27-F27</f>
        <v>88.5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25212.59</v>
      </c>
      <c r="E28" s="390"/>
      <c r="F28" s="429">
        <f>SUM(F25:F27)</f>
        <v>0</v>
      </c>
      <c r="G28" s="390"/>
      <c r="H28" s="429">
        <f>SUM(H25:H27)</f>
        <v>25212.59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</sheetData>
  <conditionalFormatting sqref="I9:I27">
    <cfRule type="cellIs" dxfId="2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5729-BCE2-4B29-AAF6-CB9DB4C8D6BB}">
  <sheetPr>
    <pageSetUpPr fitToPage="1"/>
  </sheetPr>
  <dimension ref="A1:G16"/>
  <sheetViews>
    <sheetView zoomScaleNormal="100" workbookViewId="0">
      <selection activeCell="F21" sqref="F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171</v>
      </c>
      <c r="C1" s="99"/>
      <c r="D1" s="9"/>
      <c r="E1" s="9"/>
      <c r="F1" s="9"/>
      <c r="G1" s="9"/>
    </row>
    <row r="2" spans="1:7" ht="15.75" x14ac:dyDescent="0.25">
      <c r="A2" s="97"/>
      <c r="B2" s="101" t="s">
        <v>173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174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'#9492.00 Funds Rec''d'!H24</f>
        <v>86150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'#9492.00 Samuels Group'!D23</f>
        <v>14675.17</v>
      </c>
      <c r="E10" s="450">
        <f>'#9492.00 Samuels Group'!F23</f>
        <v>10047.18</v>
      </c>
      <c r="F10" s="450">
        <f>'#9492.00 Samuels Group'!H23</f>
        <v>4627.99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'#9492.00 PM TIME'!E26</f>
        <v>8000</v>
      </c>
      <c r="E11" s="450">
        <f>'#9492.00 PM TIME'!G26</f>
        <v>5093.3899999999994</v>
      </c>
      <c r="F11" s="450">
        <f>'#9492.00 PM TIME'!I26</f>
        <v>2906.6100000000006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'#9492.00 Misc'!G22</f>
        <v>0</v>
      </c>
      <c r="E12" s="438">
        <f>'#9492.00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302</v>
      </c>
      <c r="C13" s="448"/>
      <c r="D13" s="438">
        <f>'#9492.00 Quick Enterprise LLC'!D23</f>
        <v>57500</v>
      </c>
      <c r="E13" s="438">
        <f>'#9492.00 Quick Enterprise LLC'!F23</f>
        <v>0</v>
      </c>
      <c r="F13" s="450">
        <f>'#9492.00 Quick Enterprise LLC'!H23</f>
        <v>57500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86150</v>
      </c>
      <c r="D15" s="127">
        <f>SUM(D8:D14)</f>
        <v>80175.17</v>
      </c>
      <c r="E15" s="127">
        <f>SUM(E8:E14)</f>
        <v>15140.57</v>
      </c>
      <c r="F15" s="127">
        <f>SUM(D15-E15)</f>
        <v>65034.6</v>
      </c>
      <c r="G15" s="127">
        <f>C8-D15</f>
        <v>5974.8300000000017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B9CB-251C-4EFB-B595-996274017BA4}">
  <sheetPr>
    <pageSetUpPr fitToPage="1"/>
  </sheetPr>
  <dimension ref="A1:H28"/>
  <sheetViews>
    <sheetView topLeftCell="A2" zoomScaleNormal="100" workbookViewId="0">
      <selection activeCell="G9" sqref="G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#9492.00'!B1</f>
        <v>ATOD Racking Modification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#9492.00'!B2</f>
        <v>Project # 9492.00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#9492.00'!B3</f>
        <v>Program code 949200</v>
      </c>
      <c r="B3" s="10"/>
      <c r="C3" s="131" t="s">
        <v>3</v>
      </c>
      <c r="D3" s="133" t="str">
        <f>'RECAP #9492.00'!E3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#9492.00'!B6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222</v>
      </c>
      <c r="F9" s="399">
        <v>45918</v>
      </c>
      <c r="G9" s="493">
        <v>86150</v>
      </c>
      <c r="H9" s="493">
        <v>86150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86150</v>
      </c>
      <c r="H24" s="218">
        <f>SUM(H9:H22)</f>
        <v>86150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BDD2-9A12-4E74-98F9-450ABA6C2C69}">
  <sheetPr>
    <pageSetUpPr fitToPage="1"/>
  </sheetPr>
  <dimension ref="A1:I24"/>
  <sheetViews>
    <sheetView zoomScaleNormal="100" workbookViewId="0">
      <selection activeCell="K31" sqref="K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244</v>
      </c>
      <c r="B9" s="381">
        <v>45926</v>
      </c>
      <c r="C9" s="388" t="s">
        <v>150</v>
      </c>
      <c r="D9" s="220">
        <v>14675.17</v>
      </c>
      <c r="E9" s="384">
        <f>D9</f>
        <v>14675.17</v>
      </c>
      <c r="F9" s="385"/>
      <c r="G9" s="385"/>
      <c r="H9" s="385">
        <f>E9</f>
        <v>14675.17</v>
      </c>
      <c r="I9" s="386"/>
    </row>
    <row r="10" spans="1:9" s="365" customFormat="1" ht="12.75" customHeight="1" x14ac:dyDescent="0.25">
      <c r="A10" s="380" t="s">
        <v>360</v>
      </c>
      <c r="B10" s="387">
        <v>46002</v>
      </c>
      <c r="C10" s="388" t="s">
        <v>361</v>
      </c>
      <c r="D10" s="384"/>
      <c r="E10" s="384">
        <f t="shared" ref="E10:E21" si="0">E9+D10</f>
        <v>14675.17</v>
      </c>
      <c r="F10" s="389">
        <v>8361.58</v>
      </c>
      <c r="G10" s="385">
        <f t="shared" ref="G10:G21" si="1">G9+F10</f>
        <v>8361.58</v>
      </c>
      <c r="H10" s="385">
        <f t="shared" ref="H10:H21" si="2">H9-F10+D10</f>
        <v>6313.59</v>
      </c>
      <c r="I10" s="386"/>
    </row>
    <row r="11" spans="1:9" s="365" customFormat="1" ht="12.75" customHeight="1" x14ac:dyDescent="0.25">
      <c r="A11" s="380" t="s">
        <v>428</v>
      </c>
      <c r="B11" s="381">
        <v>46036</v>
      </c>
      <c r="C11" s="388" t="s">
        <v>429</v>
      </c>
      <c r="D11" s="384"/>
      <c r="E11" s="384">
        <f t="shared" si="0"/>
        <v>14675.17</v>
      </c>
      <c r="F11" s="389">
        <v>1685.6</v>
      </c>
      <c r="G11" s="385">
        <f t="shared" si="1"/>
        <v>10047.18</v>
      </c>
      <c r="H11" s="385">
        <f t="shared" si="2"/>
        <v>4627.99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14675.17</v>
      </c>
      <c r="F12" s="390"/>
      <c r="G12" s="385">
        <f t="shared" si="1"/>
        <v>10047.18</v>
      </c>
      <c r="H12" s="385">
        <f t="shared" si="2"/>
        <v>4627.99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14675.17</v>
      </c>
      <c r="F13" s="390"/>
      <c r="G13" s="385">
        <f t="shared" si="1"/>
        <v>10047.18</v>
      </c>
      <c r="H13" s="385">
        <f t="shared" si="2"/>
        <v>4627.99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14675.17</v>
      </c>
      <c r="F14" s="385"/>
      <c r="G14" s="385">
        <f t="shared" si="1"/>
        <v>10047.18</v>
      </c>
      <c r="H14" s="385">
        <f t="shared" si="2"/>
        <v>4627.99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14675.17</v>
      </c>
      <c r="F15" s="390"/>
      <c r="G15" s="385">
        <f t="shared" si="1"/>
        <v>10047.18</v>
      </c>
      <c r="H15" s="385">
        <f t="shared" si="2"/>
        <v>4627.99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14675.17</v>
      </c>
      <c r="F16" s="390"/>
      <c r="G16" s="385">
        <f t="shared" si="1"/>
        <v>10047.18</v>
      </c>
      <c r="H16" s="385">
        <f t="shared" si="2"/>
        <v>4627.99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14675.17</v>
      </c>
      <c r="F17" s="390"/>
      <c r="G17" s="385">
        <f t="shared" si="1"/>
        <v>10047.18</v>
      </c>
      <c r="H17" s="385">
        <f t="shared" si="2"/>
        <v>4627.99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14675.17</v>
      </c>
      <c r="F18" s="390"/>
      <c r="G18" s="385">
        <f t="shared" si="1"/>
        <v>10047.18</v>
      </c>
      <c r="H18" s="385">
        <f t="shared" si="2"/>
        <v>4627.99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14675.17</v>
      </c>
      <c r="F19" s="385"/>
      <c r="G19" s="385">
        <f t="shared" si="1"/>
        <v>10047.18</v>
      </c>
      <c r="H19" s="385">
        <f t="shared" si="2"/>
        <v>4627.99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14675.17</v>
      </c>
      <c r="F20" s="385"/>
      <c r="G20" s="385">
        <f t="shared" si="1"/>
        <v>10047.18</v>
      </c>
      <c r="H20" s="385">
        <f t="shared" si="2"/>
        <v>4627.99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14675.17</v>
      </c>
      <c r="F21" s="385"/>
      <c r="G21" s="385">
        <f t="shared" si="1"/>
        <v>10047.18</v>
      </c>
      <c r="H21" s="385">
        <f t="shared" si="2"/>
        <v>4627.99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ht="15.75" thickBot="1" x14ac:dyDescent="0.3">
      <c r="A23" s="177"/>
      <c r="B23" s="186"/>
      <c r="C23" s="187" t="s">
        <v>54</v>
      </c>
      <c r="D23" s="152">
        <f>SUM(D9:D22)</f>
        <v>14675.17</v>
      </c>
      <c r="E23" s="152"/>
      <c r="F23" s="152">
        <f>SUM(F9:F22)</f>
        <v>10047.18</v>
      </c>
      <c r="G23" s="152"/>
      <c r="H23" s="152">
        <f>D23-F23</f>
        <v>4627.99</v>
      </c>
      <c r="I23" s="182"/>
    </row>
    <row r="24" spans="1:9" ht="15" customHeight="1" thickTop="1" x14ac:dyDescent="0.25"/>
  </sheetData>
  <conditionalFormatting sqref="I9:I23">
    <cfRule type="cellIs" dxfId="5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B508-C890-46DC-8184-5CF83A71FFB8}">
  <sheetPr>
    <pageSetUpPr fitToPage="1"/>
  </sheetPr>
  <dimension ref="A1:J33"/>
  <sheetViews>
    <sheetView zoomScaleNormal="100" workbookViewId="0">
      <selection activeCell="G17" sqref="G1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85546875" customWidth="1"/>
    <col min="5" max="5" width="14.5703125" customWidth="1"/>
    <col min="6" max="6" width="13.5703125" customWidth="1"/>
    <col min="7" max="7" width="12.42578125" customWidth="1"/>
    <col min="8" max="8" width="10.5703125" customWidth="1"/>
    <col min="9" max="9" width="1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#9492.00'!B1</f>
        <v>ATOD Racking Modification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#9492.00'!B2</f>
        <v>Project # 9492.00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#9492.00'!B3</f>
        <v>Program code 949200</v>
      </c>
      <c r="B3" s="100"/>
      <c r="C3" s="100"/>
      <c r="D3" s="9"/>
      <c r="E3" s="103" t="str">
        <f>'RECAP #9492.00'!E3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#9492.00'!B6</f>
        <v>Project Manager - Oliver S.</v>
      </c>
      <c r="B6" s="106"/>
      <c r="C6" s="106"/>
      <c r="D6" s="166"/>
      <c r="E6" s="162" t="s">
        <v>182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</f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4" si="0">E10</f>
        <v>0</v>
      </c>
      <c r="G10" s="389">
        <v>36.119999999999997</v>
      </c>
      <c r="H10" s="385">
        <f t="shared" ref="H10:H24" si="1">H9+G10</f>
        <v>36.119999999999997</v>
      </c>
      <c r="I10" s="385">
        <f>I9-G10+E10</f>
        <v>7963.88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276.60000000000002</v>
      </c>
      <c r="H11" s="385">
        <f t="shared" si="1"/>
        <v>312.72000000000003</v>
      </c>
      <c r="I11" s="385">
        <f t="shared" ref="I11:I24" si="2">I10-G11+E11</f>
        <v>7687.28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 t="s">
        <v>278</v>
      </c>
      <c r="D12" s="486" t="s">
        <v>279</v>
      </c>
      <c r="E12" s="384"/>
      <c r="F12" s="384">
        <f t="shared" si="0"/>
        <v>0</v>
      </c>
      <c r="G12" s="389">
        <v>117.29</v>
      </c>
      <c r="H12" s="385">
        <f t="shared" si="1"/>
        <v>430.01000000000005</v>
      </c>
      <c r="I12" s="385">
        <f t="shared" si="2"/>
        <v>7569.99</v>
      </c>
      <c r="J12" s="386"/>
    </row>
    <row r="13" spans="1:10" s="365" customFormat="1" ht="12.75" customHeight="1" x14ac:dyDescent="0.25">
      <c r="A13" s="483" t="s">
        <v>277</v>
      </c>
      <c r="B13" s="484">
        <v>45937</v>
      </c>
      <c r="C13" s="488">
        <v>9500</v>
      </c>
      <c r="D13" s="396" t="s">
        <v>280</v>
      </c>
      <c r="E13" s="384"/>
      <c r="F13" s="384">
        <f t="shared" si="0"/>
        <v>0</v>
      </c>
      <c r="G13" s="389">
        <v>604.5</v>
      </c>
      <c r="H13" s="385">
        <f t="shared" si="1"/>
        <v>1034.51</v>
      </c>
      <c r="I13" s="385">
        <f t="shared" si="2"/>
        <v>6965.49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 t="s">
        <v>278</v>
      </c>
      <c r="D14" s="486" t="s">
        <v>329</v>
      </c>
      <c r="E14" s="384"/>
      <c r="F14" s="384">
        <f t="shared" si="0"/>
        <v>0</v>
      </c>
      <c r="G14" s="389">
        <v>115.91</v>
      </c>
      <c r="H14" s="385">
        <f t="shared" si="1"/>
        <v>1150.42</v>
      </c>
      <c r="I14" s="385">
        <f t="shared" si="2"/>
        <v>6849.58</v>
      </c>
      <c r="J14" s="386"/>
    </row>
    <row r="15" spans="1:10" s="365" customFormat="1" ht="12.75" customHeight="1" x14ac:dyDescent="0.25">
      <c r="A15" s="483" t="s">
        <v>326</v>
      </c>
      <c r="B15" s="484">
        <v>45968</v>
      </c>
      <c r="C15" s="488">
        <v>9500</v>
      </c>
      <c r="D15" s="396" t="s">
        <v>330</v>
      </c>
      <c r="E15" s="384"/>
      <c r="F15" s="384">
        <f t="shared" si="0"/>
        <v>0</v>
      </c>
      <c r="G15" s="389">
        <v>1149.0999999999999</v>
      </c>
      <c r="H15" s="385">
        <f t="shared" si="1"/>
        <v>2299.52</v>
      </c>
      <c r="I15" s="385">
        <f t="shared" si="2"/>
        <v>5700.48</v>
      </c>
      <c r="J15" s="386"/>
    </row>
    <row r="16" spans="1:10" s="365" customFormat="1" ht="12.75" customHeight="1" x14ac:dyDescent="0.25">
      <c r="A16" s="483" t="s">
        <v>390</v>
      </c>
      <c r="B16" s="484">
        <v>45996</v>
      </c>
      <c r="C16" s="485" t="s">
        <v>278</v>
      </c>
      <c r="D16" s="486" t="s">
        <v>391</v>
      </c>
      <c r="E16" s="384"/>
      <c r="F16" s="384">
        <f t="shared" si="0"/>
        <v>0</v>
      </c>
      <c r="G16" s="389">
        <v>199.27</v>
      </c>
      <c r="H16" s="385">
        <f t="shared" si="1"/>
        <v>2498.79</v>
      </c>
      <c r="I16" s="385">
        <f t="shared" si="2"/>
        <v>5501.2099999999991</v>
      </c>
      <c r="J16" s="386"/>
    </row>
    <row r="17" spans="1:10" s="365" customFormat="1" ht="12.75" customHeight="1" x14ac:dyDescent="0.25">
      <c r="A17" s="483" t="s">
        <v>390</v>
      </c>
      <c r="B17" s="484">
        <v>45996</v>
      </c>
      <c r="C17" s="487">
        <v>9500</v>
      </c>
      <c r="D17" s="396" t="s">
        <v>392</v>
      </c>
      <c r="E17" s="384"/>
      <c r="F17" s="384">
        <f t="shared" si="0"/>
        <v>0</v>
      </c>
      <c r="G17" s="389">
        <v>1269.7</v>
      </c>
      <c r="H17" s="385">
        <f t="shared" si="1"/>
        <v>3768.49</v>
      </c>
      <c r="I17" s="385">
        <f t="shared" si="2"/>
        <v>4231.5099999999993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1" t="s">
        <v>278</v>
      </c>
      <c r="D18" s="214" t="s">
        <v>426</v>
      </c>
      <c r="E18" s="384"/>
      <c r="F18" s="384">
        <f t="shared" si="0"/>
        <v>0</v>
      </c>
      <c r="G18" s="389">
        <v>107.3</v>
      </c>
      <c r="H18" s="385">
        <f t="shared" si="1"/>
        <v>3875.79</v>
      </c>
      <c r="I18" s="385">
        <f t="shared" si="2"/>
        <v>4124.2099999999991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82">
        <v>9500</v>
      </c>
      <c r="D19" s="145" t="s">
        <v>427</v>
      </c>
      <c r="E19" s="384"/>
      <c r="F19" s="384">
        <f t="shared" si="0"/>
        <v>0</v>
      </c>
      <c r="G19" s="389">
        <v>1217.5999999999999</v>
      </c>
      <c r="H19" s="385">
        <f t="shared" si="1"/>
        <v>5093.3899999999994</v>
      </c>
      <c r="I19" s="385">
        <f t="shared" si="2"/>
        <v>2906.6099999999992</v>
      </c>
      <c r="J19" s="386"/>
    </row>
    <row r="20" spans="1:10" s="365" customFormat="1" ht="12.75" customHeight="1" x14ac:dyDescent="0.2">
      <c r="A20" s="229"/>
      <c r="B20" s="230"/>
      <c r="C20" s="482"/>
      <c r="D20" s="145"/>
      <c r="E20" s="384"/>
      <c r="F20" s="384">
        <f t="shared" si="0"/>
        <v>0</v>
      </c>
      <c r="G20" s="390"/>
      <c r="H20" s="385">
        <f t="shared" si="1"/>
        <v>5093.3899999999994</v>
      </c>
      <c r="I20" s="385">
        <f t="shared" si="2"/>
        <v>2906.6099999999992</v>
      </c>
      <c r="J20" s="386"/>
    </row>
    <row r="21" spans="1:10" s="365" customFormat="1" ht="12.75" customHeight="1" x14ac:dyDescent="0.2">
      <c r="A21" s="229"/>
      <c r="B21" s="230"/>
      <c r="C21" s="482"/>
      <c r="D21" s="145"/>
      <c r="E21" s="384"/>
      <c r="F21" s="384">
        <f t="shared" si="0"/>
        <v>0</v>
      </c>
      <c r="G21" s="390"/>
      <c r="H21" s="385">
        <f t="shared" si="1"/>
        <v>5093.3899999999994</v>
      </c>
      <c r="I21" s="385">
        <f t="shared" si="2"/>
        <v>2906.6099999999992</v>
      </c>
      <c r="J21" s="386"/>
    </row>
    <row r="22" spans="1:10" s="365" customFormat="1" ht="12.75" customHeight="1" x14ac:dyDescent="0.2">
      <c r="A22" s="229"/>
      <c r="B22" s="230"/>
      <c r="C22" s="482"/>
      <c r="D22" s="145"/>
      <c r="E22" s="384"/>
      <c r="F22" s="384">
        <f t="shared" si="0"/>
        <v>0</v>
      </c>
      <c r="G22" s="390"/>
      <c r="H22" s="385">
        <f t="shared" si="1"/>
        <v>5093.3899999999994</v>
      </c>
      <c r="I22" s="385">
        <f t="shared" si="2"/>
        <v>2906.6099999999992</v>
      </c>
      <c r="J22" s="386"/>
    </row>
    <row r="23" spans="1:10" s="365" customFormat="1" ht="12.75" customHeight="1" x14ac:dyDescent="0.25">
      <c r="A23" s="396"/>
      <c r="B23" s="381"/>
      <c r="C23" s="488"/>
      <c r="D23" s="392"/>
      <c r="E23" s="384"/>
      <c r="F23" s="384">
        <f t="shared" si="0"/>
        <v>0</v>
      </c>
      <c r="G23" s="385"/>
      <c r="H23" s="385">
        <f t="shared" si="1"/>
        <v>5093.3899999999994</v>
      </c>
      <c r="I23" s="385">
        <f t="shared" si="2"/>
        <v>2906.6099999999992</v>
      </c>
      <c r="J23" s="386"/>
    </row>
    <row r="24" spans="1:10" s="365" customFormat="1" ht="12.75" customHeight="1" x14ac:dyDescent="0.25">
      <c r="A24" s="396"/>
      <c r="B24" s="381"/>
      <c r="C24" s="488"/>
      <c r="D24" s="432"/>
      <c r="E24" s="384"/>
      <c r="F24" s="384">
        <f t="shared" si="0"/>
        <v>0</v>
      </c>
      <c r="G24" s="385"/>
      <c r="H24" s="385">
        <f t="shared" si="1"/>
        <v>5093.3899999999994</v>
      </c>
      <c r="I24" s="385">
        <f t="shared" si="2"/>
        <v>2906.6099999999992</v>
      </c>
      <c r="J24" s="386"/>
    </row>
    <row r="25" spans="1:10" s="365" customFormat="1" ht="12.75" customHeight="1" x14ac:dyDescent="0.25">
      <c r="A25" s="396"/>
      <c r="B25" s="388"/>
      <c r="C25" s="488"/>
      <c r="D25" s="392"/>
      <c r="E25" s="385"/>
      <c r="F25" s="385"/>
      <c r="G25" s="385"/>
      <c r="H25" s="385"/>
      <c r="I25" s="385"/>
      <c r="J25" s="386"/>
    </row>
    <row r="26" spans="1:10" s="365" customFormat="1" ht="12.75" customHeight="1" thickBot="1" x14ac:dyDescent="0.3">
      <c r="A26" s="396"/>
      <c r="B26" s="393"/>
      <c r="C26" s="488"/>
      <c r="D26" s="394" t="s">
        <v>54</v>
      </c>
      <c r="E26" s="218">
        <f>SUM(E9:E25)</f>
        <v>8000</v>
      </c>
      <c r="F26" s="218"/>
      <c r="G26" s="218">
        <f>SUM(G9:G25)</f>
        <v>5093.3899999999994</v>
      </c>
      <c r="H26" s="218"/>
      <c r="I26" s="218">
        <f>SUM(E26-G26)</f>
        <v>2906.6100000000006</v>
      </c>
      <c r="J26" s="386"/>
    </row>
    <row r="27" spans="1:10" s="365" customFormat="1" ht="12.75" customHeight="1" thickTop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B982-1B0C-4417-BAB1-1157F15C86D3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'#9492.00 PM TIME'!A1</f>
        <v>ATOD Racking Modification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#9492.00'!B2</f>
        <v>Project # 9492.00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#9492.00'!B3</f>
        <v>Program code 949200</v>
      </c>
      <c r="B3" s="100"/>
      <c r="C3" s="100"/>
      <c r="D3" s="100"/>
      <c r="E3" s="103" t="str">
        <f>'RECAP #9492.00'!E3</f>
        <v>Major Program 4H06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#9492.00'!B6</f>
        <v>Project Manager - Oliver S.</v>
      </c>
      <c r="B6" s="106"/>
      <c r="C6" s="106"/>
      <c r="D6" s="106"/>
      <c r="E6" s="103" t="s">
        <v>245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A3C9-062E-437D-9C1D-113EAD14E4CC}">
  <sheetPr>
    <pageSetUpPr fitToPage="1"/>
  </sheetPr>
  <dimension ref="A1:I24"/>
  <sheetViews>
    <sheetView zoomScaleNormal="100" workbookViewId="0">
      <selection activeCell="D9" sqref="D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302</v>
      </c>
      <c r="B4" s="155"/>
      <c r="C4" s="156"/>
      <c r="D4" s="157" t="s">
        <v>303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304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305</v>
      </c>
      <c r="B9" s="381">
        <v>45966</v>
      </c>
      <c r="C9" s="388" t="s">
        <v>150</v>
      </c>
      <c r="D9" s="220">
        <v>27500</v>
      </c>
      <c r="E9" s="384">
        <f>D9</f>
        <v>27500</v>
      </c>
      <c r="F9" s="385"/>
      <c r="G9" s="385"/>
      <c r="H9" s="385">
        <f>E9</f>
        <v>27500</v>
      </c>
      <c r="I9" s="386"/>
    </row>
    <row r="10" spans="1:9" s="365" customFormat="1" ht="12.75" customHeight="1" x14ac:dyDescent="0.25">
      <c r="A10" s="380" t="s">
        <v>305</v>
      </c>
      <c r="B10" s="387">
        <v>46001</v>
      </c>
      <c r="C10" s="388" t="s">
        <v>216</v>
      </c>
      <c r="D10" s="220">
        <v>30000</v>
      </c>
      <c r="E10" s="384">
        <f t="shared" ref="E10:E21" si="0">E9+D10</f>
        <v>57500</v>
      </c>
      <c r="F10" s="390"/>
      <c r="G10" s="385">
        <f t="shared" ref="G10:G21" si="1">G9+F10</f>
        <v>0</v>
      </c>
      <c r="H10" s="385">
        <f t="shared" ref="H10:H21" si="2">H9-F10+D10</f>
        <v>57500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57500</v>
      </c>
      <c r="F11" s="390"/>
      <c r="G11" s="385">
        <f t="shared" si="1"/>
        <v>0</v>
      </c>
      <c r="H11" s="385">
        <f t="shared" si="2"/>
        <v>57500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57500</v>
      </c>
      <c r="F12" s="390"/>
      <c r="G12" s="385">
        <f t="shared" si="1"/>
        <v>0</v>
      </c>
      <c r="H12" s="385">
        <f t="shared" si="2"/>
        <v>57500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57500</v>
      </c>
      <c r="F13" s="390"/>
      <c r="G13" s="385">
        <f t="shared" si="1"/>
        <v>0</v>
      </c>
      <c r="H13" s="385">
        <f t="shared" si="2"/>
        <v>57500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57500</v>
      </c>
      <c r="F14" s="385"/>
      <c r="G14" s="385">
        <f t="shared" si="1"/>
        <v>0</v>
      </c>
      <c r="H14" s="385">
        <f t="shared" si="2"/>
        <v>57500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57500</v>
      </c>
      <c r="F15" s="390"/>
      <c r="G15" s="385">
        <f t="shared" si="1"/>
        <v>0</v>
      </c>
      <c r="H15" s="385">
        <f t="shared" si="2"/>
        <v>57500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57500</v>
      </c>
      <c r="F16" s="390"/>
      <c r="G16" s="385">
        <f t="shared" si="1"/>
        <v>0</v>
      </c>
      <c r="H16" s="385">
        <f t="shared" si="2"/>
        <v>57500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57500</v>
      </c>
      <c r="F17" s="390"/>
      <c r="G17" s="385">
        <f t="shared" si="1"/>
        <v>0</v>
      </c>
      <c r="H17" s="385">
        <f t="shared" si="2"/>
        <v>57500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57500</v>
      </c>
      <c r="F18" s="390"/>
      <c r="G18" s="385">
        <f t="shared" si="1"/>
        <v>0</v>
      </c>
      <c r="H18" s="385">
        <f t="shared" si="2"/>
        <v>57500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57500</v>
      </c>
      <c r="F19" s="385"/>
      <c r="G19" s="385">
        <f t="shared" si="1"/>
        <v>0</v>
      </c>
      <c r="H19" s="385">
        <f t="shared" si="2"/>
        <v>57500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57500</v>
      </c>
      <c r="F20" s="385"/>
      <c r="G20" s="385">
        <f t="shared" si="1"/>
        <v>0</v>
      </c>
      <c r="H20" s="385">
        <f t="shared" si="2"/>
        <v>57500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57500</v>
      </c>
      <c r="F21" s="385"/>
      <c r="G21" s="385">
        <f t="shared" si="1"/>
        <v>0</v>
      </c>
      <c r="H21" s="385">
        <f t="shared" si="2"/>
        <v>57500</v>
      </c>
      <c r="I21" s="386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57500</v>
      </c>
      <c r="E23" s="152"/>
      <c r="F23" s="152">
        <f>SUM(F9:F22)</f>
        <v>0</v>
      </c>
      <c r="G23" s="152"/>
      <c r="H23" s="152">
        <f>D23-F23</f>
        <v>57500</v>
      </c>
      <c r="I23" s="182"/>
    </row>
    <row r="24" spans="1:9" ht="15" customHeight="1" thickTop="1" x14ac:dyDescent="0.25"/>
  </sheetData>
  <conditionalFormatting sqref="I9:I23">
    <cfRule type="cellIs" dxfId="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C3F1-B33E-4718-9180-81D0DE59BA64}">
  <sheetPr>
    <pageSetUpPr fitToPage="1"/>
  </sheetPr>
  <dimension ref="A1:G15"/>
  <sheetViews>
    <sheetView zoomScaleNormal="100" workbookViewId="0">
      <selection activeCell="C9" sqref="C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365</v>
      </c>
      <c r="C1" s="99"/>
      <c r="D1" s="9"/>
      <c r="E1" s="9"/>
      <c r="F1" s="9"/>
      <c r="G1" s="9"/>
    </row>
    <row r="2" spans="1:7" ht="15.75" x14ac:dyDescent="0.25">
      <c r="A2" s="97"/>
      <c r="B2" s="101" t="s">
        <v>366</v>
      </c>
      <c r="C2" s="100"/>
      <c r="D2" s="9"/>
      <c r="E2" s="9"/>
      <c r="F2" s="9"/>
      <c r="G2" s="9"/>
    </row>
    <row r="3" spans="1:7" ht="15.75" x14ac:dyDescent="0.25">
      <c r="A3" s="97"/>
      <c r="B3" s="102" t="s">
        <v>367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'#9515.00 Funds Rec''d'!H24</f>
        <v>25000</v>
      </c>
      <c r="D8" s="119"/>
      <c r="E8" s="119"/>
      <c r="F8" s="119"/>
      <c r="G8" s="120"/>
    </row>
    <row r="9" spans="1:7" ht="12.75" customHeight="1" x14ac:dyDescent="0.25">
      <c r="A9" s="97"/>
      <c r="B9" s="100"/>
      <c r="C9" s="121"/>
      <c r="D9" s="122"/>
      <c r="E9" s="122"/>
      <c r="F9" s="122"/>
      <c r="G9" s="120"/>
    </row>
    <row r="10" spans="1:7" ht="12.75" customHeight="1" x14ac:dyDescent="0.25">
      <c r="A10" s="97"/>
      <c r="B10" s="100" t="s">
        <v>40</v>
      </c>
      <c r="C10" s="121"/>
      <c r="D10" s="119">
        <f>'#9515.00 Vendor A '!D23</f>
        <v>0</v>
      </c>
      <c r="E10" s="119">
        <f>'#9515.00 Vendor A '!F23</f>
        <v>0</v>
      </c>
      <c r="F10" s="119">
        <f>'#9515.00 Vendor A '!H23</f>
        <v>0</v>
      </c>
      <c r="G10" s="120"/>
    </row>
    <row r="11" spans="1:7" ht="12.75" customHeight="1" x14ac:dyDescent="0.25">
      <c r="A11" s="97"/>
      <c r="B11" s="100" t="s">
        <v>41</v>
      </c>
      <c r="C11" s="121"/>
      <c r="D11" s="119">
        <f>'#9515.00 PM TIME '!E23</f>
        <v>2500</v>
      </c>
      <c r="E11" s="119">
        <f>'#9515.00 PM TIME '!G23</f>
        <v>762.48</v>
      </c>
      <c r="F11" s="119">
        <f>'#9515.00 PM TIME '!I23</f>
        <v>1737.52</v>
      </c>
      <c r="G11" s="120"/>
    </row>
    <row r="12" spans="1:7" ht="12.75" customHeight="1" x14ac:dyDescent="0.25">
      <c r="A12" s="97"/>
      <c r="B12" s="100" t="s">
        <v>42</v>
      </c>
      <c r="C12" s="122"/>
      <c r="D12" s="123">
        <f>'#9515.00 Misc '!G22</f>
        <v>0</v>
      </c>
      <c r="E12" s="123">
        <f>'#9515.00 Misc '!G22</f>
        <v>0</v>
      </c>
      <c r="F12" s="119">
        <f>D12-E12</f>
        <v>0</v>
      </c>
      <c r="G12" s="120"/>
    </row>
    <row r="13" spans="1:7" ht="12.7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25000</v>
      </c>
      <c r="D14" s="127">
        <f>SUM(D8:D13)</f>
        <v>2500</v>
      </c>
      <c r="E14" s="127">
        <f>SUM(E8:E13)</f>
        <v>762.48</v>
      </c>
      <c r="F14" s="127">
        <f>SUM(D14-E14)</f>
        <v>1737.52</v>
      </c>
      <c r="G14" s="127">
        <f>C8-D14</f>
        <v>22500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D6DD-59C0-47E9-9AA1-9190D55AA450}">
  <sheetPr>
    <pageSetUpPr fitToPage="1"/>
  </sheetPr>
  <dimension ref="A1:H25"/>
  <sheetViews>
    <sheetView zoomScaleNormal="100" workbookViewId="0">
      <selection activeCell="K19" sqref="K1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#9515.00'!B1</f>
        <v>DPS District 1 Intel Remodel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#9515.00'!B2</f>
        <v>Project # 9515.00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#9515.00'!B3</f>
        <v>Program code 951500</v>
      </c>
      <c r="B3" s="10"/>
      <c r="C3" s="131" t="s">
        <v>3</v>
      </c>
      <c r="D3" s="133" t="str">
        <f>'RECAP #9515.00'!E3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#9515.00'!B6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464</v>
      </c>
      <c r="E9" s="398" t="s">
        <v>465</v>
      </c>
      <c r="F9" s="399">
        <v>46050</v>
      </c>
      <c r="G9" s="493">
        <v>25000</v>
      </c>
      <c r="H9" s="493">
        <v>25000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25000</v>
      </c>
      <c r="H24" s="218">
        <f>SUM(H9:H22)</f>
        <v>25000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DC67-4A10-456E-B84D-28EE7A440D13}">
  <sheetPr>
    <tabColor indexed="30"/>
    <pageSetUpPr fitToPage="1"/>
  </sheetPr>
  <dimension ref="A1:I29"/>
  <sheetViews>
    <sheetView zoomScaleNormal="100" workbookViewId="0">
      <selection activeCell="L31" sqref="L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#9515.00'!B1</f>
        <v>DPS District 1 Intel Remodel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#9515.00'!B2</f>
        <v>Project # 9515.00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#9515.00'!B3</f>
        <v>Program code 951500</v>
      </c>
      <c r="B3" s="100"/>
      <c r="C3" s="9"/>
      <c r="D3" s="103" t="str">
        <f>'RECAP #9515.00'!E3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#9515.00'!B6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</sheetData>
  <conditionalFormatting sqref="I9:I25">
    <cfRule type="cellIs" dxfId="3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26BC-F5F6-4D96-B50C-53F574E6038C}">
  <sheetPr>
    <pageSetUpPr fitToPage="1"/>
  </sheetPr>
  <dimension ref="A1:J24"/>
  <sheetViews>
    <sheetView zoomScaleNormal="100" workbookViewId="0">
      <selection activeCell="D17" sqref="D1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71093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#9515.00'!B1</f>
        <v>DPS District 1 Intel Remodel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#9515.00'!B2</f>
        <v>Project # 9515.00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#9515.00'!B3</f>
        <v>Program code 951500</v>
      </c>
      <c r="B3" s="100"/>
      <c r="C3" s="100"/>
      <c r="D3" s="9"/>
      <c r="E3" s="103" t="str">
        <f>'RECAP #9515.00'!E3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#9515.00'!B6</f>
        <v>Project Manager - Brandon A</v>
      </c>
      <c r="B6" s="106"/>
      <c r="C6" s="106"/>
      <c r="D6" s="166"/>
      <c r="E6" s="162" t="s">
        <v>369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2500</v>
      </c>
      <c r="F9" s="384">
        <f>E9</f>
        <v>2500</v>
      </c>
      <c r="G9" s="385"/>
      <c r="H9" s="385"/>
      <c r="I9" s="385">
        <f>F9</f>
        <v>2500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81" t="s">
        <v>278</v>
      </c>
      <c r="D10" s="214" t="s">
        <v>426</v>
      </c>
      <c r="E10" s="384"/>
      <c r="F10" s="384">
        <f t="shared" ref="F10:F21" si="0">E10</f>
        <v>0</v>
      </c>
      <c r="G10" s="389">
        <v>62.08</v>
      </c>
      <c r="H10" s="385">
        <f t="shared" ref="H10:H21" si="1">H9+G10</f>
        <v>62.08</v>
      </c>
      <c r="I10" s="385">
        <f>I9-G10+E10</f>
        <v>2437.92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82">
        <v>9500</v>
      </c>
      <c r="D11" s="145" t="s">
        <v>427</v>
      </c>
      <c r="E11" s="384"/>
      <c r="F11" s="384">
        <f t="shared" si="0"/>
        <v>0</v>
      </c>
      <c r="G11" s="389">
        <v>700.4</v>
      </c>
      <c r="H11" s="385">
        <f t="shared" si="1"/>
        <v>762.48</v>
      </c>
      <c r="I11" s="385">
        <f t="shared" ref="I11:I21" si="2">I10-G11+E11</f>
        <v>1737.52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762.48</v>
      </c>
      <c r="I12" s="385">
        <f t="shared" si="2"/>
        <v>1737.52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762.48</v>
      </c>
      <c r="I13" s="385">
        <f t="shared" si="2"/>
        <v>1737.52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762.48</v>
      </c>
      <c r="I14" s="385">
        <f t="shared" si="2"/>
        <v>1737.52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762.48</v>
      </c>
      <c r="I15" s="385">
        <f t="shared" si="2"/>
        <v>1737.52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762.48</v>
      </c>
      <c r="I16" s="385">
        <f t="shared" si="2"/>
        <v>1737.52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762.48</v>
      </c>
      <c r="I17" s="385">
        <f t="shared" si="2"/>
        <v>1737.52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762.48</v>
      </c>
      <c r="I18" s="385">
        <f t="shared" si="2"/>
        <v>1737.52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762.48</v>
      </c>
      <c r="I19" s="385">
        <f t="shared" si="2"/>
        <v>1737.52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762.48</v>
      </c>
      <c r="I20" s="385">
        <f t="shared" si="2"/>
        <v>1737.52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762.48</v>
      </c>
      <c r="I21" s="385">
        <f t="shared" si="2"/>
        <v>1737.52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2500</v>
      </c>
      <c r="F23" s="218"/>
      <c r="G23" s="218">
        <f>SUM(G9:G22)</f>
        <v>762.48</v>
      </c>
      <c r="H23" s="218"/>
      <c r="I23" s="218">
        <f>SUM(E23-G23)</f>
        <v>1737.52</v>
      </c>
      <c r="J23" s="386"/>
    </row>
    <row r="24" spans="1:10" s="365" customFormat="1" ht="12.75" customHeight="1" thickTop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EFE7-417E-4B55-BB88-0C302AFC0FC8}">
  <sheetPr>
    <pageSetUpPr fitToPage="1"/>
  </sheetPr>
  <dimension ref="A1:G15"/>
  <sheetViews>
    <sheetView zoomScaleNormal="100" workbookViewId="0">
      <selection activeCell="H12" sqref="H12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177</v>
      </c>
      <c r="C1" s="99"/>
      <c r="D1" s="9"/>
      <c r="E1" s="9"/>
      <c r="F1" s="9"/>
      <c r="G1" s="9"/>
    </row>
    <row r="2" spans="1:7" ht="15.75" x14ac:dyDescent="0.25">
      <c r="A2" s="97"/>
      <c r="B2" s="101" t="s">
        <v>178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179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180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'#9438.00 Funds Rec''d'!H24</f>
        <v>15650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227</v>
      </c>
      <c r="C10" s="447"/>
      <c r="D10" s="450">
        <f>'#9438.00 Jasper Construction'!D23</f>
        <v>15316.75</v>
      </c>
      <c r="E10" s="450">
        <f>'#9438.00 Jasper Construction'!F23</f>
        <v>0</v>
      </c>
      <c r="F10" s="450">
        <f>'#9438.00 Jasper Construction'!H23</f>
        <v>15316.75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'#9438.00 PM TIME'!E23</f>
        <v>0</v>
      </c>
      <c r="E11" s="450">
        <f>'#9438.00 PM TIME'!G23</f>
        <v>0</v>
      </c>
      <c r="F11" s="450">
        <f>'#9438.00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'#9438.00 Misc'!G22</f>
        <v>182.45</v>
      </c>
      <c r="E12" s="438">
        <f>'#9438.00 Misc'!G22</f>
        <v>182.45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15650</v>
      </c>
      <c r="D14" s="127">
        <f>SUM(D8:D13)</f>
        <v>15499.2</v>
      </c>
      <c r="E14" s="127">
        <f>SUM(E8:E13)</f>
        <v>182.45</v>
      </c>
      <c r="F14" s="127">
        <f>SUM(D14-E14)</f>
        <v>15316.75</v>
      </c>
      <c r="G14" s="127">
        <f>C8-D14</f>
        <v>150.79999999999927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D883-D30E-4CC9-BCA2-2A84D5E0368C}">
  <sheetPr>
    <tabColor indexed="30"/>
    <pageSetUpPr fitToPage="1"/>
  </sheetPr>
  <dimension ref="A1:H23"/>
  <sheetViews>
    <sheetView zoomScaleNormal="100" workbookViewId="0">
      <selection activeCell="L28" sqref="L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'#9515.00 PM TIME '!A1</f>
        <v>DPS District 1 Intel Remodel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#9515.00'!B2</f>
        <v>Project # 9515.00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#9515.00'!B3</f>
        <v>Program code 951500</v>
      </c>
      <c r="B3" s="100"/>
      <c r="C3" s="100"/>
      <c r="D3" s="100"/>
      <c r="E3" s="103" t="str">
        <f>'RECAP #9515.00'!E3</f>
        <v>Major Program 4E08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#9515.00'!B6</f>
        <v>Project Manager - Brandon A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6432-D428-49A6-B50D-45D83F9D9DD8}">
  <sheetPr>
    <pageSetUpPr fitToPage="1"/>
  </sheetPr>
  <dimension ref="A1:G16"/>
  <sheetViews>
    <sheetView zoomScaleNormal="100" workbookViewId="0">
      <selection activeCell="F21" sqref="F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384</v>
      </c>
      <c r="C1" s="99"/>
      <c r="D1" s="9"/>
      <c r="E1" s="9"/>
      <c r="F1" s="9"/>
      <c r="G1" s="9"/>
    </row>
    <row r="2" spans="1:7" ht="15.75" x14ac:dyDescent="0.25">
      <c r="A2" s="97"/>
      <c r="B2" s="101" t="s">
        <v>385</v>
      </c>
      <c r="C2" s="100"/>
      <c r="D2" s="9"/>
      <c r="E2" s="9"/>
      <c r="F2" s="9"/>
      <c r="G2" s="9"/>
    </row>
    <row r="3" spans="1:7" ht="15.75" x14ac:dyDescent="0.25">
      <c r="A3" s="97"/>
      <c r="B3" s="102" t="s">
        <v>386</v>
      </c>
      <c r="C3" s="100"/>
      <c r="D3" s="9"/>
      <c r="E3" s="103" t="s">
        <v>387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'#9517.00 Funds Rec''d '!H24</f>
        <v>300000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'#9517.00 DCI Group'!D23</f>
        <v>48848.62</v>
      </c>
      <c r="E10" s="450">
        <f>'#9517.00 DCI Group'!F23</f>
        <v>0</v>
      </c>
      <c r="F10" s="450">
        <f>'#9517.00 DCI Group'!H23</f>
        <v>48848.62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'#9517.00 PM TIME'!E23</f>
        <v>15000</v>
      </c>
      <c r="E11" s="450">
        <f>'#9517.00 PM TIME'!G23</f>
        <v>0</v>
      </c>
      <c r="F11" s="450">
        <f>'#9517.00 PM TIME'!I23</f>
        <v>15000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'#9517.00 Misc'!G22</f>
        <v>0</v>
      </c>
      <c r="E12" s="438">
        <f>'#9517.00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433</v>
      </c>
      <c r="C13" s="448"/>
      <c r="D13" s="438">
        <f>'#9517.00 Shive Hattery'!D23</f>
        <v>126620</v>
      </c>
      <c r="E13" s="438">
        <f>'#9517.00 Shive Hattery'!F23</f>
        <v>0</v>
      </c>
      <c r="F13" s="450">
        <f>'#9517.00 Shive Hattery'!H23</f>
        <v>126620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300000</v>
      </c>
      <c r="D15" s="127">
        <f>SUM(D8:D14)</f>
        <v>190468.62</v>
      </c>
      <c r="E15" s="127">
        <f>SUM(E8:E14)</f>
        <v>0</v>
      </c>
      <c r="F15" s="127">
        <f>SUM(D15-E15)</f>
        <v>190468.62</v>
      </c>
      <c r="G15" s="127">
        <f>C8-D15</f>
        <v>109531.38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E1C3-74E9-4CBB-9F3A-586779E9FF8E}">
  <sheetPr>
    <pageSetUpPr fitToPage="1"/>
  </sheetPr>
  <dimension ref="A1:H25"/>
  <sheetViews>
    <sheetView zoomScaleNormal="100" workbookViewId="0">
      <selection activeCell="G15" sqref="G1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#9517.00'!B1</f>
        <v>DVA IVC Columbarium And Irrigation System Expansion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#9517.00'!B2</f>
        <v>Project # 9517.00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#9517.00'!B3</f>
        <v>Program code 951700</v>
      </c>
      <c r="B3" s="10"/>
      <c r="C3" s="131" t="s">
        <v>3</v>
      </c>
      <c r="D3" s="133" t="str">
        <f>'RECAP #9517.00'!E3</f>
        <v>Major Program 4E09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413</v>
      </c>
      <c r="F9" s="146">
        <v>46027</v>
      </c>
      <c r="G9" s="493">
        <v>300000</v>
      </c>
      <c r="H9" s="493">
        <v>300000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300000</v>
      </c>
      <c r="H24" s="152">
        <f>SUM(H9:H22)</f>
        <v>300000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0F8F-69C0-4D3E-9940-117561640ED3}">
  <sheetPr>
    <pageSetUpPr fitToPage="1"/>
  </sheetPr>
  <dimension ref="A1:I140"/>
  <sheetViews>
    <sheetView zoomScaleNormal="100" workbookViewId="0">
      <selection activeCell="J24" sqref="J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418</v>
      </c>
      <c r="B9" s="381">
        <v>46031</v>
      </c>
      <c r="C9" s="388" t="s">
        <v>150</v>
      </c>
      <c r="D9" s="220">
        <v>48848.62</v>
      </c>
      <c r="E9" s="384">
        <f>D9</f>
        <v>48848.62</v>
      </c>
      <c r="F9" s="385"/>
      <c r="G9" s="385"/>
      <c r="H9" s="385">
        <f>E9</f>
        <v>48848.62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48848.62</v>
      </c>
      <c r="F10" s="390"/>
      <c r="G10" s="385">
        <f t="shared" ref="G10:G21" si="1">G9+F10</f>
        <v>0</v>
      </c>
      <c r="H10" s="385">
        <f t="shared" ref="H10:H21" si="2">H9-F10+D10</f>
        <v>48848.62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48848.62</v>
      </c>
      <c r="F11" s="390"/>
      <c r="G11" s="385">
        <f t="shared" si="1"/>
        <v>0</v>
      </c>
      <c r="H11" s="385">
        <f t="shared" si="2"/>
        <v>48848.62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48848.62</v>
      </c>
      <c r="F12" s="390"/>
      <c r="G12" s="385">
        <f t="shared" si="1"/>
        <v>0</v>
      </c>
      <c r="H12" s="385">
        <f t="shared" si="2"/>
        <v>48848.62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48848.62</v>
      </c>
      <c r="F13" s="390"/>
      <c r="G13" s="385">
        <f t="shared" si="1"/>
        <v>0</v>
      </c>
      <c r="H13" s="385">
        <f t="shared" si="2"/>
        <v>48848.62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48848.62</v>
      </c>
      <c r="F14" s="385"/>
      <c r="G14" s="385">
        <f t="shared" si="1"/>
        <v>0</v>
      </c>
      <c r="H14" s="385">
        <f t="shared" si="2"/>
        <v>48848.62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48848.62</v>
      </c>
      <c r="F15" s="390"/>
      <c r="G15" s="385">
        <f t="shared" si="1"/>
        <v>0</v>
      </c>
      <c r="H15" s="385">
        <f t="shared" si="2"/>
        <v>48848.62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48848.62</v>
      </c>
      <c r="F16" s="390"/>
      <c r="G16" s="385">
        <f t="shared" si="1"/>
        <v>0</v>
      </c>
      <c r="H16" s="385">
        <f t="shared" si="2"/>
        <v>48848.62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48848.62</v>
      </c>
      <c r="F17" s="390"/>
      <c r="G17" s="385">
        <f t="shared" si="1"/>
        <v>0</v>
      </c>
      <c r="H17" s="385">
        <f t="shared" si="2"/>
        <v>48848.62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48848.62</v>
      </c>
      <c r="F18" s="390"/>
      <c r="G18" s="385">
        <f t="shared" si="1"/>
        <v>0</v>
      </c>
      <c r="H18" s="385">
        <f t="shared" si="2"/>
        <v>48848.62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48848.62</v>
      </c>
      <c r="F19" s="385"/>
      <c r="G19" s="385">
        <f t="shared" si="1"/>
        <v>0</v>
      </c>
      <c r="H19" s="385">
        <f t="shared" si="2"/>
        <v>48848.62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48848.62</v>
      </c>
      <c r="F20" s="385"/>
      <c r="G20" s="385">
        <f t="shared" si="1"/>
        <v>0</v>
      </c>
      <c r="H20" s="385">
        <f t="shared" si="2"/>
        <v>48848.62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48848.62</v>
      </c>
      <c r="F21" s="385"/>
      <c r="G21" s="385">
        <f t="shared" si="1"/>
        <v>0</v>
      </c>
      <c r="H21" s="385">
        <f t="shared" si="2"/>
        <v>48848.62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48848.62</v>
      </c>
      <c r="E23" s="218"/>
      <c r="F23" s="218">
        <f>SUM(F9:F22)</f>
        <v>0</v>
      </c>
      <c r="G23" s="218"/>
      <c r="H23" s="218">
        <f>D23-F23</f>
        <v>48848.62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39484.620000000003</v>
      </c>
      <c r="E26" s="427"/>
      <c r="F26" s="427"/>
      <c r="G26" s="427"/>
      <c r="H26" s="427">
        <f>D26-F26</f>
        <v>39484.620000000003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9000</v>
      </c>
      <c r="E27" s="219"/>
      <c r="F27" s="219"/>
      <c r="G27" s="219"/>
      <c r="H27" s="427">
        <f>D27-F27</f>
        <v>9000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48484.62</v>
      </c>
      <c r="E28" s="390"/>
      <c r="F28" s="429">
        <f>SUM(F25:F27)</f>
        <v>0</v>
      </c>
      <c r="G28" s="390"/>
      <c r="H28" s="429">
        <f>SUM(H25:H27)</f>
        <v>48484.62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</sheetData>
  <conditionalFormatting sqref="I9:I25">
    <cfRule type="cellIs" dxfId="2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64B-5396-40CC-8CAE-28FF13EC6544}">
  <sheetPr>
    <pageSetUpPr fitToPage="1"/>
  </sheetPr>
  <dimension ref="A1:J123"/>
  <sheetViews>
    <sheetView zoomScaleNormal="100" workbookViewId="0">
      <selection activeCell="E9" sqref="E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#9517.00'!B1</f>
        <v>DVA IVC Columbarium And Irrigation System Expansion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#9517.00'!B2</f>
        <v>Project # 9517.00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#9517.00'!B3</f>
        <v>Program code 951700</v>
      </c>
      <c r="B3" s="100"/>
      <c r="C3" s="100"/>
      <c r="D3" s="9"/>
      <c r="E3" s="103" t="str">
        <f>'RECAP #9517.00'!E3</f>
        <v>Major Program 4E09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#9517.00'!B6</f>
        <v>Project Manager - Brad T.</v>
      </c>
      <c r="B6" s="106"/>
      <c r="C6" s="106"/>
      <c r="D6" s="166"/>
      <c r="E6" s="162" t="s">
        <v>393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15000</v>
      </c>
      <c r="F9" s="384">
        <f>E9</f>
        <v>15000</v>
      </c>
      <c r="G9" s="385"/>
      <c r="H9" s="385"/>
      <c r="I9" s="385">
        <f>F9</f>
        <v>15000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15000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15000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15000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15000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15000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15000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15000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15000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15000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15000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15000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15000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15000</v>
      </c>
      <c r="F23" s="218"/>
      <c r="G23" s="218">
        <f>SUM(G9:G22)</f>
        <v>0</v>
      </c>
      <c r="H23" s="218"/>
      <c r="I23" s="218">
        <f>SUM(E23-G23)</f>
        <v>15000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D429-1DE8-495D-8581-F544D781243E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'#9517.00 PM TIME'!A1</f>
        <v>DVA IVC Columbarium And Irrigation System Expansion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#9517.00'!B2</f>
        <v>Project # 9517.00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#9517.00'!B3</f>
        <v>Program code 951700</v>
      </c>
      <c r="B3" s="100"/>
      <c r="C3" s="100"/>
      <c r="D3" s="100"/>
      <c r="E3" s="103" t="str">
        <f>'RECAP #9517.00'!E3</f>
        <v>Major Program 4E09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#9517.00'!B6</f>
        <v>Project Manager - Brad T.</v>
      </c>
      <c r="B6" s="106"/>
      <c r="C6" s="106"/>
      <c r="D6" s="106"/>
      <c r="E6" s="103" t="s">
        <v>419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1CA-4767-494C-A3CB-60B558F9FFB1}">
  <sheetPr>
    <pageSetUpPr fitToPage="1"/>
  </sheetPr>
  <dimension ref="A1:I145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4.285156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436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434</v>
      </c>
      <c r="B9" s="381">
        <v>46042</v>
      </c>
      <c r="C9" s="388" t="s">
        <v>150</v>
      </c>
      <c r="D9" s="220">
        <v>126620</v>
      </c>
      <c r="E9" s="384">
        <f>D9</f>
        <v>126620</v>
      </c>
      <c r="F9" s="385"/>
      <c r="G9" s="385"/>
      <c r="H9" s="385">
        <f>E9</f>
        <v>126620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126620</v>
      </c>
      <c r="F10" s="390"/>
      <c r="G10" s="385">
        <f t="shared" ref="G10:G21" si="1">G9+F10</f>
        <v>0</v>
      </c>
      <c r="H10" s="385">
        <f t="shared" ref="H10:H21" si="2">H9-F10+D10</f>
        <v>126620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126620</v>
      </c>
      <c r="F11" s="390"/>
      <c r="G11" s="385">
        <f t="shared" si="1"/>
        <v>0</v>
      </c>
      <c r="H11" s="385">
        <f t="shared" si="2"/>
        <v>126620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126620</v>
      </c>
      <c r="F12" s="390"/>
      <c r="G12" s="385">
        <f t="shared" si="1"/>
        <v>0</v>
      </c>
      <c r="H12" s="385">
        <f t="shared" si="2"/>
        <v>126620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126620</v>
      </c>
      <c r="F13" s="390"/>
      <c r="G13" s="385">
        <f t="shared" si="1"/>
        <v>0</v>
      </c>
      <c r="H13" s="385">
        <f t="shared" si="2"/>
        <v>126620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126620</v>
      </c>
      <c r="F14" s="385"/>
      <c r="G14" s="385">
        <f t="shared" si="1"/>
        <v>0</v>
      </c>
      <c r="H14" s="385">
        <f t="shared" si="2"/>
        <v>126620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126620</v>
      </c>
      <c r="F15" s="390"/>
      <c r="G15" s="385">
        <f t="shared" si="1"/>
        <v>0</v>
      </c>
      <c r="H15" s="385">
        <f t="shared" si="2"/>
        <v>126620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126620</v>
      </c>
      <c r="F16" s="390"/>
      <c r="G16" s="385">
        <f t="shared" si="1"/>
        <v>0</v>
      </c>
      <c r="H16" s="385">
        <f t="shared" si="2"/>
        <v>126620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126620</v>
      </c>
      <c r="F17" s="390"/>
      <c r="G17" s="385">
        <f t="shared" si="1"/>
        <v>0</v>
      </c>
      <c r="H17" s="385">
        <f t="shared" si="2"/>
        <v>126620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126620</v>
      </c>
      <c r="F18" s="390"/>
      <c r="G18" s="385">
        <f t="shared" si="1"/>
        <v>0</v>
      </c>
      <c r="H18" s="385">
        <f t="shared" si="2"/>
        <v>126620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126620</v>
      </c>
      <c r="F19" s="385"/>
      <c r="G19" s="385">
        <f t="shared" si="1"/>
        <v>0</v>
      </c>
      <c r="H19" s="385">
        <f t="shared" si="2"/>
        <v>126620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126620</v>
      </c>
      <c r="F20" s="385"/>
      <c r="G20" s="385">
        <f t="shared" si="1"/>
        <v>0</v>
      </c>
      <c r="H20" s="385">
        <f t="shared" si="2"/>
        <v>126620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126620</v>
      </c>
      <c r="F21" s="385"/>
      <c r="G21" s="385">
        <f t="shared" si="1"/>
        <v>0</v>
      </c>
      <c r="H21" s="385">
        <f t="shared" si="2"/>
        <v>126620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126620</v>
      </c>
      <c r="E23" s="218"/>
      <c r="F23" s="218">
        <f>SUM(F9:F22)</f>
        <v>0</v>
      </c>
      <c r="G23" s="218"/>
      <c r="H23" s="218">
        <f>D23-F23</f>
        <v>126620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437</v>
      </c>
      <c r="D26" s="385">
        <v>33540</v>
      </c>
      <c r="E26" s="385"/>
      <c r="F26" s="385"/>
      <c r="G26" s="385"/>
      <c r="H26" s="385">
        <f>D26-F26</f>
        <v>33540</v>
      </c>
      <c r="I26" s="386"/>
    </row>
    <row r="27" spans="1:9" s="365" customFormat="1" ht="12.75" customHeight="1" x14ac:dyDescent="0.25">
      <c r="A27" s="380"/>
      <c r="B27" s="388"/>
      <c r="C27" s="392" t="s">
        <v>438</v>
      </c>
      <c r="D27" s="385">
        <v>24300</v>
      </c>
      <c r="E27" s="385"/>
      <c r="F27" s="385"/>
      <c r="G27" s="385"/>
      <c r="H27" s="385">
        <f t="shared" ref="H27:H32" si="3">D27-F27</f>
        <v>24300</v>
      </c>
      <c r="I27" s="386"/>
    </row>
    <row r="28" spans="1:9" s="365" customFormat="1" ht="12.75" customHeight="1" x14ac:dyDescent="0.25">
      <c r="A28" s="380"/>
      <c r="B28" s="388"/>
      <c r="C28" s="392" t="s">
        <v>441</v>
      </c>
      <c r="D28" s="385">
        <v>15800</v>
      </c>
      <c r="E28" s="385"/>
      <c r="F28" s="385"/>
      <c r="G28" s="385"/>
      <c r="H28" s="385">
        <f t="shared" si="3"/>
        <v>15800</v>
      </c>
      <c r="I28" s="386"/>
    </row>
    <row r="29" spans="1:9" s="365" customFormat="1" ht="12.75" customHeight="1" x14ac:dyDescent="0.25">
      <c r="A29" s="380"/>
      <c r="B29" s="388"/>
      <c r="C29" s="392" t="s">
        <v>440</v>
      </c>
      <c r="D29" s="385">
        <v>3180</v>
      </c>
      <c r="E29" s="385"/>
      <c r="F29" s="385"/>
      <c r="G29" s="385"/>
      <c r="H29" s="385">
        <f t="shared" si="3"/>
        <v>3180</v>
      </c>
      <c r="I29" s="386"/>
    </row>
    <row r="30" spans="1:9" s="365" customFormat="1" ht="12.75" customHeight="1" x14ac:dyDescent="0.25">
      <c r="A30" s="380"/>
      <c r="B30" s="388"/>
      <c r="C30" s="392" t="s">
        <v>439</v>
      </c>
      <c r="D30" s="385">
        <v>15400</v>
      </c>
      <c r="E30" s="385"/>
      <c r="F30" s="385"/>
      <c r="G30" s="385"/>
      <c r="H30" s="385">
        <f t="shared" si="3"/>
        <v>15400</v>
      </c>
      <c r="I30" s="386"/>
    </row>
    <row r="31" spans="1:9" s="365" customFormat="1" ht="12.75" customHeight="1" x14ac:dyDescent="0.25">
      <c r="A31" s="380"/>
      <c r="B31" s="388"/>
      <c r="C31" s="426" t="s">
        <v>442</v>
      </c>
      <c r="D31" s="427">
        <v>18400</v>
      </c>
      <c r="E31" s="427"/>
      <c r="F31" s="427"/>
      <c r="G31" s="427"/>
      <c r="H31" s="385">
        <f t="shared" si="3"/>
        <v>18400</v>
      </c>
      <c r="I31" s="386"/>
    </row>
    <row r="32" spans="1:9" s="365" customFormat="1" ht="12.75" customHeight="1" x14ac:dyDescent="0.25">
      <c r="A32" s="380"/>
      <c r="B32" s="388"/>
      <c r="C32" s="426" t="s">
        <v>443</v>
      </c>
      <c r="D32" s="427">
        <v>16000</v>
      </c>
      <c r="E32" s="219"/>
      <c r="F32" s="219"/>
      <c r="G32" s="219"/>
      <c r="H32" s="385">
        <f t="shared" si="3"/>
        <v>16000</v>
      </c>
      <c r="I32" s="386"/>
    </row>
    <row r="33" spans="1:9" s="365" customFormat="1" ht="12.75" customHeight="1" thickBot="1" x14ac:dyDescent="0.3">
      <c r="A33" s="380"/>
      <c r="B33" s="388"/>
      <c r="C33" s="428" t="s">
        <v>161</v>
      </c>
      <c r="D33" s="429">
        <f>SUM(D26:D32)</f>
        <v>126620</v>
      </c>
      <c r="E33" s="390"/>
      <c r="F33" s="429">
        <f>SUM(F26:F32)</f>
        <v>0</v>
      </c>
      <c r="G33" s="390"/>
      <c r="H33" s="429">
        <f>SUM(H26:H32)</f>
        <v>126620</v>
      </c>
      <c r="I33" s="386"/>
    </row>
    <row r="34" spans="1:9" s="365" customFormat="1" ht="12.75" customHeight="1" thickTop="1" x14ac:dyDescent="0.25"/>
    <row r="35" spans="1:9" s="365" customFormat="1" ht="12.75" customHeight="1" x14ac:dyDescent="0.25"/>
    <row r="36" spans="1:9" s="365" customFormat="1" ht="12.75" customHeight="1" x14ac:dyDescent="0.25"/>
    <row r="37" spans="1:9" s="365" customFormat="1" ht="12.75" customHeight="1" x14ac:dyDescent="0.25"/>
    <row r="38" spans="1:9" s="365" customFormat="1" ht="12.75" customHeight="1" x14ac:dyDescent="0.25"/>
    <row r="39" spans="1:9" s="365" customFormat="1" ht="12.75" customHeight="1" x14ac:dyDescent="0.25"/>
    <row r="40" spans="1:9" s="365" customFormat="1" ht="12.75" customHeight="1" x14ac:dyDescent="0.25"/>
    <row r="41" spans="1:9" s="365" customFormat="1" ht="12.75" customHeight="1" x14ac:dyDescent="0.25"/>
    <row r="42" spans="1:9" s="365" customFormat="1" ht="12.75" customHeight="1" x14ac:dyDescent="0.25"/>
    <row r="43" spans="1:9" s="365" customFormat="1" ht="12.75" customHeight="1" x14ac:dyDescent="0.25"/>
    <row r="44" spans="1:9" s="365" customFormat="1" ht="12.75" customHeight="1" x14ac:dyDescent="0.25"/>
    <row r="45" spans="1:9" s="365" customFormat="1" ht="12.75" customHeight="1" x14ac:dyDescent="0.25"/>
    <row r="46" spans="1:9" s="365" customFormat="1" ht="12.75" customHeight="1" x14ac:dyDescent="0.25"/>
    <row r="47" spans="1:9" s="365" customFormat="1" ht="12.75" customHeight="1" x14ac:dyDescent="0.25"/>
    <row r="48" spans="1:9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</sheetData>
  <conditionalFormatting sqref="I9:I30">
    <cfRule type="cellIs" dxfId="1" priority="1" operator="greaterThan">
      <formula>$H$23</formula>
    </cfRule>
  </conditionalFormatting>
  <pageMargins left="0.25" right="0.25" top="0.85" bottom="0.75" header="0.08" footer="0.3"/>
  <pageSetup scale="71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30F-005E-46EB-8317-E2E595AFF575}">
  <sheetPr>
    <tabColor rgb="FF0070C0"/>
    <pageSetUpPr fitToPage="1"/>
  </sheetPr>
  <dimension ref="A1:H25"/>
  <sheetViews>
    <sheetView zoomScaleNormal="100" workbookViewId="0">
      <selection activeCell="D14" sqref="D14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31.140625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198</v>
      </c>
      <c r="E9" s="18" t="s">
        <v>197</v>
      </c>
      <c r="F9" s="146">
        <v>45911</v>
      </c>
      <c r="G9" s="225">
        <v>46034.400000000001</v>
      </c>
      <c r="H9" s="225">
        <v>46034.400000000001</v>
      </c>
    </row>
    <row r="10" spans="1:8" x14ac:dyDescent="0.25">
      <c r="A10" s="15"/>
      <c r="B10" s="15"/>
      <c r="C10" s="147"/>
      <c r="D10" s="18" t="s">
        <v>199</v>
      </c>
      <c r="E10" s="15" t="s">
        <v>200</v>
      </c>
      <c r="F10" s="15">
        <v>45912</v>
      </c>
      <c r="G10" s="224">
        <v>-46034.400000000001</v>
      </c>
      <c r="H10" s="224">
        <v>-46034.400000000001</v>
      </c>
    </row>
    <row r="11" spans="1:8" x14ac:dyDescent="0.25">
      <c r="A11" s="25"/>
      <c r="B11" s="16"/>
      <c r="C11" s="21"/>
      <c r="D11" s="18" t="s">
        <v>238</v>
      </c>
      <c r="E11" s="18" t="s">
        <v>239</v>
      </c>
      <c r="F11" s="15">
        <v>45903</v>
      </c>
      <c r="G11" s="228">
        <v>224341.04</v>
      </c>
      <c r="H11" s="228">
        <v>224341.04</v>
      </c>
    </row>
    <row r="12" spans="1:8" x14ac:dyDescent="0.25">
      <c r="A12" s="25"/>
      <c r="B12" s="16"/>
      <c r="C12" s="26"/>
      <c r="D12" s="18" t="s">
        <v>199</v>
      </c>
      <c r="E12" s="18" t="s">
        <v>240</v>
      </c>
      <c r="F12" s="15">
        <v>45904</v>
      </c>
      <c r="G12" s="224">
        <v>-224341.04</v>
      </c>
      <c r="H12" s="224">
        <v>-224341.04</v>
      </c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E7D-CB8D-4BB1-9B7E-7C1288A63A56}">
  <sheetPr>
    <tabColor rgb="FF0070C0"/>
    <pageSetUpPr fitToPage="1"/>
  </sheetPr>
  <dimension ref="A1:G15"/>
  <sheetViews>
    <sheetView zoomScaleNormal="100" workbookViewId="0">
      <selection activeCell="R30" sqref="R3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101</v>
      </c>
      <c r="C1" s="99"/>
      <c r="D1" s="9"/>
      <c r="E1" s="9"/>
      <c r="F1" s="9"/>
      <c r="G1" s="9"/>
    </row>
    <row r="2" spans="1:7" ht="15.75" x14ac:dyDescent="0.25">
      <c r="A2" s="97"/>
      <c r="B2" s="101" t="s">
        <v>102</v>
      </c>
      <c r="C2" s="100"/>
      <c r="D2" s="9"/>
      <c r="E2" s="9"/>
      <c r="F2" s="9"/>
      <c r="G2" s="9"/>
    </row>
    <row r="3" spans="1:7" ht="15.75" x14ac:dyDescent="0.25">
      <c r="A3" s="97"/>
      <c r="B3" s="102" t="s">
        <v>103</v>
      </c>
      <c r="C3" s="100"/>
      <c r="D3" s="9"/>
      <c r="E3" s="103" t="s">
        <v>105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104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'#XXXX.XX Vendor A '!D23</f>
        <v>0</v>
      </c>
      <c r="E10" s="119">
        <f>'#XXXX.XX Vendor A '!F23</f>
        <v>0</v>
      </c>
      <c r="F10" s="119">
        <f>'#XXXX.XX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'#XXXX.XX PM TIME'!E23</f>
        <v>0</v>
      </c>
      <c r="E11" s="119">
        <f>'#XXXX.XX PM TIME'!G23</f>
        <v>0</v>
      </c>
      <c r="F11" s="119">
        <f>'#XXXX.XX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'#XXXX.XX Misc'!G22</f>
        <v>0</v>
      </c>
      <c r="E12" s="123">
        <f>'#XXXX.XX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5E4-A603-4728-92D8-DB7518BC4721}">
  <sheetPr>
    <tabColor rgb="FF0070C0"/>
    <pageSetUpPr fitToPage="1"/>
  </sheetPr>
  <dimension ref="A1:H25"/>
  <sheetViews>
    <sheetView zoomScaleNormal="100" workbookViewId="0">
      <selection activeCell="A14" sqref="A14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701F-AE59-486A-9A24-CAEEC4620647}">
  <sheetPr>
    <pageSetUpPr fitToPage="1"/>
  </sheetPr>
  <dimension ref="A1:H25"/>
  <sheetViews>
    <sheetView topLeftCell="A4" zoomScaleNormal="100" workbookViewId="0">
      <selection activeCell="H31" sqref="H31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#9438.00'!B1</f>
        <v>DOC FDCF Warehouse Loading Dock Ramp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#9438.00'!B2</f>
        <v>Project # 9438.00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#9438.00'!B3</f>
        <v>Program code 943800</v>
      </c>
      <c r="B3" s="10"/>
      <c r="C3" s="131" t="s">
        <v>3</v>
      </c>
      <c r="D3" s="133" t="str">
        <f>'RECAP #9438.00'!E3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#9438.00'!B6</f>
        <v>Project Manager - Jennie E.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184</v>
      </c>
      <c r="F9" s="399">
        <v>45890</v>
      </c>
      <c r="G9" s="453">
        <v>15650</v>
      </c>
      <c r="H9" s="453">
        <v>15650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15650</v>
      </c>
      <c r="H24" s="218">
        <f>SUM(H9:H22)</f>
        <v>15650</v>
      </c>
    </row>
    <row r="25" spans="1:8" s="365" customFormat="1" ht="12.7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4BF6-4BDE-442B-B023-FC1337C459FC}">
  <sheetPr>
    <tabColor indexed="30"/>
    <pageSetUpPr fitToPage="1"/>
  </sheetPr>
  <dimension ref="A1:I29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#XXXX.XX'!B1</f>
        <v>Project Name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#XXXX.XX'!B2</f>
        <v>Project # XXXX.XX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#XXXX.XX'!B3</f>
        <v>Program code XXXXXX</v>
      </c>
      <c r="B3" s="100"/>
      <c r="C3" s="9"/>
      <c r="D3" s="103" t="str">
        <f>'RECAP #XXXX.XX'!E3</f>
        <v>Major Program XXXX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#XXXX.XX'!B6</f>
        <v>Project Manager - XXXXXX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2" t="s">
        <v>256</v>
      </c>
      <c r="D26" s="223"/>
      <c r="E26" s="223"/>
      <c r="F26" s="223"/>
      <c r="G26" s="223"/>
      <c r="H26" s="223">
        <f>D26-F26</f>
        <v>0</v>
      </c>
      <c r="I26" s="182"/>
    </row>
    <row r="27" spans="1:9" x14ac:dyDescent="0.25">
      <c r="A27" s="188"/>
      <c r="B27" s="179"/>
      <c r="C27" s="222" t="s">
        <v>257</v>
      </c>
      <c r="D27" s="223"/>
      <c r="E27" s="221"/>
      <c r="F27" s="221"/>
      <c r="G27" s="221"/>
      <c r="H27" s="223">
        <f>D27-F27</f>
        <v>0</v>
      </c>
      <c r="I27" s="182"/>
    </row>
    <row r="28" spans="1:9" ht="15.75" thickBot="1" x14ac:dyDescent="0.3">
      <c r="A28" s="188"/>
      <c r="B28" s="179"/>
      <c r="C28" s="206" t="s">
        <v>161</v>
      </c>
      <c r="D28" s="226">
        <f>SUM(D25:D27)</f>
        <v>0</v>
      </c>
      <c r="E28" s="183"/>
      <c r="F28" s="226">
        <f>SUM(F25:F27)</f>
        <v>0</v>
      </c>
      <c r="G28" s="183"/>
      <c r="H28" s="226">
        <f>SUM(H25:H27)</f>
        <v>0</v>
      </c>
      <c r="I28" s="182"/>
    </row>
    <row r="29" spans="1:9" ht="15" customHeight="1" thickTop="1" x14ac:dyDescent="0.25"/>
  </sheetData>
  <conditionalFormatting sqref="I9:I25">
    <cfRule type="cellIs" dxfId="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DF57-6FF8-4AAC-B94D-5C0210E3FF6C}">
  <sheetPr>
    <tabColor rgb="FF0070C0"/>
    <pageSetUpPr fitToPage="1"/>
  </sheetPr>
  <dimension ref="A1:J182"/>
  <sheetViews>
    <sheetView topLeftCell="A2" zoomScaleNormal="100" workbookViewId="0">
      <selection activeCell="C15" sqref="C1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#XXXX.XX'!B1</f>
        <v>Project Name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#XXXX.XX'!B2</f>
        <v>Project # XXXX.XX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#XXXX.XX'!B3</f>
        <v>Program code XXXXXX</v>
      </c>
      <c r="B3" s="100"/>
      <c r="C3" s="100"/>
      <c r="D3" s="9"/>
      <c r="E3" s="103" t="str">
        <f>'RECAP #XXXX.XX'!E3</f>
        <v>Major Program XXXX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#XXXX.XX'!B6</f>
        <v>Project Manager - XXXXXX</v>
      </c>
      <c r="B6" s="106"/>
      <c r="C6" s="106"/>
      <c r="D6" s="166"/>
      <c r="E6" s="162" t="s">
        <v>106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F0DF-EE4A-436C-8A3F-6269432DF962}">
  <sheetPr>
    <tabColor indexed="30"/>
    <pageSetUpPr fitToPage="1"/>
  </sheetPr>
  <dimension ref="A1:H23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'#XXXX.XX PM TIME'!A1</f>
        <v>Project Name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#XXXX.XX'!B2</f>
        <v>Project # XXXX.XX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#XXXX.XX'!B3</f>
        <v>Program code XXXXXX</v>
      </c>
      <c r="B3" s="100"/>
      <c r="C3" s="100"/>
      <c r="D3" s="100"/>
      <c r="E3" s="103" t="str">
        <f>'RECAP #XXXX.XX'!E3</f>
        <v>Major Program XXXX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#XXXX.XX'!B6</f>
        <v>Project Manager - XXXXXX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92</vt:i4>
      </vt:variant>
      <vt:variant>
        <vt:lpstr>Named Ranges</vt:lpstr>
      </vt:variant>
      <vt:variant>
        <vt:i4>1</vt:i4>
      </vt:variant>
    </vt:vector>
  </HeadingPairs>
  <TitlesOfParts>
    <vt:vector size="93" baseType="lpstr">
      <vt:lpstr>FINANCIAL</vt:lpstr>
      <vt:lpstr>RECAP #9279.50</vt:lpstr>
      <vt:lpstr>#9279.50 Funds Rec'd</vt:lpstr>
      <vt:lpstr>#9279.50 Shive Hattery</vt:lpstr>
      <vt:lpstr>#9279.50 PM TIME</vt:lpstr>
      <vt:lpstr>#9279.50 Misc</vt:lpstr>
      <vt:lpstr>#9279.50 StoryConstruction</vt:lpstr>
      <vt:lpstr>RECAP #9438.00</vt:lpstr>
      <vt:lpstr>#9438.00 Funds Rec'd</vt:lpstr>
      <vt:lpstr>#9438.00 Jasper Construction</vt:lpstr>
      <vt:lpstr>#9438.00 PM TIME</vt:lpstr>
      <vt:lpstr>#9438.00 Misc</vt:lpstr>
      <vt:lpstr>RECAP #9471.00</vt:lpstr>
      <vt:lpstr>#9471.00 Funds Rec'd </vt:lpstr>
      <vt:lpstr>#9471.00 MidState Plumbing</vt:lpstr>
      <vt:lpstr>#9471.00 PM TIME</vt:lpstr>
      <vt:lpstr>#9471.00 Misc</vt:lpstr>
      <vt:lpstr>RECAP #9480.01</vt:lpstr>
      <vt:lpstr>#9480.01 Funds Rec'd </vt:lpstr>
      <vt:lpstr>#9480.01 TB Rigid Edge Exterior</vt:lpstr>
      <vt:lpstr>#9480.01 PM TIME </vt:lpstr>
      <vt:lpstr>#9480.01 Misc </vt:lpstr>
      <vt:lpstr>#9480.01 Genesis Architectural</vt:lpstr>
      <vt:lpstr>#9480.01 McGough Construction</vt:lpstr>
      <vt:lpstr>#9480.01 Hilsabeck Schacht</vt:lpstr>
      <vt:lpstr>#9480.01 MTS Contracting</vt:lpstr>
      <vt:lpstr>#9480.01 Kinzler Construction</vt:lpstr>
      <vt:lpstr>RECAP #9481.00</vt:lpstr>
      <vt:lpstr>#9481.00 Funds Rec'd </vt:lpstr>
      <vt:lpstr>#9481.00 Vendor A </vt:lpstr>
      <vt:lpstr>#9481.00 PM TIME </vt:lpstr>
      <vt:lpstr>#9481.00 Misc</vt:lpstr>
      <vt:lpstr>RECAP #9482.00</vt:lpstr>
      <vt:lpstr>#9482.00 Funds Rec'd</vt:lpstr>
      <vt:lpstr>#9482.00 McGough Construction</vt:lpstr>
      <vt:lpstr>#9482.00 PM TIME</vt:lpstr>
      <vt:lpstr>#9482.00 Misc</vt:lpstr>
      <vt:lpstr>#9482.00 KCL Engineering</vt:lpstr>
      <vt:lpstr>#9482.00 Systems Management</vt:lpstr>
      <vt:lpstr>RECAP #9486.00</vt:lpstr>
      <vt:lpstr>#9486.00 Funds Rec'd</vt:lpstr>
      <vt:lpstr>#9486.00 DCI Group</vt:lpstr>
      <vt:lpstr>#9486.00 PM TIME</vt:lpstr>
      <vt:lpstr>#9486.00 Misc</vt:lpstr>
      <vt:lpstr>#9486.00 Ralph N Smith Flooring</vt:lpstr>
      <vt:lpstr>#9486.00 DCI Group (2)</vt:lpstr>
      <vt:lpstr>RECAP #9487.00</vt:lpstr>
      <vt:lpstr>#9487.00 Funds Rec'd</vt:lpstr>
      <vt:lpstr>#9487.00 DCI Group</vt:lpstr>
      <vt:lpstr>#9487.00 PM TIME</vt:lpstr>
      <vt:lpstr>#9487.00 Misc</vt:lpstr>
      <vt:lpstr>#9487.00 Genesis Architectural</vt:lpstr>
      <vt:lpstr>#9487.00 Genesis Architectu (2)</vt:lpstr>
      <vt:lpstr>RECAP #9488.00</vt:lpstr>
      <vt:lpstr>#9488.00 Funds Rec'd </vt:lpstr>
      <vt:lpstr>#9488.00 Samuels Group</vt:lpstr>
      <vt:lpstr>#9488.00 PM TIME</vt:lpstr>
      <vt:lpstr>#9488.00 Misc</vt:lpstr>
      <vt:lpstr>#9488.00 SVPA Architects</vt:lpstr>
      <vt:lpstr>RECAP #9489.00</vt:lpstr>
      <vt:lpstr>#9489.00 Funds Rec'd</vt:lpstr>
      <vt:lpstr>#9489.00 McGough Construction</vt:lpstr>
      <vt:lpstr>#9489.00 PM TIME</vt:lpstr>
      <vt:lpstr>#9489.00 Misc</vt:lpstr>
      <vt:lpstr>RECAP #9490.00</vt:lpstr>
      <vt:lpstr>#9490.00 Funds Rec'd </vt:lpstr>
      <vt:lpstr>#9490.00 Vendor A </vt:lpstr>
      <vt:lpstr>#9490.00 PM TIME</vt:lpstr>
      <vt:lpstr>#9490.00 Misc </vt:lpstr>
      <vt:lpstr>RECAP #9492.00</vt:lpstr>
      <vt:lpstr>#9492.00 Funds Rec'd</vt:lpstr>
      <vt:lpstr>#9492.00 Samuels Group</vt:lpstr>
      <vt:lpstr>#9492.00 PM TIME</vt:lpstr>
      <vt:lpstr>#9492.00 Misc</vt:lpstr>
      <vt:lpstr>#9492.00 Quick Enterprise LLC</vt:lpstr>
      <vt:lpstr>RECAP #9515.00</vt:lpstr>
      <vt:lpstr>#9515.00 Funds Rec'd</vt:lpstr>
      <vt:lpstr>#9515.00 Vendor A </vt:lpstr>
      <vt:lpstr>#9515.00 PM TIME </vt:lpstr>
      <vt:lpstr>#9515.00 Misc </vt:lpstr>
      <vt:lpstr>RECAP #9517.00</vt:lpstr>
      <vt:lpstr>#9517.00 Funds Rec'd </vt:lpstr>
      <vt:lpstr>#9517.00 DCI Group</vt:lpstr>
      <vt:lpstr>#9517.00 PM TIME</vt:lpstr>
      <vt:lpstr>#9517.00 Misc</vt:lpstr>
      <vt:lpstr>#9517.00 Shive Hattery</vt:lpstr>
      <vt:lpstr> Funds Rec'd incorrectly</vt:lpstr>
      <vt:lpstr>RECAP #XXXX.XX</vt:lpstr>
      <vt:lpstr>#XXXX.XX Funds Rec'd</vt:lpstr>
      <vt:lpstr>#XXXX.XX Vendor A </vt:lpstr>
      <vt:lpstr>#XXXX.XX PM TIME</vt:lpstr>
      <vt:lpstr>#XXXX.XX Misc</vt:lpstr>
      <vt:lpstr>FINANCIAL!Print_Titles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Huggins, Joni [DAS]</cp:lastModifiedBy>
  <cp:lastPrinted>2026-02-02T15:41:00Z</cp:lastPrinted>
  <dcterms:created xsi:type="dcterms:W3CDTF">2011-09-23T14:16:56Z</dcterms:created>
  <dcterms:modified xsi:type="dcterms:W3CDTF">2026-02-05T15:01:03Z</dcterms:modified>
</cp:coreProperties>
</file>