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threadedComments/threadedComment3.xml" ContentType="application/vnd.ms-excel.threadedcomments+xml"/>
  <Override PartName="/xl/comments17.xml" ContentType="application/vnd.openxmlformats-officedocument.spreadsheetml.comments+xml"/>
  <Override PartName="/xl/comments1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N:\DAS Shared Perm\GSE Infrastructure\MOU Project Improvements (DA26) 0506\"/>
    </mc:Choice>
  </mc:AlternateContent>
  <xr:revisionPtr revIDLastSave="0" documentId="13_ncr:1_{62AFFC81-7812-4CBE-B29D-7B19630697D4}" xr6:coauthVersionLast="47" xr6:coauthVersionMax="47" xr10:uidLastSave="{00000000-0000-0000-0000-000000000000}"/>
  <bookViews>
    <workbookView xWindow="-120" yWindow="-120" windowWidth="29040" windowHeight="15720" tabRatio="950" xr2:uid="{00000000-000D-0000-FFFF-FFFF00000000}"/>
  </bookViews>
  <sheets>
    <sheet name="FINANCIAL" sheetId="17" r:id="rId1"/>
    <sheet name="RECAP #9239.04" sheetId="152" r:id="rId2"/>
    <sheet name="#9239.04 Funds Rec'd" sheetId="153" r:id="rId3"/>
    <sheet name="#9239.04 Samuels Group" sheetId="154" r:id="rId4"/>
    <sheet name="#9239.04 PM TIME" sheetId="155" r:id="rId5"/>
    <sheet name="#9239.04 Misc" sheetId="156" r:id="rId6"/>
    <sheet name="#9239.04 Farnsworth Group" sheetId="158" r:id="rId7"/>
    <sheet name="RECAP #9279.50" sheetId="88" r:id="rId8"/>
    <sheet name="#9279.50 Funds Rec'd" sheetId="89" r:id="rId9"/>
    <sheet name="#9279.50 Shive Hattery" sheetId="90" r:id="rId10"/>
    <sheet name="#9279.50 PM TIME" sheetId="91" r:id="rId11"/>
    <sheet name="#9279.50 Misc" sheetId="92" r:id="rId12"/>
    <sheet name="#9279.50 StoryConstruction" sheetId="108" r:id="rId13"/>
    <sheet name="#9279.50 ATC Group" sheetId="144" r:id="rId14"/>
    <sheet name="#9279.50 Van Maanen" sheetId="167" r:id="rId15"/>
    <sheet name="#9279.50 Central IA Mechanical" sheetId="168" r:id="rId16"/>
    <sheet name="#9279.50 StoryConstruction (2)" sheetId="169" r:id="rId17"/>
    <sheet name="#9279.50 Earth Services" sheetId="170" r:id="rId18"/>
    <sheet name="#9279.50 Earth Services (2)" sheetId="171" r:id="rId19"/>
    <sheet name="#9279.50 Breiholz Construction" sheetId="172" r:id="rId20"/>
    <sheet name="#9279.50 VanMaanen" sheetId="173" r:id="rId21"/>
    <sheet name="#9279.50 ATC Group (2)" sheetId="174" r:id="rId22"/>
    <sheet name="#9279.50 Reilly Construction" sheetId="176" r:id="rId23"/>
    <sheet name="RECAP #9438.00" sheetId="74" r:id="rId24"/>
    <sheet name="#9438.00 Funds Rec'd" sheetId="75" r:id="rId25"/>
    <sheet name="#9438.00 Jasper Construction" sheetId="76" r:id="rId26"/>
    <sheet name="#9438.00 PM TIME" sheetId="77" r:id="rId27"/>
    <sheet name="#9438.00 Misc" sheetId="78" r:id="rId28"/>
    <sheet name="RECAP #9471.00" sheetId="59" r:id="rId29"/>
    <sheet name="#9471.00 Funds Rec'd " sheetId="60" r:id="rId30"/>
    <sheet name="#9471.00 MidState Plumbing" sheetId="61" r:id="rId31"/>
    <sheet name="#9471.00 PM TIME" sheetId="62" r:id="rId32"/>
    <sheet name="#9471.00 Misc" sheetId="63" r:id="rId33"/>
    <sheet name="RECAP #9476.01" sheetId="137" r:id="rId34"/>
    <sheet name="#9476.01 Funds Rec'd" sheetId="138" r:id="rId35"/>
    <sheet name="#9476.01 McGough Construction" sheetId="139" r:id="rId36"/>
    <sheet name="#9476.01 PM TIME" sheetId="140" r:id="rId37"/>
    <sheet name="#9476.01 Misc" sheetId="141" r:id="rId38"/>
    <sheet name="#9476.01 HGM Associates" sheetId="146" r:id="rId39"/>
    <sheet name="RECAP #9480.01" sheetId="23" r:id="rId40"/>
    <sheet name="#9480.01 Funds Rec'd " sheetId="24" r:id="rId41"/>
    <sheet name="#9480.01 TB Rigid Edge Exterior" sheetId="25" r:id="rId42"/>
    <sheet name="#9480.01 PM TIME " sheetId="26" r:id="rId43"/>
    <sheet name="#9480.01 Misc " sheetId="27" r:id="rId44"/>
    <sheet name="#9480.01 Genesis Architectural" sheetId="79" r:id="rId45"/>
    <sheet name="#9480.01 McGough Construction" sheetId="80" r:id="rId46"/>
    <sheet name="#9480.01 Hilsabeck Schacht" sheetId="83" r:id="rId47"/>
    <sheet name="#9480.01 MTS Contracting" sheetId="84" r:id="rId48"/>
    <sheet name="#9480.01 Kinzler Construction" sheetId="85" r:id="rId49"/>
    <sheet name="RECAP #9481.00" sheetId="18" r:id="rId50"/>
    <sheet name="#9481.00 Funds Rec'd " sheetId="19" r:id="rId51"/>
    <sheet name="#9481.00 Horizon Architecture" sheetId="20" r:id="rId52"/>
    <sheet name="#9481.00 PM TIME " sheetId="21" r:id="rId53"/>
    <sheet name="#9481.00 Misc" sheetId="22" r:id="rId54"/>
    <sheet name="#9481.00 McGough Construction" sheetId="159" r:id="rId55"/>
    <sheet name="RECAP #9482.00" sheetId="54" r:id="rId56"/>
    <sheet name="#9482.00 Funds Rec'd" sheetId="55" r:id="rId57"/>
    <sheet name="#9482.00 McGough Construction" sheetId="56" r:id="rId58"/>
    <sheet name="#9482.00 PM TIME" sheetId="57" r:id="rId59"/>
    <sheet name="#9482.00 Misc" sheetId="58" r:id="rId60"/>
    <sheet name="#9482.00 KCL Engineering" sheetId="82" r:id="rId61"/>
    <sheet name="#9482.00 Systems Management" sheetId="106" r:id="rId62"/>
    <sheet name="#9482.00 McGough Constructi (2)" sheetId="135" r:id="rId63"/>
    <sheet name="#9482.00 Air-Con Mechanical" sheetId="136" r:id="rId64"/>
    <sheet name="RECAP #9486.00" sheetId="28" r:id="rId65"/>
    <sheet name="#9486.00 Funds Rec'd" sheetId="29" r:id="rId66"/>
    <sheet name="#9486.00 DCI Group" sheetId="30" r:id="rId67"/>
    <sheet name="#9486.00 PM TIME" sheetId="31" r:id="rId68"/>
    <sheet name="#9486.00 Misc" sheetId="32" r:id="rId69"/>
    <sheet name="#9486.00 Ralph N Smith Flooring" sheetId="86" r:id="rId70"/>
    <sheet name="#9486.00 DCI Group (2)" sheetId="95" r:id="rId71"/>
    <sheet name="RECAP #9486.01" sheetId="147" r:id="rId72"/>
    <sheet name="#9486.01 Funds Rec'd" sheetId="148" r:id="rId73"/>
    <sheet name="#9486.01 Horizon Architecture" sheetId="149" r:id="rId74"/>
    <sheet name="#9486.01 PM TIME" sheetId="150" r:id="rId75"/>
    <sheet name="#9486.01 Misc " sheetId="151" r:id="rId76"/>
    <sheet name="#9486.01 DCI Group" sheetId="162" r:id="rId77"/>
    <sheet name="RECAP #9487.00" sheetId="33" r:id="rId78"/>
    <sheet name="#9487.00 Funds Rec'd" sheetId="34" r:id="rId79"/>
    <sheet name="#9487.00 DCI Group" sheetId="35" r:id="rId80"/>
    <sheet name="#9487.00 PM TIME" sheetId="36" r:id="rId81"/>
    <sheet name="#9487.00 Misc" sheetId="37" r:id="rId82"/>
    <sheet name="#9487.00 Genesis Architectural" sheetId="87" r:id="rId83"/>
    <sheet name="#9487.00 Genesis Architectu (2)" sheetId="109" r:id="rId84"/>
    <sheet name="#9487.00 Genesis Architectu (3)" sheetId="142" r:id="rId85"/>
    <sheet name="#9487.00 DCI Group (2)" sheetId="160" r:id="rId86"/>
    <sheet name="#9487.00 Keystone Construction" sheetId="163" r:id="rId87"/>
    <sheet name="RECAP #9488.00" sheetId="43" r:id="rId88"/>
    <sheet name="#9488.00 Funds Rec'd " sheetId="44" r:id="rId89"/>
    <sheet name="#9488.00 Samuels Group" sheetId="45" r:id="rId90"/>
    <sheet name="#9488.00 PM TIME" sheetId="46" r:id="rId91"/>
    <sheet name="#9488.00 Misc" sheetId="47" r:id="rId92"/>
    <sheet name="#9488.00 SVPA Architects" sheetId="94" r:id="rId93"/>
    <sheet name="#9488.00 Downs Electric" sheetId="164" r:id="rId94"/>
    <sheet name="#9488.00 PrairieConstruction" sheetId="165" r:id="rId95"/>
    <sheet name="#9488.00 Elkhorn West Construct" sheetId="166" r:id="rId96"/>
    <sheet name="#9488.00 Samuels Group (2)" sheetId="175" r:id="rId97"/>
    <sheet name="RECAP #9489.00" sheetId="48" r:id="rId98"/>
    <sheet name="#9489.00 Funds Rec'd" sheetId="49" r:id="rId99"/>
    <sheet name="#9489.00 McGough Construction" sheetId="50" r:id="rId100"/>
    <sheet name="#9489.00 PM TIME" sheetId="51" r:id="rId101"/>
    <sheet name="#9489.00 Misc" sheetId="52" r:id="rId102"/>
    <sheet name="RECAP #9490.00" sheetId="64" r:id="rId103"/>
    <sheet name="#9490.00 Funds Rec'd " sheetId="65" r:id="rId104"/>
    <sheet name="#9490.00 Vendor A " sheetId="66" r:id="rId105"/>
    <sheet name="#9490.00 PM TIME" sheetId="67" r:id="rId106"/>
    <sheet name="#9490.00 Misc " sheetId="68" r:id="rId107"/>
    <sheet name="RECAP #9492.00" sheetId="69" r:id="rId108"/>
    <sheet name="#9492.00 Funds Rec'd" sheetId="70" r:id="rId109"/>
    <sheet name="#9492.00 Samuels Group" sheetId="71" r:id="rId110"/>
    <sheet name="#9492.00 PM TIME" sheetId="72" r:id="rId111"/>
    <sheet name="#9492.00 Misc" sheetId="73" r:id="rId112"/>
    <sheet name="#9492.00 Quick Enterprise LLC" sheetId="93" r:id="rId113"/>
    <sheet name="RECAP #9515.00" sheetId="96" r:id="rId114"/>
    <sheet name="#9515.00 Funds Rec'd" sheetId="97" r:id="rId115"/>
    <sheet name="#9515.00 Kezlo Group" sheetId="98" r:id="rId116"/>
    <sheet name="#9515.00 PM TIME " sheetId="99" r:id="rId117"/>
    <sheet name="#9515.00 Misc " sheetId="100" r:id="rId118"/>
    <sheet name="RECAP #9516.00" sheetId="130" r:id="rId119"/>
    <sheet name="#9516.00 Funds Rec'd" sheetId="131" r:id="rId120"/>
    <sheet name="#9516.00 PM TIME" sheetId="133" r:id="rId121"/>
    <sheet name="#9516.00 Misc" sheetId="134" r:id="rId122"/>
    <sheet name="#9516.00 DCI Group" sheetId="132" r:id="rId123"/>
    <sheet name="#9516.00 Substance LLC" sheetId="161" r:id="rId124"/>
    <sheet name="RECAP #9517.00" sheetId="101" r:id="rId125"/>
    <sheet name="#9517.00 Funds Rec'd " sheetId="102" r:id="rId126"/>
    <sheet name="#9517.00 DCI Group" sheetId="103" r:id="rId127"/>
    <sheet name="#9517.00 PM TIME" sheetId="104" r:id="rId128"/>
    <sheet name="#9517.00 Misc" sheetId="105" r:id="rId129"/>
    <sheet name="#9517.00 Shive Hattery" sheetId="107" r:id="rId130"/>
    <sheet name="RECAP #9532.00" sheetId="110" r:id="rId131"/>
    <sheet name="#9532.00 Funds Rec'd" sheetId="111" r:id="rId132"/>
    <sheet name="#9532.00 McGough Construction" sheetId="112" r:id="rId133"/>
    <sheet name="#9532.00 PM TIME" sheetId="113" r:id="rId134"/>
    <sheet name="#9532.00 Misc" sheetId="114" r:id="rId135"/>
    <sheet name="#9532.00 OPN Architects" sheetId="143" r:id="rId136"/>
    <sheet name="#9532.00 McGough Constructi (2)" sheetId="177" r:id="rId137"/>
    <sheet name="RECAP #9534.00" sheetId="115" r:id="rId138"/>
    <sheet name="#9534.00 Funds Rec'd" sheetId="116" r:id="rId139"/>
    <sheet name="#9534.00 Samuels Group" sheetId="117" r:id="rId140"/>
    <sheet name="#9534.00 PM TIME" sheetId="118" r:id="rId141"/>
    <sheet name="#9534.00 Misc" sheetId="119" r:id="rId142"/>
    <sheet name="#9534.00 10Fold Architecture" sheetId="145" r:id="rId143"/>
    <sheet name="RECAP #9535.00" sheetId="120" r:id="rId144"/>
    <sheet name="#9535.00 Funds Rec'd" sheetId="121" r:id="rId145"/>
    <sheet name="#9535.00 Story Construction" sheetId="122" r:id="rId146"/>
    <sheet name="#9535.00 PM TIME" sheetId="123" r:id="rId147"/>
    <sheet name="#9535.00 Misc" sheetId="124" r:id="rId148"/>
    <sheet name="#9535.00 Genesis Architectural" sheetId="157" r:id="rId149"/>
    <sheet name="RECAP #9540.00" sheetId="125" r:id="rId150"/>
    <sheet name="#9540.00 Funds Rec'd" sheetId="126" r:id="rId151"/>
    <sheet name="#9540.00 Clark &amp; Enersen" sheetId="127" r:id="rId152"/>
    <sheet name="#9540.00 PM TIME" sheetId="128" r:id="rId153"/>
    <sheet name="#9540.00 Misc" sheetId="129" r:id="rId154"/>
    <sheet name=" Funds Rec'd incorrectly" sheetId="81" r:id="rId155"/>
    <sheet name="RECAP #XXXX.XX" sheetId="38" r:id="rId156"/>
    <sheet name="#XXXX.XX Funds Rec'd" sheetId="39" r:id="rId157"/>
    <sheet name="#XXXX.XX Vendor A " sheetId="40" r:id="rId158"/>
    <sheet name="#XXXX.XX PM TIME" sheetId="41" r:id="rId159"/>
    <sheet name="#XXXX.XX Misc" sheetId="42" r:id="rId160"/>
  </sheets>
  <externalReferences>
    <externalReference r:id="rId161"/>
    <externalReference r:id="rId162"/>
    <externalReference r:id="rId163"/>
  </externalReferences>
  <definedNames>
    <definedName name="_xlnm._FilterDatabase" localSheetId="0" hidden="1">FINANCIAL!$A$13:$K$13</definedName>
    <definedName name="_xlnm.Print_Titles" localSheetId="0">FINANCIAL!$2:$2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50" l="1"/>
  <c r="F26" i="50"/>
  <c r="F14" i="110"/>
  <c r="E14" i="110"/>
  <c r="D14" i="110"/>
  <c r="F28" i="177"/>
  <c r="D28" i="177"/>
  <c r="H27" i="177"/>
  <c r="H26" i="177"/>
  <c r="H28" i="177" s="1"/>
  <c r="F23" i="177"/>
  <c r="D23" i="177"/>
  <c r="G10" i="177"/>
  <c r="G11" i="177" s="1"/>
  <c r="G12" i="177" s="1"/>
  <c r="G13" i="177" s="1"/>
  <c r="G14" i="177" s="1"/>
  <c r="G15" i="177" s="1"/>
  <c r="G16" i="177" s="1"/>
  <c r="G17" i="177" s="1"/>
  <c r="G18" i="177" s="1"/>
  <c r="G19" i="177" s="1"/>
  <c r="G20" i="177" s="1"/>
  <c r="G21" i="177" s="1"/>
  <c r="E9" i="177"/>
  <c r="H9" i="177" s="1"/>
  <c r="H10" i="177" s="1"/>
  <c r="H11" i="177" s="1"/>
  <c r="H12" i="177" s="1"/>
  <c r="H13" i="177" s="1"/>
  <c r="H14" i="177" s="1"/>
  <c r="H15" i="177" s="1"/>
  <c r="H16" i="177" s="1"/>
  <c r="H17" i="177" s="1"/>
  <c r="H18" i="177" s="1"/>
  <c r="H19" i="177" s="1"/>
  <c r="H20" i="177" s="1"/>
  <c r="H21" i="177" s="1"/>
  <c r="A6" i="177"/>
  <c r="D3" i="177"/>
  <c r="A3" i="177"/>
  <c r="A2" i="177"/>
  <c r="A1" i="177"/>
  <c r="H23" i="177" l="1"/>
  <c r="E10" i="177"/>
  <c r="E11" i="177" s="1"/>
  <c r="E12" i="177" s="1"/>
  <c r="E13" i="177" s="1"/>
  <c r="E14" i="177" s="1"/>
  <c r="E15" i="177" s="1"/>
  <c r="E16" i="177" s="1"/>
  <c r="E17" i="177" s="1"/>
  <c r="E18" i="177" s="1"/>
  <c r="E19" i="177" s="1"/>
  <c r="E20" i="177" s="1"/>
  <c r="E21" i="177" s="1"/>
  <c r="F29" i="90" l="1"/>
  <c r="F27" i="90"/>
  <c r="F27" i="145"/>
  <c r="F26" i="145"/>
  <c r="E9" i="133"/>
  <c r="D73" i="144"/>
  <c r="D72" i="144"/>
  <c r="D71" i="144"/>
  <c r="D70" i="144"/>
  <c r="D69" i="144"/>
  <c r="D68" i="144"/>
  <c r="D62" i="144"/>
  <c r="D57" i="144"/>
  <c r="D56" i="144"/>
  <c r="D55" i="144"/>
  <c r="D54" i="144"/>
  <c r="D48" i="144"/>
  <c r="D47" i="144"/>
  <c r="D46" i="144"/>
  <c r="D45" i="144"/>
  <c r="D39" i="144"/>
  <c r="D38" i="144"/>
  <c r="D37" i="144"/>
  <c r="D36" i="144"/>
  <c r="D31" i="144"/>
  <c r="D30" i="144"/>
  <c r="D29" i="144"/>
  <c r="D27" i="144"/>
  <c r="F26" i="127"/>
  <c r="F27" i="98"/>
  <c r="F26" i="122"/>
  <c r="F28" i="160"/>
  <c r="F26" i="160"/>
  <c r="F26" i="162" l="1"/>
  <c r="F26" i="103" l="1"/>
  <c r="F26" i="132" l="1"/>
  <c r="F26" i="20" l="1"/>
  <c r="E9" i="51" l="1"/>
  <c r="E9" i="118" l="1"/>
  <c r="F28" i="82"/>
  <c r="F26" i="135"/>
  <c r="I32" i="36"/>
  <c r="I33" i="36" s="1"/>
  <c r="I34" i="36" s="1"/>
  <c r="I35" i="36" s="1"/>
  <c r="I36" i="36" s="1"/>
  <c r="H32" i="36"/>
  <c r="H33" i="36" s="1"/>
  <c r="H34" i="36" s="1"/>
  <c r="H35" i="36" s="1"/>
  <c r="H36" i="36" s="1"/>
  <c r="F32" i="36"/>
  <c r="F33" i="36" s="1"/>
  <c r="F34" i="36" s="1"/>
  <c r="F35" i="36" s="1"/>
  <c r="F36" i="36" s="1"/>
  <c r="I32" i="57"/>
  <c r="I33" i="57" s="1"/>
  <c r="I34" i="57" s="1"/>
  <c r="I35" i="57" s="1"/>
  <c r="H32" i="57"/>
  <c r="H33" i="57" s="1"/>
  <c r="H34" i="57" s="1"/>
  <c r="H35" i="57" s="1"/>
  <c r="F32" i="57"/>
  <c r="F33" i="57"/>
  <c r="F34" i="57" s="1"/>
  <c r="F35" i="57" s="1"/>
  <c r="I26" i="91"/>
  <c r="I27" i="91" s="1"/>
  <c r="I28" i="91" s="1"/>
  <c r="I29" i="91" s="1"/>
  <c r="I30" i="91" s="1"/>
  <c r="H26" i="91"/>
  <c r="H27" i="91" s="1"/>
  <c r="H28" i="91" s="1"/>
  <c r="H29" i="91" s="1"/>
  <c r="H30" i="91" s="1"/>
  <c r="F26" i="91"/>
  <c r="F27" i="91" s="1"/>
  <c r="F28" i="91" s="1"/>
  <c r="F29" i="91" s="1"/>
  <c r="F30" i="91" s="1"/>
  <c r="F22" i="104"/>
  <c r="F23" i="104" s="1"/>
  <c r="F24" i="104" s="1"/>
  <c r="F22" i="21"/>
  <c r="F23" i="21" s="1"/>
  <c r="F30" i="142"/>
  <c r="F29" i="142"/>
  <c r="F30" i="94" l="1"/>
  <c r="F27" i="161" l="1"/>
  <c r="F26" i="154"/>
  <c r="F26" i="149" l="1"/>
  <c r="F31" i="158" l="1"/>
  <c r="F30" i="158"/>
  <c r="F28" i="158"/>
  <c r="F27" i="158"/>
  <c r="F26" i="158"/>
  <c r="F27" i="143" l="1"/>
  <c r="F26" i="143"/>
  <c r="F26" i="117" l="1"/>
  <c r="F36" i="175"/>
  <c r="F35" i="175"/>
  <c r="F27" i="175"/>
  <c r="F26" i="175"/>
  <c r="D27" i="45"/>
  <c r="F26" i="45"/>
  <c r="F26" i="139" l="1"/>
  <c r="D27" i="50" l="1"/>
  <c r="D26" i="50"/>
  <c r="H28" i="51" l="1"/>
  <c r="H29" i="51" s="1"/>
  <c r="H30" i="51" s="1"/>
  <c r="I30" i="46"/>
  <c r="I31" i="46" s="1"/>
  <c r="I32" i="46" s="1"/>
  <c r="H30" i="46"/>
  <c r="H31" i="46" s="1"/>
  <c r="H32" i="46" s="1"/>
  <c r="F30" i="46"/>
  <c r="F31" i="46" s="1"/>
  <c r="F32" i="46" s="1"/>
  <c r="F33" i="107"/>
  <c r="F32" i="107"/>
  <c r="F31" i="107"/>
  <c r="F28" i="107"/>
  <c r="E23" i="88" l="1"/>
  <c r="H23" i="176"/>
  <c r="F23" i="88" s="1"/>
  <c r="F23" i="176"/>
  <c r="D23" i="176"/>
  <c r="D23" i="88" s="1"/>
  <c r="G10" i="176"/>
  <c r="G11" i="176" s="1"/>
  <c r="G12" i="176" s="1"/>
  <c r="G13" i="176" s="1"/>
  <c r="G14" i="176" s="1"/>
  <c r="G15" i="176" s="1"/>
  <c r="G16" i="176" s="1"/>
  <c r="G17" i="176" s="1"/>
  <c r="G18" i="176" s="1"/>
  <c r="G19" i="176" s="1"/>
  <c r="G20" i="176" s="1"/>
  <c r="G21" i="176" s="1"/>
  <c r="E9" i="176"/>
  <c r="E10" i="176" s="1"/>
  <c r="E11" i="176" s="1"/>
  <c r="E12" i="176" s="1"/>
  <c r="E13" i="176" s="1"/>
  <c r="E14" i="176" s="1"/>
  <c r="E15" i="176" s="1"/>
  <c r="E16" i="176" s="1"/>
  <c r="E17" i="176" s="1"/>
  <c r="E18" i="176" s="1"/>
  <c r="E19" i="176" s="1"/>
  <c r="E20" i="176" s="1"/>
  <c r="E21" i="176" s="1"/>
  <c r="A6" i="176"/>
  <c r="D3" i="176"/>
  <c r="A3" i="176"/>
  <c r="A2" i="176"/>
  <c r="A1" i="176"/>
  <c r="H9" i="176" l="1"/>
  <c r="H10" i="176" s="1"/>
  <c r="H11" i="176" s="1"/>
  <c r="H12" i="176" s="1"/>
  <c r="H13" i="176" s="1"/>
  <c r="H14" i="176" s="1"/>
  <c r="H15" i="176" s="1"/>
  <c r="H16" i="176" s="1"/>
  <c r="H17" i="176" s="1"/>
  <c r="H18" i="176" s="1"/>
  <c r="H19" i="176" s="1"/>
  <c r="H20" i="176" s="1"/>
  <c r="H21" i="176" s="1"/>
  <c r="D17" i="43" l="1"/>
  <c r="H27" i="175"/>
  <c r="H28" i="175"/>
  <c r="H29" i="175"/>
  <c r="H30" i="175"/>
  <c r="H31" i="175"/>
  <c r="H32" i="175"/>
  <c r="H33" i="175"/>
  <c r="H34" i="175"/>
  <c r="H35" i="175"/>
  <c r="H26" i="175"/>
  <c r="D36" i="175"/>
  <c r="F23" i="175"/>
  <c r="E17" i="43" s="1"/>
  <c r="D23" i="175"/>
  <c r="G10" i="175"/>
  <c r="G11" i="175" s="1"/>
  <c r="G12" i="175" s="1"/>
  <c r="G13" i="175" s="1"/>
  <c r="G14" i="175" s="1"/>
  <c r="G15" i="175" s="1"/>
  <c r="G16" i="175" s="1"/>
  <c r="G17" i="175" s="1"/>
  <c r="G18" i="175" s="1"/>
  <c r="G19" i="175" s="1"/>
  <c r="G20" i="175" s="1"/>
  <c r="G21" i="175" s="1"/>
  <c r="E9" i="175"/>
  <c r="E10" i="175" s="1"/>
  <c r="E11" i="175" s="1"/>
  <c r="E12" i="175" s="1"/>
  <c r="E13" i="175" s="1"/>
  <c r="E14" i="175" s="1"/>
  <c r="E15" i="175" s="1"/>
  <c r="E16" i="175" s="1"/>
  <c r="E17" i="175" s="1"/>
  <c r="E18" i="175" s="1"/>
  <c r="E19" i="175" s="1"/>
  <c r="E20" i="175" s="1"/>
  <c r="E21" i="175" s="1"/>
  <c r="A6" i="175"/>
  <c r="D3" i="175"/>
  <c r="A3" i="175"/>
  <c r="A2" i="175"/>
  <c r="A1" i="175"/>
  <c r="D31" i="174"/>
  <c r="H30" i="174"/>
  <c r="H29" i="174"/>
  <c r="H26" i="174"/>
  <c r="F23" i="174"/>
  <c r="E22" i="88" s="1"/>
  <c r="D23" i="174"/>
  <c r="D22" i="88" s="1"/>
  <c r="G10" i="174"/>
  <c r="G11" i="174" s="1"/>
  <c r="G12" i="174" s="1"/>
  <c r="G13" i="174" s="1"/>
  <c r="G14" i="174" s="1"/>
  <c r="G15" i="174" s="1"/>
  <c r="G16" i="174" s="1"/>
  <c r="G17" i="174" s="1"/>
  <c r="G18" i="174" s="1"/>
  <c r="G19" i="174" s="1"/>
  <c r="G20" i="174" s="1"/>
  <c r="G21" i="174" s="1"/>
  <c r="E9" i="174"/>
  <c r="E10" i="174" s="1"/>
  <c r="E11" i="174" s="1"/>
  <c r="E12" i="174" s="1"/>
  <c r="E13" i="174" s="1"/>
  <c r="E14" i="174" s="1"/>
  <c r="E15" i="174" s="1"/>
  <c r="E16" i="174" s="1"/>
  <c r="E17" i="174" s="1"/>
  <c r="E18" i="174" s="1"/>
  <c r="E19" i="174" s="1"/>
  <c r="E20" i="174" s="1"/>
  <c r="E21" i="174" s="1"/>
  <c r="A6" i="174"/>
  <c r="D3" i="174"/>
  <c r="A3" i="174"/>
  <c r="A2" i="174"/>
  <c r="A1" i="174"/>
  <c r="H36" i="175" l="1"/>
  <c r="H9" i="175"/>
  <c r="H10" i="175" s="1"/>
  <c r="H11" i="175" s="1"/>
  <c r="H12" i="175" s="1"/>
  <c r="H13" i="175" s="1"/>
  <c r="H14" i="175" s="1"/>
  <c r="H15" i="175" s="1"/>
  <c r="H16" i="175" s="1"/>
  <c r="H17" i="175" s="1"/>
  <c r="H18" i="175" s="1"/>
  <c r="H19" i="175" s="1"/>
  <c r="H20" i="175" s="1"/>
  <c r="H21" i="175" s="1"/>
  <c r="H23" i="175"/>
  <c r="F17" i="43" s="1"/>
  <c r="H23" i="174"/>
  <c r="F22" i="88" s="1"/>
  <c r="H27" i="174"/>
  <c r="F31" i="174"/>
  <c r="H28" i="174"/>
  <c r="H9" i="174"/>
  <c r="H10" i="174" s="1"/>
  <c r="H11" i="174" s="1"/>
  <c r="H12" i="174" s="1"/>
  <c r="H13" i="174" s="1"/>
  <c r="H14" i="174" s="1"/>
  <c r="H15" i="174" s="1"/>
  <c r="H16" i="174" s="1"/>
  <c r="H17" i="174" s="1"/>
  <c r="H18" i="174" s="1"/>
  <c r="H19" i="174" s="1"/>
  <c r="H20" i="174" s="1"/>
  <c r="H21" i="174" s="1"/>
  <c r="H31" i="174" l="1"/>
  <c r="F21" i="88" l="1"/>
  <c r="E21" i="88"/>
  <c r="D21" i="88"/>
  <c r="F26" i="173"/>
  <c r="D26" i="173"/>
  <c r="F23" i="173"/>
  <c r="D23" i="173"/>
  <c r="G12" i="173"/>
  <c r="G13" i="173" s="1"/>
  <c r="G14" i="173" s="1"/>
  <c r="G15" i="173" s="1"/>
  <c r="G16" i="173" s="1"/>
  <c r="G17" i="173" s="1"/>
  <c r="G18" i="173" s="1"/>
  <c r="G19" i="173" s="1"/>
  <c r="G20" i="173" s="1"/>
  <c r="G21" i="173" s="1"/>
  <c r="G11" i="173"/>
  <c r="G10" i="173"/>
  <c r="E9" i="173"/>
  <c r="E10" i="173" s="1"/>
  <c r="E11" i="173" s="1"/>
  <c r="E12" i="173" s="1"/>
  <c r="E13" i="173" s="1"/>
  <c r="E14" i="173" s="1"/>
  <c r="E15" i="173" s="1"/>
  <c r="E16" i="173" s="1"/>
  <c r="E17" i="173" s="1"/>
  <c r="E18" i="173" s="1"/>
  <c r="E19" i="173" s="1"/>
  <c r="E20" i="173" s="1"/>
  <c r="E21" i="173" s="1"/>
  <c r="A6" i="173"/>
  <c r="D3" i="173"/>
  <c r="A3" i="173"/>
  <c r="A2" i="173"/>
  <c r="A1" i="173"/>
  <c r="F26" i="172"/>
  <c r="F27" i="172" s="1"/>
  <c r="D26" i="172"/>
  <c r="D27" i="172" s="1"/>
  <c r="F20" i="88"/>
  <c r="E20" i="88"/>
  <c r="D20" i="88"/>
  <c r="F23" i="172"/>
  <c r="D23" i="172"/>
  <c r="H23" i="172" s="1"/>
  <c r="G10" i="172"/>
  <c r="G11" i="172" s="1"/>
  <c r="G12" i="172" s="1"/>
  <c r="G13" i="172" s="1"/>
  <c r="G14" i="172" s="1"/>
  <c r="G15" i="172" s="1"/>
  <c r="G16" i="172" s="1"/>
  <c r="G17" i="172" s="1"/>
  <c r="G18" i="172" s="1"/>
  <c r="G19" i="172" s="1"/>
  <c r="G20" i="172" s="1"/>
  <c r="G21" i="172" s="1"/>
  <c r="E9" i="172"/>
  <c r="E10" i="172" s="1"/>
  <c r="E11" i="172" s="1"/>
  <c r="E12" i="172" s="1"/>
  <c r="E13" i="172" s="1"/>
  <c r="E14" i="172" s="1"/>
  <c r="E15" i="172" s="1"/>
  <c r="E16" i="172" s="1"/>
  <c r="E17" i="172" s="1"/>
  <c r="E18" i="172" s="1"/>
  <c r="E19" i="172" s="1"/>
  <c r="E20" i="172" s="1"/>
  <c r="E21" i="172" s="1"/>
  <c r="A6" i="172"/>
  <c r="D3" i="172"/>
  <c r="A3" i="172"/>
  <c r="A2" i="172"/>
  <c r="A1" i="172"/>
  <c r="F23" i="171"/>
  <c r="E19" i="88" s="1"/>
  <c r="D23" i="171"/>
  <c r="D19" i="88" s="1"/>
  <c r="G10" i="171"/>
  <c r="G11" i="171" s="1"/>
  <c r="G12" i="171" s="1"/>
  <c r="G13" i="171" s="1"/>
  <c r="G14" i="171" s="1"/>
  <c r="G15" i="171" s="1"/>
  <c r="G16" i="171" s="1"/>
  <c r="G17" i="171" s="1"/>
  <c r="G18" i="171" s="1"/>
  <c r="G19" i="171" s="1"/>
  <c r="G20" i="171" s="1"/>
  <c r="G21" i="171" s="1"/>
  <c r="E9" i="171"/>
  <c r="H9" i="171" s="1"/>
  <c r="H10" i="171" s="1"/>
  <c r="H11" i="171" s="1"/>
  <c r="H12" i="171" s="1"/>
  <c r="H13" i="171" s="1"/>
  <c r="H14" i="171" s="1"/>
  <c r="H15" i="171" s="1"/>
  <c r="H16" i="171" s="1"/>
  <c r="H17" i="171" s="1"/>
  <c r="H18" i="171" s="1"/>
  <c r="H19" i="171" s="1"/>
  <c r="H20" i="171" s="1"/>
  <c r="H21" i="171" s="1"/>
  <c r="A6" i="171"/>
  <c r="D3" i="171"/>
  <c r="A3" i="171"/>
  <c r="A2" i="171"/>
  <c r="A1" i="171"/>
  <c r="F27" i="173" l="1"/>
  <c r="H26" i="173"/>
  <c r="D27" i="173"/>
  <c r="H9" i="173"/>
  <c r="H10" i="173" s="1"/>
  <c r="H11" i="173" s="1"/>
  <c r="H12" i="173" s="1"/>
  <c r="H13" i="173" s="1"/>
  <c r="H14" i="173" s="1"/>
  <c r="H15" i="173" s="1"/>
  <c r="H16" i="173" s="1"/>
  <c r="H17" i="173" s="1"/>
  <c r="H18" i="173" s="1"/>
  <c r="H19" i="173" s="1"/>
  <c r="H20" i="173" s="1"/>
  <c r="H21" i="173" s="1"/>
  <c r="H23" i="173"/>
  <c r="H26" i="172"/>
  <c r="H27" i="172" s="1"/>
  <c r="H9" i="172"/>
  <c r="H10" i="172" s="1"/>
  <c r="H11" i="172" s="1"/>
  <c r="H12" i="172" s="1"/>
  <c r="H13" i="172" s="1"/>
  <c r="H14" i="172" s="1"/>
  <c r="H15" i="172" s="1"/>
  <c r="H16" i="172" s="1"/>
  <c r="H17" i="172" s="1"/>
  <c r="H18" i="172" s="1"/>
  <c r="H19" i="172" s="1"/>
  <c r="H20" i="172" s="1"/>
  <c r="H21" i="172" s="1"/>
  <c r="H23" i="171"/>
  <c r="F19" i="88" s="1"/>
  <c r="E10" i="171"/>
  <c r="E11" i="171" s="1"/>
  <c r="E12" i="171" s="1"/>
  <c r="E13" i="171" s="1"/>
  <c r="E14" i="171" s="1"/>
  <c r="E15" i="171" s="1"/>
  <c r="E16" i="171" s="1"/>
  <c r="E17" i="171" s="1"/>
  <c r="E18" i="171" s="1"/>
  <c r="E19" i="171" s="1"/>
  <c r="E20" i="171" s="1"/>
  <c r="E21" i="171" s="1"/>
  <c r="H27" i="173" l="1"/>
  <c r="H30" i="90"/>
  <c r="D31" i="90"/>
  <c r="F23" i="170"/>
  <c r="E18" i="88" s="1"/>
  <c r="D23" i="170"/>
  <c r="G10" i="170"/>
  <c r="G11" i="170" s="1"/>
  <c r="G12" i="170" s="1"/>
  <c r="G13" i="170" s="1"/>
  <c r="G14" i="170" s="1"/>
  <c r="G15" i="170" s="1"/>
  <c r="G16" i="170" s="1"/>
  <c r="G17" i="170" s="1"/>
  <c r="G18" i="170" s="1"/>
  <c r="G19" i="170" s="1"/>
  <c r="G20" i="170" s="1"/>
  <c r="G21" i="170" s="1"/>
  <c r="E9" i="170"/>
  <c r="E10" i="170" s="1"/>
  <c r="E11" i="170" s="1"/>
  <c r="E12" i="170" s="1"/>
  <c r="E13" i="170" s="1"/>
  <c r="E14" i="170" s="1"/>
  <c r="E15" i="170" s="1"/>
  <c r="E16" i="170" s="1"/>
  <c r="E17" i="170" s="1"/>
  <c r="E18" i="170" s="1"/>
  <c r="E19" i="170" s="1"/>
  <c r="E20" i="170" s="1"/>
  <c r="E21" i="170" s="1"/>
  <c r="A6" i="170"/>
  <c r="D3" i="170"/>
  <c r="A3" i="170"/>
  <c r="A2" i="170"/>
  <c r="A1" i="170"/>
  <c r="H27" i="169"/>
  <c r="H28" i="169"/>
  <c r="H29" i="169"/>
  <c r="H30" i="169"/>
  <c r="H26" i="169"/>
  <c r="F31" i="169"/>
  <c r="F23" i="169"/>
  <c r="E17" i="88" s="1"/>
  <c r="D23" i="169"/>
  <c r="D17" i="88" s="1"/>
  <c r="G10" i="169"/>
  <c r="G11" i="169" s="1"/>
  <c r="G12" i="169" s="1"/>
  <c r="G13" i="169" s="1"/>
  <c r="G14" i="169" s="1"/>
  <c r="G15" i="169" s="1"/>
  <c r="G16" i="169" s="1"/>
  <c r="G17" i="169" s="1"/>
  <c r="G18" i="169" s="1"/>
  <c r="G19" i="169" s="1"/>
  <c r="G20" i="169" s="1"/>
  <c r="G21" i="169" s="1"/>
  <c r="E9" i="169"/>
  <c r="H9" i="169" s="1"/>
  <c r="H10" i="169" s="1"/>
  <c r="H11" i="169" s="1"/>
  <c r="H12" i="169" s="1"/>
  <c r="H13" i="169" s="1"/>
  <c r="H14" i="169" s="1"/>
  <c r="H15" i="169" s="1"/>
  <c r="H16" i="169" s="1"/>
  <c r="H17" i="169" s="1"/>
  <c r="H18" i="169" s="1"/>
  <c r="H19" i="169" s="1"/>
  <c r="H20" i="169" s="1"/>
  <c r="H21" i="169" s="1"/>
  <c r="A6" i="169"/>
  <c r="D3" i="169"/>
  <c r="A3" i="169"/>
  <c r="A2" i="169"/>
  <c r="A1" i="169"/>
  <c r="F23" i="168"/>
  <c r="D23" i="168"/>
  <c r="D16" i="88" s="1"/>
  <c r="G11" i="168"/>
  <c r="G12" i="168" s="1"/>
  <c r="G13" i="168" s="1"/>
  <c r="G14" i="168" s="1"/>
  <c r="G15" i="168" s="1"/>
  <c r="G16" i="168" s="1"/>
  <c r="G17" i="168" s="1"/>
  <c r="G18" i="168" s="1"/>
  <c r="G19" i="168" s="1"/>
  <c r="G20" i="168" s="1"/>
  <c r="G21" i="168" s="1"/>
  <c r="G10" i="168"/>
  <c r="E9" i="168"/>
  <c r="E10" i="168" s="1"/>
  <c r="E11" i="168" s="1"/>
  <c r="E12" i="168" s="1"/>
  <c r="E13" i="168" s="1"/>
  <c r="E14" i="168" s="1"/>
  <c r="E15" i="168" s="1"/>
  <c r="E16" i="168" s="1"/>
  <c r="E17" i="168" s="1"/>
  <c r="E18" i="168" s="1"/>
  <c r="E19" i="168" s="1"/>
  <c r="E20" i="168" s="1"/>
  <c r="E21" i="168" s="1"/>
  <c r="A6" i="168"/>
  <c r="D3" i="168"/>
  <c r="A3" i="168"/>
  <c r="A2" i="168"/>
  <c r="A1" i="168"/>
  <c r="D26" i="35"/>
  <c r="D27" i="35"/>
  <c r="F28" i="35"/>
  <c r="F27" i="35"/>
  <c r="H27" i="127"/>
  <c r="H28" i="127"/>
  <c r="H29" i="127"/>
  <c r="H26" i="127"/>
  <c r="F23" i="167"/>
  <c r="E15" i="88" s="1"/>
  <c r="D23" i="167"/>
  <c r="D15" i="88" s="1"/>
  <c r="G10" i="167"/>
  <c r="G11" i="167" s="1"/>
  <c r="G12" i="167" s="1"/>
  <c r="G13" i="167" s="1"/>
  <c r="G14" i="167" s="1"/>
  <c r="G15" i="167" s="1"/>
  <c r="G16" i="167" s="1"/>
  <c r="G17" i="167" s="1"/>
  <c r="G18" i="167" s="1"/>
  <c r="G19" i="167" s="1"/>
  <c r="G20" i="167" s="1"/>
  <c r="G21" i="167" s="1"/>
  <c r="E9" i="167"/>
  <c r="H9" i="167" s="1"/>
  <c r="H10" i="167" s="1"/>
  <c r="H11" i="167" s="1"/>
  <c r="H12" i="167" s="1"/>
  <c r="H13" i="167" s="1"/>
  <c r="H14" i="167" s="1"/>
  <c r="H15" i="167" s="1"/>
  <c r="H16" i="167" s="1"/>
  <c r="H17" i="167" s="1"/>
  <c r="H18" i="167" s="1"/>
  <c r="H19" i="167" s="1"/>
  <c r="H20" i="167" s="1"/>
  <c r="H21" i="167" s="1"/>
  <c r="A6" i="167"/>
  <c r="D3" i="167"/>
  <c r="A3" i="167"/>
  <c r="A2" i="167"/>
  <c r="A1" i="167"/>
  <c r="H23" i="168" l="1"/>
  <c r="F16" i="88" s="1"/>
  <c r="H23" i="170"/>
  <c r="F18" i="88" s="1"/>
  <c r="D18" i="88"/>
  <c r="E16" i="88"/>
  <c r="H9" i="170"/>
  <c r="H10" i="170" s="1"/>
  <c r="H11" i="170" s="1"/>
  <c r="H12" i="170" s="1"/>
  <c r="H13" i="170" s="1"/>
  <c r="H14" i="170" s="1"/>
  <c r="H15" i="170" s="1"/>
  <c r="H16" i="170" s="1"/>
  <c r="H17" i="170" s="1"/>
  <c r="H18" i="170" s="1"/>
  <c r="H19" i="170" s="1"/>
  <c r="H20" i="170" s="1"/>
  <c r="H21" i="170" s="1"/>
  <c r="E10" i="169"/>
  <c r="E11" i="169" s="1"/>
  <c r="E12" i="169" s="1"/>
  <c r="E13" i="169" s="1"/>
  <c r="E14" i="169" s="1"/>
  <c r="E15" i="169" s="1"/>
  <c r="E16" i="169" s="1"/>
  <c r="E17" i="169" s="1"/>
  <c r="E18" i="169" s="1"/>
  <c r="E19" i="169" s="1"/>
  <c r="E20" i="169" s="1"/>
  <c r="E21" i="169" s="1"/>
  <c r="D31" i="169"/>
  <c r="H23" i="169"/>
  <c r="F17" i="88" s="1"/>
  <c r="H31" i="169"/>
  <c r="H9" i="168"/>
  <c r="H10" i="168" s="1"/>
  <c r="H11" i="168" s="1"/>
  <c r="H12" i="168" s="1"/>
  <c r="H13" i="168" s="1"/>
  <c r="H14" i="168" s="1"/>
  <c r="H15" i="168" s="1"/>
  <c r="H16" i="168" s="1"/>
  <c r="H17" i="168" s="1"/>
  <c r="H18" i="168" s="1"/>
  <c r="H19" i="168" s="1"/>
  <c r="H20" i="168" s="1"/>
  <c r="H21" i="168" s="1"/>
  <c r="H23" i="167"/>
  <c r="F15" i="88" s="1"/>
  <c r="E10" i="167"/>
  <c r="E11" i="167" s="1"/>
  <c r="E12" i="167" s="1"/>
  <c r="E13" i="167" s="1"/>
  <c r="E14" i="167" s="1"/>
  <c r="E15" i="167" s="1"/>
  <c r="E16" i="167" s="1"/>
  <c r="E17" i="167" s="1"/>
  <c r="E18" i="167" s="1"/>
  <c r="E19" i="167" s="1"/>
  <c r="E20" i="167" s="1"/>
  <c r="E21" i="167" s="1"/>
  <c r="H29" i="82" l="1"/>
  <c r="D30" i="82"/>
  <c r="H30" i="158" l="1"/>
  <c r="D27" i="158"/>
  <c r="D29" i="158"/>
  <c r="D28" i="158"/>
  <c r="D26" i="158"/>
  <c r="D31" i="158" l="1"/>
  <c r="D27" i="108" l="1"/>
  <c r="D26" i="108"/>
  <c r="F26" i="108"/>
  <c r="F23" i="166"/>
  <c r="E16" i="43" s="1"/>
  <c r="D23" i="166"/>
  <c r="D16" i="43" s="1"/>
  <c r="G10" i="166"/>
  <c r="G11" i="166" s="1"/>
  <c r="G12" i="166" s="1"/>
  <c r="G13" i="166" s="1"/>
  <c r="G14" i="166" s="1"/>
  <c r="G15" i="166" s="1"/>
  <c r="G16" i="166" s="1"/>
  <c r="G17" i="166" s="1"/>
  <c r="G18" i="166" s="1"/>
  <c r="G19" i="166" s="1"/>
  <c r="G20" i="166" s="1"/>
  <c r="G21" i="166" s="1"/>
  <c r="E9" i="166"/>
  <c r="E10" i="166" s="1"/>
  <c r="E11" i="166" s="1"/>
  <c r="E12" i="166" s="1"/>
  <c r="E13" i="166" s="1"/>
  <c r="E14" i="166" s="1"/>
  <c r="E15" i="166" s="1"/>
  <c r="E16" i="166" s="1"/>
  <c r="E17" i="166" s="1"/>
  <c r="E18" i="166" s="1"/>
  <c r="E19" i="166" s="1"/>
  <c r="E20" i="166" s="1"/>
  <c r="E21" i="166" s="1"/>
  <c r="A6" i="166"/>
  <c r="D3" i="166"/>
  <c r="A3" i="166"/>
  <c r="A2" i="166"/>
  <c r="A1" i="166"/>
  <c r="F23" i="165"/>
  <c r="E15" i="43" s="1"/>
  <c r="D23" i="165"/>
  <c r="H23" i="165" s="1"/>
  <c r="F15" i="43" s="1"/>
  <c r="G10" i="165"/>
  <c r="G11" i="165" s="1"/>
  <c r="G12" i="165" s="1"/>
  <c r="G13" i="165" s="1"/>
  <c r="G14" i="165" s="1"/>
  <c r="G15" i="165" s="1"/>
  <c r="G16" i="165" s="1"/>
  <c r="G17" i="165" s="1"/>
  <c r="G18" i="165" s="1"/>
  <c r="G19" i="165" s="1"/>
  <c r="G20" i="165" s="1"/>
  <c r="G21" i="165" s="1"/>
  <c r="E9" i="165"/>
  <c r="E10" i="165" s="1"/>
  <c r="E11" i="165" s="1"/>
  <c r="E12" i="165" s="1"/>
  <c r="E13" i="165" s="1"/>
  <c r="E14" i="165" s="1"/>
  <c r="E15" i="165" s="1"/>
  <c r="E16" i="165" s="1"/>
  <c r="E17" i="165" s="1"/>
  <c r="E18" i="165" s="1"/>
  <c r="E19" i="165" s="1"/>
  <c r="E20" i="165" s="1"/>
  <c r="E21" i="165" s="1"/>
  <c r="A6" i="165"/>
  <c r="D3" i="165"/>
  <c r="A3" i="165"/>
  <c r="A2" i="165"/>
  <c r="A1" i="165"/>
  <c r="E14" i="43"/>
  <c r="D14" i="43"/>
  <c r="F23" i="164"/>
  <c r="D23" i="164"/>
  <c r="G10" i="164"/>
  <c r="G11" i="164" s="1"/>
  <c r="G12" i="164" s="1"/>
  <c r="G13" i="164" s="1"/>
  <c r="G14" i="164" s="1"/>
  <c r="G15" i="164" s="1"/>
  <c r="G16" i="164" s="1"/>
  <c r="G17" i="164" s="1"/>
  <c r="G18" i="164" s="1"/>
  <c r="G19" i="164" s="1"/>
  <c r="G20" i="164" s="1"/>
  <c r="G21" i="164" s="1"/>
  <c r="E9" i="164"/>
  <c r="E10" i="164" s="1"/>
  <c r="E11" i="164" s="1"/>
  <c r="E12" i="164" s="1"/>
  <c r="E13" i="164" s="1"/>
  <c r="E14" i="164" s="1"/>
  <c r="E15" i="164" s="1"/>
  <c r="E16" i="164" s="1"/>
  <c r="E17" i="164" s="1"/>
  <c r="E18" i="164" s="1"/>
  <c r="E19" i="164" s="1"/>
  <c r="E20" i="164" s="1"/>
  <c r="E21" i="164" s="1"/>
  <c r="A6" i="164"/>
  <c r="D3" i="164"/>
  <c r="A3" i="164"/>
  <c r="A2" i="164"/>
  <c r="A1" i="164"/>
  <c r="F27" i="122"/>
  <c r="D15" i="43" l="1"/>
  <c r="H23" i="166"/>
  <c r="F16" i="43" s="1"/>
  <c r="H9" i="166"/>
  <c r="H10" i="166" s="1"/>
  <c r="H11" i="166" s="1"/>
  <c r="H12" i="166" s="1"/>
  <c r="H13" i="166" s="1"/>
  <c r="H14" i="166" s="1"/>
  <c r="H15" i="166" s="1"/>
  <c r="H16" i="166" s="1"/>
  <c r="H17" i="166" s="1"/>
  <c r="H18" i="166" s="1"/>
  <c r="H19" i="166" s="1"/>
  <c r="H20" i="166" s="1"/>
  <c r="H21" i="166" s="1"/>
  <c r="H9" i="165"/>
  <c r="H10" i="165" s="1"/>
  <c r="H11" i="165" s="1"/>
  <c r="H12" i="165" s="1"/>
  <c r="H13" i="165" s="1"/>
  <c r="H14" i="165" s="1"/>
  <c r="H15" i="165" s="1"/>
  <c r="H16" i="165" s="1"/>
  <c r="H17" i="165" s="1"/>
  <c r="H18" i="165" s="1"/>
  <c r="H19" i="165" s="1"/>
  <c r="H20" i="165" s="1"/>
  <c r="H21" i="165" s="1"/>
  <c r="H23" i="164"/>
  <c r="F14" i="43" s="1"/>
  <c r="H9" i="164"/>
  <c r="H10" i="164" s="1"/>
  <c r="H11" i="164" s="1"/>
  <c r="H12" i="164" s="1"/>
  <c r="H13" i="164" s="1"/>
  <c r="H14" i="164" s="1"/>
  <c r="H15" i="164" s="1"/>
  <c r="H16" i="164" s="1"/>
  <c r="H17" i="164" s="1"/>
  <c r="H18" i="164" s="1"/>
  <c r="H19" i="164" s="1"/>
  <c r="H20" i="164" s="1"/>
  <c r="H21" i="164" s="1"/>
  <c r="F27" i="45"/>
  <c r="F31" i="94"/>
  <c r="F29" i="94"/>
  <c r="F27" i="162"/>
  <c r="E9" i="72" l="1"/>
  <c r="F26" i="98" l="1"/>
  <c r="A1" i="159" l="1"/>
  <c r="E9" i="26" l="1"/>
  <c r="F54" i="144" l="1"/>
  <c r="F64" i="144"/>
  <c r="F63" i="144"/>
  <c r="F61" i="144"/>
  <c r="F56" i="144"/>
  <c r="F23" i="163"/>
  <c r="E17" i="33" s="1"/>
  <c r="D23" i="163"/>
  <c r="D17" i="33" s="1"/>
  <c r="G10" i="163"/>
  <c r="G11" i="163" s="1"/>
  <c r="G12" i="163" s="1"/>
  <c r="G13" i="163" s="1"/>
  <c r="G14" i="163" s="1"/>
  <c r="G15" i="163" s="1"/>
  <c r="G16" i="163" s="1"/>
  <c r="G17" i="163" s="1"/>
  <c r="G18" i="163" s="1"/>
  <c r="G19" i="163" s="1"/>
  <c r="G20" i="163" s="1"/>
  <c r="G21" i="163" s="1"/>
  <c r="E9" i="163"/>
  <c r="E10" i="163" s="1"/>
  <c r="E11" i="163" s="1"/>
  <c r="E12" i="163" s="1"/>
  <c r="E13" i="163" s="1"/>
  <c r="E14" i="163" s="1"/>
  <c r="E15" i="163" s="1"/>
  <c r="E16" i="163" s="1"/>
  <c r="E17" i="163" s="1"/>
  <c r="E18" i="163" s="1"/>
  <c r="E19" i="163" s="1"/>
  <c r="E20" i="163" s="1"/>
  <c r="E21" i="163" s="1"/>
  <c r="A6" i="163"/>
  <c r="D3" i="163"/>
  <c r="A3" i="163"/>
  <c r="A2" i="163"/>
  <c r="A1" i="163"/>
  <c r="H23" i="163" l="1"/>
  <c r="F17" i="33" s="1"/>
  <c r="H9" i="163"/>
  <c r="H10" i="163" s="1"/>
  <c r="H11" i="163" s="1"/>
  <c r="H12" i="163" s="1"/>
  <c r="H13" i="163" s="1"/>
  <c r="H14" i="163" s="1"/>
  <c r="H15" i="163" s="1"/>
  <c r="H16" i="163" s="1"/>
  <c r="H17" i="163" s="1"/>
  <c r="H18" i="163" s="1"/>
  <c r="H19" i="163" s="1"/>
  <c r="H20" i="163" s="1"/>
  <c r="H21" i="163" s="1"/>
  <c r="F65" i="144"/>
  <c r="F58" i="144"/>
  <c r="F50" i="144"/>
  <c r="F49" i="144"/>
  <c r="F48" i="144"/>
  <c r="F41" i="144"/>
  <c r="F40" i="144"/>
  <c r="F39" i="144"/>
  <c r="F37" i="144"/>
  <c r="F69" i="144" s="1"/>
  <c r="H69" i="144" s="1"/>
  <c r="F36" i="144"/>
  <c r="F68" i="144" s="1"/>
  <c r="H68" i="144" s="1"/>
  <c r="F32" i="144"/>
  <c r="F31" i="144"/>
  <c r="F30" i="144"/>
  <c r="F71" i="144" s="1"/>
  <c r="H71" i="144" s="1"/>
  <c r="F29" i="144"/>
  <c r="F70" i="144" s="1"/>
  <c r="H70" i="144" s="1"/>
  <c r="F28" i="144"/>
  <c r="F27" i="144"/>
  <c r="F28" i="90"/>
  <c r="F26" i="80"/>
  <c r="F51" i="144" l="1"/>
  <c r="F72" i="144"/>
  <c r="H72" i="144" s="1"/>
  <c r="F73" i="144"/>
  <c r="H73" i="144" s="1"/>
  <c r="H74" i="144" s="1"/>
  <c r="F33" i="144"/>
  <c r="F42" i="144"/>
  <c r="F28" i="162"/>
  <c r="D28" i="162"/>
  <c r="H27" i="162"/>
  <c r="H26" i="162"/>
  <c r="F23" i="162"/>
  <c r="E13" i="147" s="1"/>
  <c r="D23" i="162"/>
  <c r="G10" i="162"/>
  <c r="G11" i="162" s="1"/>
  <c r="G12" i="162" s="1"/>
  <c r="G13" i="162" s="1"/>
  <c r="G14" i="162" s="1"/>
  <c r="G15" i="162" s="1"/>
  <c r="G16" i="162" s="1"/>
  <c r="G17" i="162" s="1"/>
  <c r="G18" i="162" s="1"/>
  <c r="G19" i="162" s="1"/>
  <c r="G20" i="162" s="1"/>
  <c r="G21" i="162" s="1"/>
  <c r="E9" i="162"/>
  <c r="E10" i="162" s="1"/>
  <c r="E11" i="162" s="1"/>
  <c r="E12" i="162" s="1"/>
  <c r="E13" i="162" s="1"/>
  <c r="E14" i="162" s="1"/>
  <c r="E15" i="162" s="1"/>
  <c r="E16" i="162" s="1"/>
  <c r="E17" i="162" s="1"/>
  <c r="E18" i="162" s="1"/>
  <c r="E19" i="162" s="1"/>
  <c r="E20" i="162" s="1"/>
  <c r="E21" i="162" s="1"/>
  <c r="A6" i="162"/>
  <c r="D3" i="162"/>
  <c r="A3" i="162"/>
  <c r="A2" i="162"/>
  <c r="A1" i="162"/>
  <c r="H27" i="161"/>
  <c r="H28" i="161"/>
  <c r="F29" i="161"/>
  <c r="D29" i="161"/>
  <c r="H26" i="161"/>
  <c r="F23" i="161"/>
  <c r="E13" i="130" s="1"/>
  <c r="D23" i="161"/>
  <c r="D13" i="130" s="1"/>
  <c r="G10" i="161"/>
  <c r="G11" i="161" s="1"/>
  <c r="G12" i="161" s="1"/>
  <c r="G13" i="161" s="1"/>
  <c r="G14" i="161" s="1"/>
  <c r="G15" i="161" s="1"/>
  <c r="G16" i="161" s="1"/>
  <c r="G17" i="161" s="1"/>
  <c r="G18" i="161" s="1"/>
  <c r="G19" i="161" s="1"/>
  <c r="G20" i="161" s="1"/>
  <c r="G21" i="161" s="1"/>
  <c r="E9" i="161"/>
  <c r="E10" i="161" s="1"/>
  <c r="E11" i="161" s="1"/>
  <c r="E12" i="161" s="1"/>
  <c r="E13" i="161" s="1"/>
  <c r="E14" i="161" s="1"/>
  <c r="E15" i="161" s="1"/>
  <c r="E16" i="161" s="1"/>
  <c r="E17" i="161" s="1"/>
  <c r="E18" i="161" s="1"/>
  <c r="E19" i="161" s="1"/>
  <c r="E20" i="161" s="1"/>
  <c r="E21" i="161" s="1"/>
  <c r="A6" i="161"/>
  <c r="D3" i="161"/>
  <c r="A3" i="161"/>
  <c r="A2" i="161"/>
  <c r="A1" i="161"/>
  <c r="E9" i="99"/>
  <c r="D29" i="160"/>
  <c r="H28" i="160"/>
  <c r="H27" i="160"/>
  <c r="F29" i="160"/>
  <c r="F23" i="160"/>
  <c r="E16" i="33" s="1"/>
  <c r="D23" i="160"/>
  <c r="D16" i="33" s="1"/>
  <c r="G10" i="160"/>
  <c r="G11" i="160" s="1"/>
  <c r="G12" i="160" s="1"/>
  <c r="G13" i="160" s="1"/>
  <c r="G14" i="160" s="1"/>
  <c r="G15" i="160" s="1"/>
  <c r="G16" i="160" s="1"/>
  <c r="G17" i="160" s="1"/>
  <c r="G18" i="160" s="1"/>
  <c r="G19" i="160" s="1"/>
  <c r="G20" i="160" s="1"/>
  <c r="G21" i="160" s="1"/>
  <c r="E9" i="160"/>
  <c r="E10" i="160" s="1"/>
  <c r="E11" i="160" s="1"/>
  <c r="E12" i="160" s="1"/>
  <c r="E13" i="160" s="1"/>
  <c r="E14" i="160" s="1"/>
  <c r="E15" i="160" s="1"/>
  <c r="E16" i="160" s="1"/>
  <c r="E17" i="160" s="1"/>
  <c r="E18" i="160" s="1"/>
  <c r="E19" i="160" s="1"/>
  <c r="E20" i="160" s="1"/>
  <c r="E21" i="160" s="1"/>
  <c r="A6" i="160"/>
  <c r="D3" i="160"/>
  <c r="A3" i="160"/>
  <c r="A2" i="160"/>
  <c r="A1" i="160"/>
  <c r="F74" i="144" l="1"/>
  <c r="H23" i="162"/>
  <c r="F13" i="147" s="1"/>
  <c r="D13" i="147"/>
  <c r="H23" i="161"/>
  <c r="F13" i="130" s="1"/>
  <c r="H28" i="162"/>
  <c r="H9" i="162"/>
  <c r="H10" i="162" s="1"/>
  <c r="H11" i="162" s="1"/>
  <c r="H12" i="162" s="1"/>
  <c r="H13" i="162" s="1"/>
  <c r="H14" i="162" s="1"/>
  <c r="H15" i="162" s="1"/>
  <c r="H16" i="162" s="1"/>
  <c r="H17" i="162" s="1"/>
  <c r="H18" i="162" s="1"/>
  <c r="H19" i="162" s="1"/>
  <c r="H20" i="162" s="1"/>
  <c r="H21" i="162" s="1"/>
  <c r="H29" i="161"/>
  <c r="H9" i="161"/>
  <c r="H10" i="161" s="1"/>
  <c r="H11" i="161" s="1"/>
  <c r="H12" i="161" s="1"/>
  <c r="H13" i="161" s="1"/>
  <c r="H14" i="161" s="1"/>
  <c r="H15" i="161" s="1"/>
  <c r="H16" i="161" s="1"/>
  <c r="H17" i="161" s="1"/>
  <c r="H18" i="161" s="1"/>
  <c r="H19" i="161" s="1"/>
  <c r="H20" i="161" s="1"/>
  <c r="H21" i="161" s="1"/>
  <c r="H9" i="160"/>
  <c r="H10" i="160" s="1"/>
  <c r="H11" i="160" s="1"/>
  <c r="H12" i="160" s="1"/>
  <c r="H13" i="160" s="1"/>
  <c r="H14" i="160" s="1"/>
  <c r="H15" i="160" s="1"/>
  <c r="H16" i="160" s="1"/>
  <c r="H17" i="160" s="1"/>
  <c r="H18" i="160" s="1"/>
  <c r="H19" i="160" s="1"/>
  <c r="H20" i="160" s="1"/>
  <c r="H21" i="160" s="1"/>
  <c r="H23" i="160"/>
  <c r="F16" i="33" s="1"/>
  <c r="H26" i="160"/>
  <c r="H29" i="160" s="1"/>
  <c r="F18" i="61"/>
  <c r="F23" i="159"/>
  <c r="E13" i="18" s="1"/>
  <c r="D23" i="159"/>
  <c r="G10" i="159"/>
  <c r="G11" i="159" s="1"/>
  <c r="G12" i="159" s="1"/>
  <c r="G13" i="159" s="1"/>
  <c r="G14" i="159" s="1"/>
  <c r="G15" i="159" s="1"/>
  <c r="G16" i="159" s="1"/>
  <c r="G17" i="159" s="1"/>
  <c r="G18" i="159" s="1"/>
  <c r="G19" i="159" s="1"/>
  <c r="G20" i="159" s="1"/>
  <c r="G21" i="159" s="1"/>
  <c r="E9" i="159"/>
  <c r="E10" i="159" s="1"/>
  <c r="E11" i="159" s="1"/>
  <c r="E12" i="159" s="1"/>
  <c r="E13" i="159" s="1"/>
  <c r="E14" i="159" s="1"/>
  <c r="E15" i="159" s="1"/>
  <c r="E16" i="159" s="1"/>
  <c r="E17" i="159" s="1"/>
  <c r="E18" i="159" s="1"/>
  <c r="E19" i="159" s="1"/>
  <c r="E20" i="159" s="1"/>
  <c r="E21" i="159" s="1"/>
  <c r="A6" i="159"/>
  <c r="D3" i="159"/>
  <c r="A3" i="159"/>
  <c r="A2" i="159"/>
  <c r="H23" i="159" l="1"/>
  <c r="F13" i="18" s="1"/>
  <c r="D13" i="18"/>
  <c r="H9" i="159"/>
  <c r="H10" i="159" s="1"/>
  <c r="H11" i="159" s="1"/>
  <c r="H12" i="159" s="1"/>
  <c r="H13" i="159" s="1"/>
  <c r="H14" i="159" s="1"/>
  <c r="H15" i="159" s="1"/>
  <c r="H16" i="159" s="1"/>
  <c r="H17" i="159" s="1"/>
  <c r="H18" i="159" s="1"/>
  <c r="H19" i="159" s="1"/>
  <c r="H20" i="159" s="1"/>
  <c r="H21" i="159" s="1"/>
  <c r="H28" i="35"/>
  <c r="D29" i="35"/>
  <c r="F30" i="20"/>
  <c r="H27" i="20"/>
  <c r="H28" i="20"/>
  <c r="H29" i="20"/>
  <c r="H26" i="20"/>
  <c r="D30" i="20"/>
  <c r="H30" i="20" l="1"/>
  <c r="E9" i="31" l="1"/>
  <c r="F28" i="94"/>
  <c r="D27" i="95"/>
  <c r="D26" i="95"/>
  <c r="F26" i="95"/>
  <c r="F28" i="95"/>
  <c r="F27" i="95"/>
  <c r="H27" i="158" l="1"/>
  <c r="H28" i="158"/>
  <c r="H29" i="158"/>
  <c r="H26" i="158"/>
  <c r="F23" i="158"/>
  <c r="E13" i="152" s="1"/>
  <c r="D23" i="158"/>
  <c r="D13" i="152" s="1"/>
  <c r="G10" i="158"/>
  <c r="G11" i="158" s="1"/>
  <c r="G12" i="158" s="1"/>
  <c r="G13" i="158" s="1"/>
  <c r="G14" i="158" s="1"/>
  <c r="G15" i="158" s="1"/>
  <c r="G16" i="158" s="1"/>
  <c r="G17" i="158" s="1"/>
  <c r="G18" i="158" s="1"/>
  <c r="G19" i="158" s="1"/>
  <c r="G20" i="158" s="1"/>
  <c r="G21" i="158" s="1"/>
  <c r="E9" i="158"/>
  <c r="H9" i="158" s="1"/>
  <c r="H10" i="158" s="1"/>
  <c r="H11" i="158" s="1"/>
  <c r="H12" i="158" s="1"/>
  <c r="H13" i="158" s="1"/>
  <c r="H14" i="158" s="1"/>
  <c r="H15" i="158" s="1"/>
  <c r="H16" i="158" s="1"/>
  <c r="H17" i="158" s="1"/>
  <c r="H18" i="158" s="1"/>
  <c r="H19" i="158" s="1"/>
  <c r="H20" i="158" s="1"/>
  <c r="H21" i="158" s="1"/>
  <c r="A6" i="158"/>
  <c r="D3" i="158"/>
  <c r="A3" i="158"/>
  <c r="A2" i="158"/>
  <c r="A1" i="158"/>
  <c r="H31" i="158" l="1"/>
  <c r="H23" i="158"/>
  <c r="F13" i="152" s="1"/>
  <c r="E10" i="158"/>
  <c r="E11" i="158" s="1"/>
  <c r="E12" i="158" s="1"/>
  <c r="E13" i="158" s="1"/>
  <c r="E14" i="158" s="1"/>
  <c r="E15" i="158" s="1"/>
  <c r="E16" i="158" s="1"/>
  <c r="E17" i="158" s="1"/>
  <c r="E18" i="158" s="1"/>
  <c r="E19" i="158" s="1"/>
  <c r="E20" i="158" s="1"/>
  <c r="E21" i="158" s="1"/>
  <c r="H33" i="107" l="1"/>
  <c r="D34" i="107"/>
  <c r="F28" i="142"/>
  <c r="F27" i="142"/>
  <c r="F26" i="142"/>
  <c r="F31" i="142" l="1"/>
  <c r="F27" i="87"/>
  <c r="H27" i="98"/>
  <c r="H28" i="98"/>
  <c r="H26" i="98"/>
  <c r="H27" i="157"/>
  <c r="H28" i="157"/>
  <c r="F29" i="157"/>
  <c r="D29" i="157"/>
  <c r="H26" i="157"/>
  <c r="F23" i="157"/>
  <c r="E13" i="120" s="1"/>
  <c r="D23" i="157"/>
  <c r="G10" i="157"/>
  <c r="G11" i="157" s="1"/>
  <c r="G12" i="157" s="1"/>
  <c r="G13" i="157" s="1"/>
  <c r="G14" i="157" s="1"/>
  <c r="G15" i="157" s="1"/>
  <c r="G16" i="157" s="1"/>
  <c r="G17" i="157" s="1"/>
  <c r="G18" i="157" s="1"/>
  <c r="G19" i="157" s="1"/>
  <c r="G20" i="157" s="1"/>
  <c r="G21" i="157" s="1"/>
  <c r="E9" i="157"/>
  <c r="E10" i="157" s="1"/>
  <c r="E11" i="157" s="1"/>
  <c r="E12" i="157" s="1"/>
  <c r="E13" i="157" s="1"/>
  <c r="E14" i="157" s="1"/>
  <c r="E15" i="157" s="1"/>
  <c r="E16" i="157" s="1"/>
  <c r="E17" i="157" s="1"/>
  <c r="E18" i="157" s="1"/>
  <c r="E19" i="157" s="1"/>
  <c r="E20" i="157" s="1"/>
  <c r="E21" i="157" s="1"/>
  <c r="A6" i="157"/>
  <c r="D3" i="157"/>
  <c r="A3" i="157"/>
  <c r="A2" i="157"/>
  <c r="A1" i="157"/>
  <c r="H23" i="157" l="1"/>
  <c r="F13" i="120" s="1"/>
  <c r="D13" i="120"/>
  <c r="H29" i="157"/>
  <c r="H9" i="157"/>
  <c r="H10" i="157" s="1"/>
  <c r="H11" i="157" s="1"/>
  <c r="H12" i="157" s="1"/>
  <c r="H13" i="157" s="1"/>
  <c r="H14" i="157" s="1"/>
  <c r="H15" i="157" s="1"/>
  <c r="H16" i="157" s="1"/>
  <c r="H17" i="157" s="1"/>
  <c r="H18" i="157" s="1"/>
  <c r="H19" i="157" s="1"/>
  <c r="H20" i="157" s="1"/>
  <c r="H21" i="157" s="1"/>
  <c r="G22" i="156" l="1"/>
  <c r="E12" i="152" s="1"/>
  <c r="H9" i="156"/>
  <c r="H10" i="156" s="1"/>
  <c r="H11" i="156" s="1"/>
  <c r="H12" i="156" s="1"/>
  <c r="H13" i="156" s="1"/>
  <c r="H14" i="156" s="1"/>
  <c r="H15" i="156" s="1"/>
  <c r="H16" i="156" s="1"/>
  <c r="H17" i="156" s="1"/>
  <c r="H18" i="156" s="1"/>
  <c r="H19" i="156" s="1"/>
  <c r="H20" i="156" s="1"/>
  <c r="A6" i="156"/>
  <c r="E3" i="156"/>
  <c r="A3" i="156"/>
  <c r="A2" i="156"/>
  <c r="G23" i="155"/>
  <c r="E11" i="152" s="1"/>
  <c r="E23" i="155"/>
  <c r="H10" i="155"/>
  <c r="H11" i="155" s="1"/>
  <c r="H12" i="155" s="1"/>
  <c r="H13" i="155" s="1"/>
  <c r="H14" i="155" s="1"/>
  <c r="H15" i="155" s="1"/>
  <c r="H16" i="155" s="1"/>
  <c r="H17" i="155" s="1"/>
  <c r="H18" i="155" s="1"/>
  <c r="H19" i="155" s="1"/>
  <c r="H20" i="155" s="1"/>
  <c r="H21" i="155" s="1"/>
  <c r="F9" i="155"/>
  <c r="I9" i="155" s="1"/>
  <c r="I10" i="155" s="1"/>
  <c r="I11" i="155" s="1"/>
  <c r="I12" i="155" s="1"/>
  <c r="I13" i="155" s="1"/>
  <c r="I14" i="155" s="1"/>
  <c r="I15" i="155" s="1"/>
  <c r="I16" i="155" s="1"/>
  <c r="I17" i="155" s="1"/>
  <c r="I18" i="155" s="1"/>
  <c r="I19" i="155" s="1"/>
  <c r="I20" i="155" s="1"/>
  <c r="I21" i="155" s="1"/>
  <c r="A6" i="155"/>
  <c r="E3" i="155"/>
  <c r="A3" i="155"/>
  <c r="A2" i="155"/>
  <c r="A1" i="155"/>
  <c r="A1" i="156" s="1"/>
  <c r="F28" i="154"/>
  <c r="D28" i="154"/>
  <c r="H27" i="154"/>
  <c r="H26" i="154"/>
  <c r="F23" i="154"/>
  <c r="E10" i="152" s="1"/>
  <c r="D23" i="154"/>
  <c r="G10" i="154"/>
  <c r="G11" i="154" s="1"/>
  <c r="G12" i="154" s="1"/>
  <c r="G13" i="154" s="1"/>
  <c r="G14" i="154" s="1"/>
  <c r="G15" i="154" s="1"/>
  <c r="G16" i="154" s="1"/>
  <c r="G17" i="154" s="1"/>
  <c r="G18" i="154" s="1"/>
  <c r="G19" i="154" s="1"/>
  <c r="G20" i="154" s="1"/>
  <c r="G21" i="154" s="1"/>
  <c r="E9" i="154"/>
  <c r="E10" i="154" s="1"/>
  <c r="E11" i="154" s="1"/>
  <c r="E12" i="154" s="1"/>
  <c r="E13" i="154" s="1"/>
  <c r="E14" i="154" s="1"/>
  <c r="E15" i="154" s="1"/>
  <c r="E16" i="154" s="1"/>
  <c r="E17" i="154" s="1"/>
  <c r="E18" i="154" s="1"/>
  <c r="E19" i="154" s="1"/>
  <c r="E20" i="154" s="1"/>
  <c r="E21" i="154" s="1"/>
  <c r="A6" i="154"/>
  <c r="D3" i="154"/>
  <c r="A3" i="154"/>
  <c r="A2" i="154"/>
  <c r="A1" i="154"/>
  <c r="H24" i="153"/>
  <c r="C8" i="152" s="1"/>
  <c r="C15" i="152" s="1"/>
  <c r="F14" i="17" s="1"/>
  <c r="G14" i="17" s="1"/>
  <c r="G24" i="153"/>
  <c r="C24" i="153"/>
  <c r="A6" i="153"/>
  <c r="D3" i="153"/>
  <c r="A3" i="153"/>
  <c r="A2" i="153"/>
  <c r="A1" i="153"/>
  <c r="H23" i="154" l="1"/>
  <c r="F10" i="152" s="1"/>
  <c r="I23" i="155"/>
  <c r="F11" i="152" s="1"/>
  <c r="E15" i="152"/>
  <c r="I14" i="17" s="1"/>
  <c r="H28" i="154"/>
  <c r="D10" i="152"/>
  <c r="D11" i="152"/>
  <c r="F10" i="155"/>
  <c r="F11" i="155" s="1"/>
  <c r="F12" i="155" s="1"/>
  <c r="F13" i="155" s="1"/>
  <c r="F14" i="155" s="1"/>
  <c r="F15" i="155" s="1"/>
  <c r="F16" i="155" s="1"/>
  <c r="F17" i="155" s="1"/>
  <c r="F18" i="155" s="1"/>
  <c r="F19" i="155" s="1"/>
  <c r="F20" i="155" s="1"/>
  <c r="F21" i="155" s="1"/>
  <c r="H9" i="154"/>
  <c r="H10" i="154" s="1"/>
  <c r="H11" i="154" s="1"/>
  <c r="H12" i="154" s="1"/>
  <c r="H13" i="154" s="1"/>
  <c r="H14" i="154" s="1"/>
  <c r="H15" i="154" s="1"/>
  <c r="H16" i="154" s="1"/>
  <c r="H17" i="154" s="1"/>
  <c r="H18" i="154" s="1"/>
  <c r="H19" i="154" s="1"/>
  <c r="H20" i="154" s="1"/>
  <c r="H21" i="154" s="1"/>
  <c r="D12" i="152"/>
  <c r="F12" i="152" s="1"/>
  <c r="D15" i="152" l="1"/>
  <c r="H14" i="17" s="1"/>
  <c r="G15" i="152" l="1"/>
  <c r="K14" i="17" s="1"/>
  <c r="F15" i="152"/>
  <c r="J14" i="17" s="1"/>
  <c r="H61" i="144" l="1"/>
  <c r="H54" i="144"/>
  <c r="F26" i="90"/>
  <c r="F31" i="90" s="1"/>
  <c r="H27" i="149"/>
  <c r="H28" i="149"/>
  <c r="E9" i="150"/>
  <c r="E23" i="150" s="1"/>
  <c r="G22" i="151"/>
  <c r="E12" i="147" s="1"/>
  <c r="H9" i="151"/>
  <c r="H10" i="151" s="1"/>
  <c r="H11" i="151" s="1"/>
  <c r="H12" i="151" s="1"/>
  <c r="H13" i="151" s="1"/>
  <c r="H14" i="151" s="1"/>
  <c r="H15" i="151" s="1"/>
  <c r="H16" i="151" s="1"/>
  <c r="H17" i="151" s="1"/>
  <c r="H18" i="151" s="1"/>
  <c r="H19" i="151" s="1"/>
  <c r="H20" i="151" s="1"/>
  <c r="A6" i="151"/>
  <c r="E3" i="151"/>
  <c r="A3" i="151"/>
  <c r="A2" i="151"/>
  <c r="G23" i="150"/>
  <c r="E11" i="147" s="1"/>
  <c r="H10" i="150"/>
  <c r="H11" i="150" s="1"/>
  <c r="H12" i="150" s="1"/>
  <c r="H13" i="150" s="1"/>
  <c r="H14" i="150" s="1"/>
  <c r="H15" i="150" s="1"/>
  <c r="H16" i="150" s="1"/>
  <c r="H17" i="150" s="1"/>
  <c r="H18" i="150" s="1"/>
  <c r="H19" i="150" s="1"/>
  <c r="H20" i="150" s="1"/>
  <c r="H21" i="150" s="1"/>
  <c r="A6" i="150"/>
  <c r="E3" i="150"/>
  <c r="A3" i="150"/>
  <c r="A2" i="150"/>
  <c r="A1" i="150"/>
  <c r="A1" i="151" s="1"/>
  <c r="F29" i="149"/>
  <c r="D29" i="149"/>
  <c r="H26" i="149"/>
  <c r="F23" i="149"/>
  <c r="E10" i="147" s="1"/>
  <c r="D23" i="149"/>
  <c r="D10" i="147" s="1"/>
  <c r="G10" i="149"/>
  <c r="G11" i="149" s="1"/>
  <c r="G12" i="149" s="1"/>
  <c r="G13" i="149" s="1"/>
  <c r="G14" i="149" s="1"/>
  <c r="G15" i="149" s="1"/>
  <c r="G16" i="149" s="1"/>
  <c r="G17" i="149" s="1"/>
  <c r="G18" i="149" s="1"/>
  <c r="G19" i="149" s="1"/>
  <c r="G20" i="149" s="1"/>
  <c r="G21" i="149" s="1"/>
  <c r="E9" i="149"/>
  <c r="E10" i="149" s="1"/>
  <c r="E11" i="149" s="1"/>
  <c r="E12" i="149" s="1"/>
  <c r="E13" i="149" s="1"/>
  <c r="E14" i="149" s="1"/>
  <c r="E15" i="149" s="1"/>
  <c r="E16" i="149" s="1"/>
  <c r="E17" i="149" s="1"/>
  <c r="E18" i="149" s="1"/>
  <c r="E19" i="149" s="1"/>
  <c r="E20" i="149" s="1"/>
  <c r="E21" i="149" s="1"/>
  <c r="A6" i="149"/>
  <c r="D3" i="149"/>
  <c r="A3" i="149"/>
  <c r="A2" i="149"/>
  <c r="A1" i="149"/>
  <c r="H24" i="148"/>
  <c r="C8" i="147" s="1"/>
  <c r="C15" i="147" s="1"/>
  <c r="F23" i="17" s="1"/>
  <c r="G23" i="17" s="1"/>
  <c r="G24" i="148"/>
  <c r="C24" i="148"/>
  <c r="A6" i="148"/>
  <c r="D3" i="148"/>
  <c r="A3" i="148"/>
  <c r="A2" i="148"/>
  <c r="A1" i="148"/>
  <c r="D12" i="147" l="1"/>
  <c r="F12" i="147"/>
  <c r="E15" i="147"/>
  <c r="I23" i="17" s="1"/>
  <c r="I23" i="150"/>
  <c r="F11" i="147" s="1"/>
  <c r="F9" i="150"/>
  <c r="I9" i="150" s="1"/>
  <c r="I10" i="150" s="1"/>
  <c r="I11" i="150" s="1"/>
  <c r="I12" i="150" s="1"/>
  <c r="I13" i="150" s="1"/>
  <c r="I14" i="150" s="1"/>
  <c r="I15" i="150" s="1"/>
  <c r="I16" i="150" s="1"/>
  <c r="I17" i="150" s="1"/>
  <c r="I18" i="150" s="1"/>
  <c r="I19" i="150" s="1"/>
  <c r="I20" i="150" s="1"/>
  <c r="I21" i="150" s="1"/>
  <c r="H23" i="149"/>
  <c r="F10" i="147" s="1"/>
  <c r="H29" i="149"/>
  <c r="D11" i="147"/>
  <c r="D15" i="147" s="1"/>
  <c r="H23" i="17" s="1"/>
  <c r="H9" i="149"/>
  <c r="H10" i="149" s="1"/>
  <c r="H11" i="149" s="1"/>
  <c r="H12" i="149" s="1"/>
  <c r="H13" i="149" s="1"/>
  <c r="H14" i="149" s="1"/>
  <c r="H15" i="149" s="1"/>
  <c r="H16" i="149" s="1"/>
  <c r="H17" i="149" s="1"/>
  <c r="H18" i="149" s="1"/>
  <c r="H19" i="149" s="1"/>
  <c r="H20" i="149" s="1"/>
  <c r="H21" i="149" s="1"/>
  <c r="F10" i="150" l="1"/>
  <c r="F11" i="150" s="1"/>
  <c r="F12" i="150" s="1"/>
  <c r="F13" i="150" s="1"/>
  <c r="F14" i="150" s="1"/>
  <c r="F15" i="150" s="1"/>
  <c r="F16" i="150" s="1"/>
  <c r="F17" i="150" s="1"/>
  <c r="F18" i="150" s="1"/>
  <c r="F19" i="150" s="1"/>
  <c r="F20" i="150" s="1"/>
  <c r="F21" i="150" s="1"/>
  <c r="F15" i="147"/>
  <c r="J23" i="17" s="1"/>
  <c r="G15" i="147"/>
  <c r="K23" i="17" s="1"/>
  <c r="F28" i="146" l="1"/>
  <c r="D28" i="146"/>
  <c r="H27" i="146"/>
  <c r="H26" i="146"/>
  <c r="F23" i="146"/>
  <c r="E13" i="137" s="1"/>
  <c r="D23" i="146"/>
  <c r="G10" i="146"/>
  <c r="G11" i="146" s="1"/>
  <c r="G12" i="146" s="1"/>
  <c r="G13" i="146" s="1"/>
  <c r="G14" i="146" s="1"/>
  <c r="G15" i="146" s="1"/>
  <c r="G16" i="146" s="1"/>
  <c r="G17" i="146" s="1"/>
  <c r="G18" i="146" s="1"/>
  <c r="G19" i="146" s="1"/>
  <c r="G20" i="146" s="1"/>
  <c r="G21" i="146" s="1"/>
  <c r="E9" i="146"/>
  <c r="E10" i="146" s="1"/>
  <c r="E11" i="146" s="1"/>
  <c r="E12" i="146" s="1"/>
  <c r="E13" i="146" s="1"/>
  <c r="E14" i="146" s="1"/>
  <c r="E15" i="146" s="1"/>
  <c r="E16" i="146" s="1"/>
  <c r="E17" i="146" s="1"/>
  <c r="E18" i="146" s="1"/>
  <c r="E19" i="146" s="1"/>
  <c r="E20" i="146" s="1"/>
  <c r="E21" i="146" s="1"/>
  <c r="A6" i="146"/>
  <c r="D3" i="146"/>
  <c r="A3" i="146"/>
  <c r="A2" i="146"/>
  <c r="A1" i="146"/>
  <c r="H23" i="146" l="1"/>
  <c r="F13" i="137" s="1"/>
  <c r="H28" i="146"/>
  <c r="D13" i="137"/>
  <c r="H9" i="146"/>
  <c r="H10" i="146" s="1"/>
  <c r="H11" i="146" s="1"/>
  <c r="H12" i="146" s="1"/>
  <c r="H13" i="146" s="1"/>
  <c r="H14" i="146" s="1"/>
  <c r="H15" i="146" s="1"/>
  <c r="H16" i="146" s="1"/>
  <c r="H17" i="146" s="1"/>
  <c r="H18" i="146" s="1"/>
  <c r="H19" i="146" s="1"/>
  <c r="H20" i="146" s="1"/>
  <c r="H21" i="146" s="1"/>
  <c r="H27" i="145"/>
  <c r="H28" i="145"/>
  <c r="H29" i="145"/>
  <c r="H30" i="145"/>
  <c r="H26" i="145"/>
  <c r="F31" i="145"/>
  <c r="D31" i="145"/>
  <c r="F23" i="145"/>
  <c r="E13" i="115" s="1"/>
  <c r="D23" i="145"/>
  <c r="G10" i="145"/>
  <c r="G11" i="145" s="1"/>
  <c r="G12" i="145" s="1"/>
  <c r="G13" i="145" s="1"/>
  <c r="G14" i="145" s="1"/>
  <c r="G15" i="145" s="1"/>
  <c r="G16" i="145" s="1"/>
  <c r="G17" i="145" s="1"/>
  <c r="G18" i="145" s="1"/>
  <c r="G19" i="145" s="1"/>
  <c r="G20" i="145" s="1"/>
  <c r="G21" i="145" s="1"/>
  <c r="E9" i="145"/>
  <c r="E10" i="145" s="1"/>
  <c r="E11" i="145" s="1"/>
  <c r="E12" i="145" s="1"/>
  <c r="E13" i="145" s="1"/>
  <c r="E14" i="145" s="1"/>
  <c r="E15" i="145" s="1"/>
  <c r="E16" i="145" s="1"/>
  <c r="E17" i="145" s="1"/>
  <c r="E18" i="145" s="1"/>
  <c r="E19" i="145" s="1"/>
  <c r="E20" i="145" s="1"/>
  <c r="E21" i="145" s="1"/>
  <c r="A6" i="145"/>
  <c r="D3" i="145"/>
  <c r="A3" i="145"/>
  <c r="A2" i="145"/>
  <c r="A1" i="145"/>
  <c r="H23" i="145" l="1"/>
  <c r="F13" i="115" s="1"/>
  <c r="H31" i="145"/>
  <c r="D13" i="115"/>
  <c r="H9" i="145"/>
  <c r="H10" i="145" s="1"/>
  <c r="H11" i="145" s="1"/>
  <c r="H12" i="145" s="1"/>
  <c r="H13" i="145" s="1"/>
  <c r="H14" i="145" s="1"/>
  <c r="H15" i="145" s="1"/>
  <c r="H16" i="145" s="1"/>
  <c r="H17" i="145" s="1"/>
  <c r="H18" i="145" s="1"/>
  <c r="H19" i="145" s="1"/>
  <c r="H20" i="145" s="1"/>
  <c r="H21" i="145" s="1"/>
  <c r="F26" i="35" l="1"/>
  <c r="I12" i="93" l="1"/>
  <c r="H37" i="144" l="1"/>
  <c r="H38" i="144"/>
  <c r="H39" i="144"/>
  <c r="H40" i="144"/>
  <c r="H41" i="144"/>
  <c r="H36" i="144"/>
  <c r="D42" i="144"/>
  <c r="D58" i="144"/>
  <c r="D65" i="144"/>
  <c r="H64" i="144"/>
  <c r="H63" i="144"/>
  <c r="H62" i="144"/>
  <c r="D51" i="144"/>
  <c r="H46" i="144"/>
  <c r="H47" i="144"/>
  <c r="H48" i="144"/>
  <c r="H49" i="144"/>
  <c r="H50" i="144"/>
  <c r="H45" i="144"/>
  <c r="D33" i="144"/>
  <c r="H28" i="144"/>
  <c r="H29" i="144"/>
  <c r="H30" i="144"/>
  <c r="H31" i="144"/>
  <c r="H32" i="144"/>
  <c r="H27" i="144"/>
  <c r="H55" i="144"/>
  <c r="H56" i="144"/>
  <c r="H57" i="144"/>
  <c r="F23" i="144"/>
  <c r="E14" i="88" s="1"/>
  <c r="D23" i="144"/>
  <c r="G10" i="144"/>
  <c r="G11" i="144" s="1"/>
  <c r="G12" i="144" s="1"/>
  <c r="G13" i="144" s="1"/>
  <c r="G14" i="144" s="1"/>
  <c r="G15" i="144" s="1"/>
  <c r="G16" i="144" s="1"/>
  <c r="G17" i="144" s="1"/>
  <c r="G18" i="144" s="1"/>
  <c r="G19" i="144" s="1"/>
  <c r="G20" i="144" s="1"/>
  <c r="G21" i="144" s="1"/>
  <c r="E9" i="144"/>
  <c r="E10" i="144" s="1"/>
  <c r="E11" i="144" s="1"/>
  <c r="E12" i="144" s="1"/>
  <c r="E13" i="144" s="1"/>
  <c r="E14" i="144" s="1"/>
  <c r="E15" i="144" s="1"/>
  <c r="E16" i="144" s="1"/>
  <c r="E17" i="144" s="1"/>
  <c r="E18" i="144" s="1"/>
  <c r="E19" i="144" s="1"/>
  <c r="E20" i="144" s="1"/>
  <c r="E21" i="144" s="1"/>
  <c r="A6" i="144"/>
  <c r="D3" i="144"/>
  <c r="A3" i="144"/>
  <c r="A2" i="144"/>
  <c r="A1" i="144"/>
  <c r="H65" i="144" l="1"/>
  <c r="D74" i="144"/>
  <c r="H58" i="144"/>
  <c r="H42" i="144"/>
  <c r="H33" i="144"/>
  <c r="H51" i="144"/>
  <c r="H23" i="144"/>
  <c r="F14" i="88" s="1"/>
  <c r="D14" i="88"/>
  <c r="H9" i="144"/>
  <c r="H10" i="144" s="1"/>
  <c r="H11" i="144" s="1"/>
  <c r="H12" i="144" s="1"/>
  <c r="H13" i="144" s="1"/>
  <c r="H14" i="144" s="1"/>
  <c r="H15" i="144" s="1"/>
  <c r="H16" i="144" s="1"/>
  <c r="H17" i="144" s="1"/>
  <c r="H18" i="144" s="1"/>
  <c r="H19" i="144" s="1"/>
  <c r="F30" i="143"/>
  <c r="H27" i="143"/>
  <c r="H28" i="143"/>
  <c r="H29" i="143"/>
  <c r="H26" i="143"/>
  <c r="D30" i="143"/>
  <c r="F23" i="143"/>
  <c r="E13" i="110" s="1"/>
  <c r="D23" i="143"/>
  <c r="D13" i="110" s="1"/>
  <c r="G10" i="143"/>
  <c r="G11" i="143" s="1"/>
  <c r="G12" i="143" s="1"/>
  <c r="G13" i="143" s="1"/>
  <c r="G14" i="143" s="1"/>
  <c r="G15" i="143" s="1"/>
  <c r="G16" i="143" s="1"/>
  <c r="G17" i="143" s="1"/>
  <c r="G18" i="143" s="1"/>
  <c r="G19" i="143" s="1"/>
  <c r="G20" i="143" s="1"/>
  <c r="G21" i="143" s="1"/>
  <c r="E9" i="143"/>
  <c r="E10" i="143" s="1"/>
  <c r="E11" i="143" s="1"/>
  <c r="E12" i="143" s="1"/>
  <c r="E13" i="143" s="1"/>
  <c r="E14" i="143" s="1"/>
  <c r="E15" i="143" s="1"/>
  <c r="E16" i="143" s="1"/>
  <c r="E17" i="143" s="1"/>
  <c r="E18" i="143" s="1"/>
  <c r="E19" i="143" s="1"/>
  <c r="E20" i="143" s="1"/>
  <c r="E21" i="143" s="1"/>
  <c r="A6" i="143"/>
  <c r="D3" i="143"/>
  <c r="A3" i="143"/>
  <c r="A2" i="143"/>
  <c r="A1" i="143"/>
  <c r="H20" i="144" l="1"/>
  <c r="H21" i="144" s="1"/>
  <c r="H30" i="143"/>
  <c r="H23" i="143"/>
  <c r="F13" i="110" s="1"/>
  <c r="H9" i="143"/>
  <c r="H10" i="143" s="1"/>
  <c r="H11" i="143" s="1"/>
  <c r="H12" i="143" s="1"/>
  <c r="H13" i="143" s="1"/>
  <c r="H14" i="143" s="1"/>
  <c r="H15" i="143" s="1"/>
  <c r="H16" i="143" s="1"/>
  <c r="H17" i="143" s="1"/>
  <c r="H18" i="143" s="1"/>
  <c r="H19" i="143" s="1"/>
  <c r="H20" i="143" s="1"/>
  <c r="H21" i="143" s="1"/>
  <c r="H27" i="142" l="1"/>
  <c r="H28" i="142"/>
  <c r="H29" i="142"/>
  <c r="H30" i="142"/>
  <c r="H26" i="142"/>
  <c r="D31" i="142"/>
  <c r="F23" i="142"/>
  <c r="E15" i="33" s="1"/>
  <c r="D23" i="142"/>
  <c r="D15" i="33" s="1"/>
  <c r="G10" i="142"/>
  <c r="G11" i="142" s="1"/>
  <c r="G12" i="142" s="1"/>
  <c r="G13" i="142" s="1"/>
  <c r="G14" i="142" s="1"/>
  <c r="G15" i="142" s="1"/>
  <c r="G16" i="142" s="1"/>
  <c r="G17" i="142" s="1"/>
  <c r="G18" i="142" s="1"/>
  <c r="G19" i="142" s="1"/>
  <c r="G20" i="142" s="1"/>
  <c r="G21" i="142" s="1"/>
  <c r="E9" i="142"/>
  <c r="E10" i="142" s="1"/>
  <c r="E11" i="142" s="1"/>
  <c r="E12" i="142" s="1"/>
  <c r="E13" i="142" s="1"/>
  <c r="E14" i="142" s="1"/>
  <c r="E15" i="142" s="1"/>
  <c r="E16" i="142" s="1"/>
  <c r="E17" i="142" s="1"/>
  <c r="E18" i="142" s="1"/>
  <c r="E19" i="142" s="1"/>
  <c r="E20" i="142" s="1"/>
  <c r="E21" i="142" s="1"/>
  <c r="A6" i="142"/>
  <c r="D3" i="142"/>
  <c r="A3" i="142"/>
  <c r="A2" i="142"/>
  <c r="A1" i="142"/>
  <c r="I15" i="25"/>
  <c r="I16" i="25" s="1"/>
  <c r="G22" i="141"/>
  <c r="E12" i="137" s="1"/>
  <c r="H9" i="141"/>
  <c r="H10" i="141" s="1"/>
  <c r="H11" i="141" s="1"/>
  <c r="H12" i="141" s="1"/>
  <c r="H13" i="141" s="1"/>
  <c r="H14" i="141" s="1"/>
  <c r="H15" i="141" s="1"/>
  <c r="H16" i="141" s="1"/>
  <c r="H17" i="141" s="1"/>
  <c r="H18" i="141" s="1"/>
  <c r="H19" i="141" s="1"/>
  <c r="H20" i="141" s="1"/>
  <c r="A6" i="141"/>
  <c r="E3" i="141"/>
  <c r="A3" i="141"/>
  <c r="A2" i="141"/>
  <c r="G23" i="140"/>
  <c r="E23" i="140"/>
  <c r="D11" i="137" s="1"/>
  <c r="H10" i="140"/>
  <c r="H11" i="140" s="1"/>
  <c r="H12" i="140" s="1"/>
  <c r="H13" i="140" s="1"/>
  <c r="H14" i="140" s="1"/>
  <c r="H15" i="140" s="1"/>
  <c r="H16" i="140" s="1"/>
  <c r="H17" i="140" s="1"/>
  <c r="H18" i="140" s="1"/>
  <c r="H19" i="140" s="1"/>
  <c r="H20" i="140" s="1"/>
  <c r="H21" i="140" s="1"/>
  <c r="F9" i="140"/>
  <c r="A6" i="140"/>
  <c r="E3" i="140"/>
  <c r="A3" i="140"/>
  <c r="A2" i="140"/>
  <c r="A1" i="140"/>
  <c r="A1" i="141" s="1"/>
  <c r="F28" i="139"/>
  <c r="D28" i="139"/>
  <c r="H27" i="139"/>
  <c r="H26" i="139"/>
  <c r="F23" i="139"/>
  <c r="E10" i="137" s="1"/>
  <c r="D23" i="139"/>
  <c r="G10" i="139"/>
  <c r="G11" i="139" s="1"/>
  <c r="G12" i="139" s="1"/>
  <c r="G13" i="139" s="1"/>
  <c r="G14" i="139" s="1"/>
  <c r="G15" i="139" s="1"/>
  <c r="G16" i="139" s="1"/>
  <c r="G17" i="139" s="1"/>
  <c r="G18" i="139" s="1"/>
  <c r="G19" i="139" s="1"/>
  <c r="G20" i="139" s="1"/>
  <c r="G21" i="139" s="1"/>
  <c r="E9" i="139"/>
  <c r="H9" i="139" s="1"/>
  <c r="H10" i="139" s="1"/>
  <c r="H11" i="139" s="1"/>
  <c r="H12" i="139" s="1"/>
  <c r="H13" i="139" s="1"/>
  <c r="H14" i="139" s="1"/>
  <c r="H15" i="139" s="1"/>
  <c r="H16" i="139" s="1"/>
  <c r="H17" i="139" s="1"/>
  <c r="H18" i="139" s="1"/>
  <c r="H19" i="139" s="1"/>
  <c r="H20" i="139" s="1"/>
  <c r="H21" i="139" s="1"/>
  <c r="A6" i="139"/>
  <c r="D3" i="139"/>
  <c r="A3" i="139"/>
  <c r="A2" i="139"/>
  <c r="A1" i="139"/>
  <c r="H24" i="138"/>
  <c r="C8" i="137" s="1"/>
  <c r="C15" i="137" s="1"/>
  <c r="F18" i="17" s="1"/>
  <c r="G18" i="17" s="1"/>
  <c r="G24" i="138"/>
  <c r="C24" i="138"/>
  <c r="A6" i="138"/>
  <c r="D3" i="138"/>
  <c r="A3" i="138"/>
  <c r="A2" i="138"/>
  <c r="A1" i="138"/>
  <c r="H28" i="82"/>
  <c r="D12" i="137" l="1"/>
  <c r="F12" i="137" s="1"/>
  <c r="H23" i="139"/>
  <c r="F10" i="137" s="1"/>
  <c r="H28" i="139"/>
  <c r="E10" i="139"/>
  <c r="E11" i="139" s="1"/>
  <c r="E12" i="139" s="1"/>
  <c r="E13" i="139" s="1"/>
  <c r="E14" i="139" s="1"/>
  <c r="E15" i="139" s="1"/>
  <c r="E16" i="139" s="1"/>
  <c r="E17" i="139" s="1"/>
  <c r="E18" i="139" s="1"/>
  <c r="E19" i="139" s="1"/>
  <c r="E20" i="139" s="1"/>
  <c r="E21" i="139" s="1"/>
  <c r="I9" i="140"/>
  <c r="I10" i="140" s="1"/>
  <c r="I11" i="140" s="1"/>
  <c r="I12" i="140" s="1"/>
  <c r="I13" i="140" s="1"/>
  <c r="I14" i="140" s="1"/>
  <c r="I15" i="140" s="1"/>
  <c r="I16" i="140" s="1"/>
  <c r="I17" i="140" s="1"/>
  <c r="I18" i="140" s="1"/>
  <c r="I19" i="140" s="1"/>
  <c r="I20" i="140" s="1"/>
  <c r="I21" i="140" s="1"/>
  <c r="F10" i="140"/>
  <c r="F11" i="140" s="1"/>
  <c r="F12" i="140" s="1"/>
  <c r="F13" i="140" s="1"/>
  <c r="F14" i="140" s="1"/>
  <c r="F15" i="140" s="1"/>
  <c r="F16" i="140" s="1"/>
  <c r="F17" i="140" s="1"/>
  <c r="F18" i="140" s="1"/>
  <c r="F19" i="140" s="1"/>
  <c r="F20" i="140" s="1"/>
  <c r="F21" i="140" s="1"/>
  <c r="H31" i="142"/>
  <c r="I23" i="140"/>
  <c r="F11" i="137" s="1"/>
  <c r="D10" i="137"/>
  <c r="D15" i="137" s="1"/>
  <c r="H18" i="17" s="1"/>
  <c r="H23" i="142"/>
  <c r="F15" i="33" s="1"/>
  <c r="H9" i="142"/>
  <c r="H10" i="142" s="1"/>
  <c r="H11" i="142" s="1"/>
  <c r="H12" i="142" s="1"/>
  <c r="H13" i="142" s="1"/>
  <c r="H14" i="142" s="1"/>
  <c r="H15" i="142" s="1"/>
  <c r="H16" i="142" s="1"/>
  <c r="H17" i="142" s="1"/>
  <c r="H18" i="142" s="1"/>
  <c r="H19" i="142" s="1"/>
  <c r="H20" i="142" s="1"/>
  <c r="H21" i="142" s="1"/>
  <c r="E11" i="137"/>
  <c r="E15" i="137" s="1"/>
  <c r="F29" i="35"/>
  <c r="F27" i="80"/>
  <c r="F27" i="107"/>
  <c r="F26" i="107"/>
  <c r="F34" i="107" s="1"/>
  <c r="G15" i="137" l="1"/>
  <c r="K18" i="17" s="1"/>
  <c r="F15" i="137"/>
  <c r="J18" i="17" s="1"/>
  <c r="I18" i="17"/>
  <c r="F23" i="136"/>
  <c r="E16" i="54" s="1"/>
  <c r="D23" i="136"/>
  <c r="D16" i="54" s="1"/>
  <c r="G10" i="136"/>
  <c r="G11" i="136" s="1"/>
  <c r="G12" i="136" s="1"/>
  <c r="G13" i="136" s="1"/>
  <c r="G14" i="136" s="1"/>
  <c r="G15" i="136" s="1"/>
  <c r="G16" i="136" s="1"/>
  <c r="G17" i="136" s="1"/>
  <c r="G18" i="136" s="1"/>
  <c r="G19" i="136" s="1"/>
  <c r="G20" i="136" s="1"/>
  <c r="G21" i="136" s="1"/>
  <c r="E9" i="136"/>
  <c r="E10" i="136" s="1"/>
  <c r="E11" i="136" s="1"/>
  <c r="E12" i="136" s="1"/>
  <c r="E13" i="136" s="1"/>
  <c r="E14" i="136" s="1"/>
  <c r="E15" i="136" s="1"/>
  <c r="E16" i="136" s="1"/>
  <c r="E17" i="136" s="1"/>
  <c r="E18" i="136" s="1"/>
  <c r="E19" i="136" s="1"/>
  <c r="E20" i="136" s="1"/>
  <c r="E21" i="136" s="1"/>
  <c r="A6" i="136"/>
  <c r="D3" i="136"/>
  <c r="A3" i="136"/>
  <c r="A2" i="136"/>
  <c r="A1" i="136"/>
  <c r="D28" i="135"/>
  <c r="H27" i="135"/>
  <c r="H26" i="135"/>
  <c r="F28" i="135"/>
  <c r="F23" i="135"/>
  <c r="E15" i="54" s="1"/>
  <c r="D23" i="135"/>
  <c r="D15" i="54" s="1"/>
  <c r="G10" i="135"/>
  <c r="G11" i="135" s="1"/>
  <c r="G12" i="135" s="1"/>
  <c r="G13" i="135" s="1"/>
  <c r="G14" i="135" s="1"/>
  <c r="G15" i="135" s="1"/>
  <c r="G16" i="135" s="1"/>
  <c r="G17" i="135" s="1"/>
  <c r="G18" i="135" s="1"/>
  <c r="G19" i="135" s="1"/>
  <c r="G20" i="135" s="1"/>
  <c r="G21" i="135" s="1"/>
  <c r="E9" i="135"/>
  <c r="E10" i="135" s="1"/>
  <c r="E11" i="135" s="1"/>
  <c r="E12" i="135" s="1"/>
  <c r="E13" i="135" s="1"/>
  <c r="E14" i="135" s="1"/>
  <c r="E15" i="135" s="1"/>
  <c r="E16" i="135" s="1"/>
  <c r="E17" i="135" s="1"/>
  <c r="E18" i="135" s="1"/>
  <c r="E19" i="135" s="1"/>
  <c r="E20" i="135" s="1"/>
  <c r="E21" i="135" s="1"/>
  <c r="A6" i="135"/>
  <c r="D3" i="135"/>
  <c r="A3" i="135"/>
  <c r="A2" i="135"/>
  <c r="A1" i="135"/>
  <c r="H23" i="136" l="1"/>
  <c r="F16" i="54" s="1"/>
  <c r="H9" i="136"/>
  <c r="H10" i="136" s="1"/>
  <c r="H11" i="136" s="1"/>
  <c r="H12" i="136" s="1"/>
  <c r="H13" i="136" s="1"/>
  <c r="H14" i="136" s="1"/>
  <c r="H15" i="136" s="1"/>
  <c r="H16" i="136" s="1"/>
  <c r="H17" i="136" s="1"/>
  <c r="H18" i="136" s="1"/>
  <c r="H19" i="136" s="1"/>
  <c r="H20" i="136" s="1"/>
  <c r="H21" i="136" s="1"/>
  <c r="H28" i="135"/>
  <c r="H23" i="135"/>
  <c r="F15" i="54" s="1"/>
  <c r="H9" i="135"/>
  <c r="H10" i="135" s="1"/>
  <c r="H11" i="135" s="1"/>
  <c r="H12" i="135" s="1"/>
  <c r="H13" i="135" s="1"/>
  <c r="H14" i="135" s="1"/>
  <c r="H15" i="135" s="1"/>
  <c r="H16" i="135" s="1"/>
  <c r="H17" i="135" s="1"/>
  <c r="H18" i="135" s="1"/>
  <c r="H19" i="135" s="1"/>
  <c r="H20" i="135" s="1"/>
  <c r="H21" i="135" s="1"/>
  <c r="G22" i="134" l="1"/>
  <c r="E12" i="130" s="1"/>
  <c r="H9" i="134"/>
  <c r="H10" i="134" s="1"/>
  <c r="H11" i="134" s="1"/>
  <c r="H12" i="134" s="1"/>
  <c r="H13" i="134" s="1"/>
  <c r="H14" i="134" s="1"/>
  <c r="H15" i="134" s="1"/>
  <c r="H16" i="134" s="1"/>
  <c r="H17" i="134" s="1"/>
  <c r="H18" i="134" s="1"/>
  <c r="H19" i="134" s="1"/>
  <c r="H20" i="134" s="1"/>
  <c r="A6" i="134"/>
  <c r="E3" i="134"/>
  <c r="A3" i="134"/>
  <c r="A2" i="134"/>
  <c r="G23" i="133"/>
  <c r="E11" i="130" s="1"/>
  <c r="E23" i="133"/>
  <c r="H10" i="133"/>
  <c r="H11" i="133" s="1"/>
  <c r="H12" i="133" s="1"/>
  <c r="H13" i="133" s="1"/>
  <c r="H14" i="133" s="1"/>
  <c r="H15" i="133" s="1"/>
  <c r="H16" i="133" s="1"/>
  <c r="H17" i="133" s="1"/>
  <c r="H18" i="133" s="1"/>
  <c r="H19" i="133" s="1"/>
  <c r="H20" i="133" s="1"/>
  <c r="H21" i="133" s="1"/>
  <c r="F9" i="133"/>
  <c r="A6" i="133"/>
  <c r="E3" i="133"/>
  <c r="A3" i="133"/>
  <c r="A2" i="133"/>
  <c r="A1" i="133"/>
  <c r="A1" i="134" s="1"/>
  <c r="F28" i="132"/>
  <c r="D28" i="132"/>
  <c r="H27" i="132"/>
  <c r="H26" i="132"/>
  <c r="F23" i="132"/>
  <c r="D23" i="132"/>
  <c r="D10" i="130" s="1"/>
  <c r="G10" i="132"/>
  <c r="G11" i="132" s="1"/>
  <c r="G12" i="132" s="1"/>
  <c r="G13" i="132" s="1"/>
  <c r="G14" i="132" s="1"/>
  <c r="G15" i="132" s="1"/>
  <c r="G16" i="132" s="1"/>
  <c r="G17" i="132" s="1"/>
  <c r="G18" i="132" s="1"/>
  <c r="G19" i="132" s="1"/>
  <c r="G20" i="132" s="1"/>
  <c r="G21" i="132" s="1"/>
  <c r="E9" i="132"/>
  <c r="E10" i="132" s="1"/>
  <c r="E11" i="132" s="1"/>
  <c r="E12" i="132" s="1"/>
  <c r="E13" i="132" s="1"/>
  <c r="E14" i="132" s="1"/>
  <c r="E15" i="132" s="1"/>
  <c r="E16" i="132" s="1"/>
  <c r="E17" i="132" s="1"/>
  <c r="E18" i="132" s="1"/>
  <c r="E19" i="132" s="1"/>
  <c r="E20" i="132" s="1"/>
  <c r="E21" i="132" s="1"/>
  <c r="A6" i="132"/>
  <c r="D3" i="132"/>
  <c r="A3" i="132"/>
  <c r="A2" i="132"/>
  <c r="A1" i="132"/>
  <c r="H24" i="131"/>
  <c r="C8" i="130" s="1"/>
  <c r="C15" i="130" s="1"/>
  <c r="F30" i="17" s="1"/>
  <c r="G30" i="17" s="1"/>
  <c r="G24" i="131"/>
  <c r="C24" i="131"/>
  <c r="A6" i="131"/>
  <c r="D3" i="131"/>
  <c r="A3" i="131"/>
  <c r="A2" i="131"/>
  <c r="A1" i="131"/>
  <c r="H28" i="103"/>
  <c r="D29" i="103"/>
  <c r="G22" i="129"/>
  <c r="E12" i="125" s="1"/>
  <c r="H9" i="129"/>
  <c r="H10" i="129" s="1"/>
  <c r="H11" i="129" s="1"/>
  <c r="H12" i="129" s="1"/>
  <c r="H13" i="129" s="1"/>
  <c r="H14" i="129" s="1"/>
  <c r="H15" i="129" s="1"/>
  <c r="H16" i="129" s="1"/>
  <c r="H17" i="129" s="1"/>
  <c r="H18" i="129" s="1"/>
  <c r="H19" i="129" s="1"/>
  <c r="H20" i="129" s="1"/>
  <c r="A6" i="129"/>
  <c r="E3" i="129"/>
  <c r="A3" i="129"/>
  <c r="A2" i="129"/>
  <c r="G23" i="128"/>
  <c r="E11" i="125" s="1"/>
  <c r="E23" i="128"/>
  <c r="D11" i="125" s="1"/>
  <c r="H10" i="128"/>
  <c r="H11" i="128" s="1"/>
  <c r="H12" i="128" s="1"/>
  <c r="H13" i="128" s="1"/>
  <c r="H14" i="128" s="1"/>
  <c r="H15" i="128" s="1"/>
  <c r="H16" i="128" s="1"/>
  <c r="H17" i="128" s="1"/>
  <c r="H18" i="128" s="1"/>
  <c r="H19" i="128" s="1"/>
  <c r="H20" i="128" s="1"/>
  <c r="H21" i="128" s="1"/>
  <c r="F9" i="128"/>
  <c r="A6" i="128"/>
  <c r="E3" i="128"/>
  <c r="A3" i="128"/>
  <c r="A2" i="128"/>
  <c r="A1" i="128"/>
  <c r="A1" i="129" s="1"/>
  <c r="F30" i="127"/>
  <c r="D30" i="127"/>
  <c r="F23" i="127"/>
  <c r="E10" i="125" s="1"/>
  <c r="D23" i="127"/>
  <c r="G10" i="127"/>
  <c r="G11" i="127" s="1"/>
  <c r="G12" i="127" s="1"/>
  <c r="G13" i="127" s="1"/>
  <c r="G14" i="127" s="1"/>
  <c r="G15" i="127" s="1"/>
  <c r="G16" i="127" s="1"/>
  <c r="G17" i="127" s="1"/>
  <c r="G18" i="127" s="1"/>
  <c r="G19" i="127" s="1"/>
  <c r="G20" i="127" s="1"/>
  <c r="G21" i="127" s="1"/>
  <c r="E9" i="127"/>
  <c r="E10" i="127" s="1"/>
  <c r="E11" i="127" s="1"/>
  <c r="E12" i="127" s="1"/>
  <c r="E13" i="127" s="1"/>
  <c r="E14" i="127" s="1"/>
  <c r="E15" i="127" s="1"/>
  <c r="E16" i="127" s="1"/>
  <c r="E17" i="127" s="1"/>
  <c r="E18" i="127" s="1"/>
  <c r="E19" i="127" s="1"/>
  <c r="E20" i="127" s="1"/>
  <c r="E21" i="127" s="1"/>
  <c r="A6" i="127"/>
  <c r="D3" i="127"/>
  <c r="A3" i="127"/>
  <c r="A2" i="127"/>
  <c r="A1" i="127"/>
  <c r="H24" i="126"/>
  <c r="C8" i="125" s="1"/>
  <c r="C14" i="125" s="1"/>
  <c r="F35" i="17" s="1"/>
  <c r="G35" i="17" s="1"/>
  <c r="G24" i="126"/>
  <c r="C24" i="126"/>
  <c r="A6" i="126"/>
  <c r="D3" i="126"/>
  <c r="A3" i="126"/>
  <c r="A2" i="126"/>
  <c r="A1" i="126"/>
  <c r="E9" i="57"/>
  <c r="F32" i="94"/>
  <c r="F27" i="94"/>
  <c r="F29" i="103"/>
  <c r="I23" i="133" l="1"/>
  <c r="F11" i="130" s="1"/>
  <c r="H23" i="132"/>
  <c r="F10" i="130" s="1"/>
  <c r="H23" i="127"/>
  <c r="F10" i="125" s="1"/>
  <c r="I9" i="128"/>
  <c r="I10" i="128" s="1"/>
  <c r="I11" i="128" s="1"/>
  <c r="I12" i="128" s="1"/>
  <c r="I13" i="128" s="1"/>
  <c r="I14" i="128" s="1"/>
  <c r="I15" i="128" s="1"/>
  <c r="I16" i="128" s="1"/>
  <c r="I17" i="128" s="1"/>
  <c r="I18" i="128" s="1"/>
  <c r="I19" i="128" s="1"/>
  <c r="I20" i="128" s="1"/>
  <c r="I21" i="128" s="1"/>
  <c r="F10" i="128"/>
  <c r="F11" i="128" s="1"/>
  <c r="F12" i="128" s="1"/>
  <c r="F13" i="128" s="1"/>
  <c r="F14" i="128" s="1"/>
  <c r="F15" i="128" s="1"/>
  <c r="F16" i="128" s="1"/>
  <c r="F17" i="128" s="1"/>
  <c r="F18" i="128" s="1"/>
  <c r="F19" i="128" s="1"/>
  <c r="F20" i="128" s="1"/>
  <c r="F21" i="128" s="1"/>
  <c r="I9" i="133"/>
  <c r="I10" i="133" s="1"/>
  <c r="I11" i="133" s="1"/>
  <c r="I12" i="133" s="1"/>
  <c r="I13" i="133" s="1"/>
  <c r="I14" i="133" s="1"/>
  <c r="I15" i="133" s="1"/>
  <c r="I16" i="133" s="1"/>
  <c r="I17" i="133" s="1"/>
  <c r="I18" i="133" s="1"/>
  <c r="I19" i="133" s="1"/>
  <c r="I20" i="133" s="1"/>
  <c r="I21" i="133" s="1"/>
  <c r="F10" i="133"/>
  <c r="F11" i="133" s="1"/>
  <c r="F12" i="133" s="1"/>
  <c r="F13" i="133" s="1"/>
  <c r="F14" i="133" s="1"/>
  <c r="F15" i="133" s="1"/>
  <c r="F16" i="133" s="1"/>
  <c r="F17" i="133" s="1"/>
  <c r="F18" i="133" s="1"/>
  <c r="F19" i="133" s="1"/>
  <c r="F20" i="133" s="1"/>
  <c r="F21" i="133" s="1"/>
  <c r="I23" i="128"/>
  <c r="F11" i="125" s="1"/>
  <c r="H28" i="132"/>
  <c r="H30" i="127"/>
  <c r="D10" i="125"/>
  <c r="D11" i="130"/>
  <c r="E14" i="125"/>
  <c r="I35" i="17" s="1"/>
  <c r="D12" i="130"/>
  <c r="E10" i="130"/>
  <c r="E15" i="130" s="1"/>
  <c r="I30" i="17" s="1"/>
  <c r="H9" i="132"/>
  <c r="H10" i="132" s="1"/>
  <c r="H11" i="132" s="1"/>
  <c r="H12" i="132" s="1"/>
  <c r="H13" i="132" s="1"/>
  <c r="H14" i="132" s="1"/>
  <c r="H15" i="132" s="1"/>
  <c r="H16" i="132" s="1"/>
  <c r="H17" i="132" s="1"/>
  <c r="H18" i="132" s="1"/>
  <c r="H19" i="132" s="1"/>
  <c r="H20" i="132" s="1"/>
  <c r="H21" i="132" s="1"/>
  <c r="H9" i="127"/>
  <c r="H10" i="127" s="1"/>
  <c r="H11" i="127" s="1"/>
  <c r="H12" i="127" s="1"/>
  <c r="H13" i="127" s="1"/>
  <c r="H14" i="127" s="1"/>
  <c r="H15" i="127" s="1"/>
  <c r="H16" i="127" s="1"/>
  <c r="H17" i="127" s="1"/>
  <c r="H18" i="127" s="1"/>
  <c r="H19" i="127" s="1"/>
  <c r="H20" i="127" s="1"/>
  <c r="H21" i="127" s="1"/>
  <c r="D12" i="125"/>
  <c r="F12" i="125" s="1"/>
  <c r="D15" i="130" l="1"/>
  <c r="G15" i="130" s="1"/>
  <c r="K30" i="17" s="1"/>
  <c r="F12" i="130"/>
  <c r="D14" i="125"/>
  <c r="H35" i="17" s="1"/>
  <c r="H30" i="17" l="1"/>
  <c r="F15" i="130"/>
  <c r="J30" i="17" s="1"/>
  <c r="F14" i="125"/>
  <c r="J35" i="17" s="1"/>
  <c r="G14" i="125"/>
  <c r="K35" i="17" s="1"/>
  <c r="G22" i="124"/>
  <c r="H9" i="124"/>
  <c r="H10" i="124" s="1"/>
  <c r="H11" i="124" s="1"/>
  <c r="H12" i="124" s="1"/>
  <c r="H13" i="124" s="1"/>
  <c r="H14" i="124" s="1"/>
  <c r="H15" i="124" s="1"/>
  <c r="H16" i="124" s="1"/>
  <c r="H17" i="124" s="1"/>
  <c r="H18" i="124" s="1"/>
  <c r="H19" i="124" s="1"/>
  <c r="H20" i="124" s="1"/>
  <c r="A6" i="124"/>
  <c r="E3" i="124"/>
  <c r="A3" i="124"/>
  <c r="A2" i="124"/>
  <c r="G23" i="123"/>
  <c r="E11" i="120" s="1"/>
  <c r="E23" i="123"/>
  <c r="H10" i="123"/>
  <c r="H11" i="123" s="1"/>
  <c r="H12" i="123" s="1"/>
  <c r="H13" i="123" s="1"/>
  <c r="H14" i="123" s="1"/>
  <c r="H15" i="123" s="1"/>
  <c r="H16" i="123" s="1"/>
  <c r="H17" i="123" s="1"/>
  <c r="H18" i="123" s="1"/>
  <c r="H19" i="123" s="1"/>
  <c r="H20" i="123" s="1"/>
  <c r="H21" i="123" s="1"/>
  <c r="F9" i="123"/>
  <c r="A6" i="123"/>
  <c r="E3" i="123"/>
  <c r="A3" i="123"/>
  <c r="A2" i="123"/>
  <c r="A1" i="123"/>
  <c r="A1" i="124" s="1"/>
  <c r="F28" i="122"/>
  <c r="D28" i="122"/>
  <c r="H27" i="122"/>
  <c r="H26" i="122"/>
  <c r="F23" i="122"/>
  <c r="E10" i="120" s="1"/>
  <c r="D23" i="122"/>
  <c r="D10" i="120" s="1"/>
  <c r="G10" i="122"/>
  <c r="G11" i="122" s="1"/>
  <c r="G12" i="122" s="1"/>
  <c r="G13" i="122" s="1"/>
  <c r="G14" i="122" s="1"/>
  <c r="G15" i="122" s="1"/>
  <c r="G16" i="122" s="1"/>
  <c r="G17" i="122" s="1"/>
  <c r="G18" i="122" s="1"/>
  <c r="G19" i="122" s="1"/>
  <c r="G20" i="122" s="1"/>
  <c r="G21" i="122" s="1"/>
  <c r="E9" i="122"/>
  <c r="E10" i="122" s="1"/>
  <c r="E11" i="122" s="1"/>
  <c r="E12" i="122" s="1"/>
  <c r="E13" i="122" s="1"/>
  <c r="E14" i="122" s="1"/>
  <c r="E15" i="122" s="1"/>
  <c r="E16" i="122" s="1"/>
  <c r="E17" i="122" s="1"/>
  <c r="E18" i="122" s="1"/>
  <c r="E19" i="122" s="1"/>
  <c r="E20" i="122" s="1"/>
  <c r="E21" i="122" s="1"/>
  <c r="A6" i="122"/>
  <c r="D3" i="122"/>
  <c r="A3" i="122"/>
  <c r="A2" i="122"/>
  <c r="A1" i="122"/>
  <c r="H24" i="121"/>
  <c r="C8" i="120" s="1"/>
  <c r="C15" i="120" s="1"/>
  <c r="F34" i="17" s="1"/>
  <c r="G34" i="17" s="1"/>
  <c r="G24" i="121"/>
  <c r="C24" i="121"/>
  <c r="A6" i="121"/>
  <c r="D3" i="121"/>
  <c r="A3" i="121"/>
  <c r="A2" i="121"/>
  <c r="A1" i="121"/>
  <c r="E12" i="120"/>
  <c r="D12" i="120"/>
  <c r="G22" i="119"/>
  <c r="E12" i="115" s="1"/>
  <c r="H9" i="119"/>
  <c r="H10" i="119" s="1"/>
  <c r="H11" i="119" s="1"/>
  <c r="H12" i="119" s="1"/>
  <c r="H13" i="119" s="1"/>
  <c r="H14" i="119" s="1"/>
  <c r="H15" i="119" s="1"/>
  <c r="H16" i="119" s="1"/>
  <c r="H17" i="119" s="1"/>
  <c r="H18" i="119" s="1"/>
  <c r="H19" i="119" s="1"/>
  <c r="H20" i="119" s="1"/>
  <c r="A6" i="119"/>
  <c r="E3" i="119"/>
  <c r="A3" i="119"/>
  <c r="A2" i="119"/>
  <c r="G23" i="118"/>
  <c r="E11" i="115" s="1"/>
  <c r="E23" i="118"/>
  <c r="H10" i="118"/>
  <c r="H11" i="118" s="1"/>
  <c r="H12" i="118" s="1"/>
  <c r="H13" i="118" s="1"/>
  <c r="H14" i="118" s="1"/>
  <c r="H15" i="118" s="1"/>
  <c r="H16" i="118" s="1"/>
  <c r="H17" i="118" s="1"/>
  <c r="H18" i="118" s="1"/>
  <c r="H19" i="118" s="1"/>
  <c r="H20" i="118" s="1"/>
  <c r="H21" i="118" s="1"/>
  <c r="F9" i="118"/>
  <c r="A6" i="118"/>
  <c r="E3" i="118"/>
  <c r="A3" i="118"/>
  <c r="A2" i="118"/>
  <c r="A1" i="118"/>
  <c r="A1" i="119" s="1"/>
  <c r="F28" i="117"/>
  <c r="D28" i="117"/>
  <c r="H27" i="117"/>
  <c r="H26" i="117"/>
  <c r="F23" i="117"/>
  <c r="E10" i="115" s="1"/>
  <c r="D23" i="117"/>
  <c r="G10" i="117"/>
  <c r="G11" i="117" s="1"/>
  <c r="G12" i="117" s="1"/>
  <c r="G13" i="117" s="1"/>
  <c r="G14" i="117" s="1"/>
  <c r="G15" i="117" s="1"/>
  <c r="G16" i="117" s="1"/>
  <c r="G17" i="117" s="1"/>
  <c r="G18" i="117" s="1"/>
  <c r="G19" i="117" s="1"/>
  <c r="G20" i="117" s="1"/>
  <c r="G21" i="117" s="1"/>
  <c r="E9" i="117"/>
  <c r="E10" i="117" s="1"/>
  <c r="E11" i="117" s="1"/>
  <c r="E12" i="117" s="1"/>
  <c r="E13" i="117" s="1"/>
  <c r="E14" i="117" s="1"/>
  <c r="E15" i="117" s="1"/>
  <c r="E16" i="117" s="1"/>
  <c r="E17" i="117" s="1"/>
  <c r="E18" i="117" s="1"/>
  <c r="E19" i="117" s="1"/>
  <c r="E20" i="117" s="1"/>
  <c r="E21" i="117" s="1"/>
  <c r="A6" i="117"/>
  <c r="D3" i="117"/>
  <c r="A3" i="117"/>
  <c r="A2" i="117"/>
  <c r="A1" i="117"/>
  <c r="H24" i="116"/>
  <c r="C8" i="115" s="1"/>
  <c r="C15" i="115" s="1"/>
  <c r="F33" i="17" s="1"/>
  <c r="G33" i="17" s="1"/>
  <c r="G24" i="116"/>
  <c r="C24" i="116"/>
  <c r="A6" i="116"/>
  <c r="D3" i="116"/>
  <c r="A3" i="116"/>
  <c r="A2" i="116"/>
  <c r="A1" i="116"/>
  <c r="G22" i="114"/>
  <c r="D12" i="110" s="1"/>
  <c r="H9" i="114"/>
  <c r="H10" i="114" s="1"/>
  <c r="H11" i="114" s="1"/>
  <c r="H12" i="114" s="1"/>
  <c r="H13" i="114" s="1"/>
  <c r="H14" i="114" s="1"/>
  <c r="H15" i="114" s="1"/>
  <c r="H16" i="114" s="1"/>
  <c r="H17" i="114" s="1"/>
  <c r="H18" i="114" s="1"/>
  <c r="H19" i="114" s="1"/>
  <c r="H20" i="114" s="1"/>
  <c r="A6" i="114"/>
  <c r="E3" i="114"/>
  <c r="A3" i="114"/>
  <c r="A2" i="114"/>
  <c r="G23" i="113"/>
  <c r="E11" i="110" s="1"/>
  <c r="E23" i="113"/>
  <c r="H10" i="113"/>
  <c r="H11" i="113" s="1"/>
  <c r="H12" i="113" s="1"/>
  <c r="H13" i="113" s="1"/>
  <c r="H14" i="113" s="1"/>
  <c r="H15" i="113" s="1"/>
  <c r="H16" i="113" s="1"/>
  <c r="H17" i="113" s="1"/>
  <c r="H18" i="113" s="1"/>
  <c r="H19" i="113" s="1"/>
  <c r="H20" i="113" s="1"/>
  <c r="H21" i="113" s="1"/>
  <c r="F9" i="113"/>
  <c r="A6" i="113"/>
  <c r="E3" i="113"/>
  <c r="A3" i="113"/>
  <c r="A2" i="113"/>
  <c r="A1" i="113"/>
  <c r="A1" i="114" s="1"/>
  <c r="F23" i="112"/>
  <c r="E10" i="110" s="1"/>
  <c r="D23" i="112"/>
  <c r="D10" i="110" s="1"/>
  <c r="G10" i="112"/>
  <c r="G11" i="112" s="1"/>
  <c r="G12" i="112" s="1"/>
  <c r="G13" i="112" s="1"/>
  <c r="G14" i="112" s="1"/>
  <c r="G15" i="112" s="1"/>
  <c r="G16" i="112" s="1"/>
  <c r="G17" i="112" s="1"/>
  <c r="G18" i="112" s="1"/>
  <c r="G19" i="112" s="1"/>
  <c r="G20" i="112" s="1"/>
  <c r="G21" i="112" s="1"/>
  <c r="E9" i="112"/>
  <c r="E10" i="112" s="1"/>
  <c r="E11" i="112" s="1"/>
  <c r="E12" i="112" s="1"/>
  <c r="E13" i="112" s="1"/>
  <c r="E14" i="112" s="1"/>
  <c r="E15" i="112" s="1"/>
  <c r="E16" i="112" s="1"/>
  <c r="E17" i="112" s="1"/>
  <c r="E18" i="112" s="1"/>
  <c r="E19" i="112" s="1"/>
  <c r="E20" i="112" s="1"/>
  <c r="E21" i="112" s="1"/>
  <c r="A6" i="112"/>
  <c r="D3" i="112"/>
  <c r="A3" i="112"/>
  <c r="A2" i="112"/>
  <c r="A1" i="112"/>
  <c r="H24" i="111"/>
  <c r="C8" i="110" s="1"/>
  <c r="C16" i="110" s="1"/>
  <c r="F32" i="17" s="1"/>
  <c r="G32" i="17" s="1"/>
  <c r="G24" i="111"/>
  <c r="C24" i="111"/>
  <c r="A6" i="111"/>
  <c r="D3" i="111"/>
  <c r="A3" i="111"/>
  <c r="A2" i="111"/>
  <c r="A1" i="111"/>
  <c r="F23" i="109"/>
  <c r="E14" i="33" s="1"/>
  <c r="D23" i="109"/>
  <c r="D14" i="33" s="1"/>
  <c r="G10" i="109"/>
  <c r="G11" i="109" s="1"/>
  <c r="G12" i="109" s="1"/>
  <c r="G13" i="109" s="1"/>
  <c r="G14" i="109" s="1"/>
  <c r="G15" i="109" s="1"/>
  <c r="G16" i="109" s="1"/>
  <c r="G17" i="109" s="1"/>
  <c r="G18" i="109" s="1"/>
  <c r="G19" i="109" s="1"/>
  <c r="G20" i="109" s="1"/>
  <c r="G21" i="109" s="1"/>
  <c r="E9" i="109"/>
  <c r="E10" i="109" s="1"/>
  <c r="E11" i="109" s="1"/>
  <c r="E12" i="109" s="1"/>
  <c r="E13" i="109" s="1"/>
  <c r="E14" i="109" s="1"/>
  <c r="E15" i="109" s="1"/>
  <c r="E16" i="109" s="1"/>
  <c r="E17" i="109" s="1"/>
  <c r="E18" i="109" s="1"/>
  <c r="E19" i="109" s="1"/>
  <c r="E20" i="109" s="1"/>
  <c r="E21" i="109" s="1"/>
  <c r="A6" i="109"/>
  <c r="D3" i="109"/>
  <c r="A3" i="109"/>
  <c r="A2" i="109"/>
  <c r="A1" i="109"/>
  <c r="F28" i="108"/>
  <c r="D28" i="108"/>
  <c r="H27" i="108"/>
  <c r="H26" i="108"/>
  <c r="F23" i="108"/>
  <c r="E13" i="88" s="1"/>
  <c r="D23" i="108"/>
  <c r="D13" i="88" s="1"/>
  <c r="G10" i="108"/>
  <c r="G11" i="108" s="1"/>
  <c r="G12" i="108" s="1"/>
  <c r="G13" i="108" s="1"/>
  <c r="G14" i="108" s="1"/>
  <c r="G15" i="108" s="1"/>
  <c r="G16" i="108" s="1"/>
  <c r="G17" i="108" s="1"/>
  <c r="G18" i="108" s="1"/>
  <c r="G19" i="108" s="1"/>
  <c r="G20" i="108" s="1"/>
  <c r="G21" i="108" s="1"/>
  <c r="E9" i="108"/>
  <c r="H9" i="108" s="1"/>
  <c r="H10" i="108" s="1"/>
  <c r="H11" i="108" s="1"/>
  <c r="H12" i="108" s="1"/>
  <c r="H13" i="108" s="1"/>
  <c r="H14" i="108" s="1"/>
  <c r="H15" i="108" s="1"/>
  <c r="H16" i="108" s="1"/>
  <c r="H17" i="108" s="1"/>
  <c r="H18" i="108" s="1"/>
  <c r="H19" i="108" s="1"/>
  <c r="H20" i="108" s="1"/>
  <c r="H21" i="108" s="1"/>
  <c r="A6" i="108"/>
  <c r="D3" i="108"/>
  <c r="A3" i="108"/>
  <c r="A2" i="108"/>
  <c r="A1" i="108"/>
  <c r="F26" i="94"/>
  <c r="F34" i="94" s="1"/>
  <c r="E12" i="110" l="1"/>
  <c r="E16" i="110" s="1"/>
  <c r="I32" i="17" s="1"/>
  <c r="I9" i="113"/>
  <c r="I10" i="113" s="1"/>
  <c r="I11" i="113" s="1"/>
  <c r="I12" i="113" s="1"/>
  <c r="I13" i="113" s="1"/>
  <c r="I14" i="113" s="1"/>
  <c r="I15" i="113" s="1"/>
  <c r="I16" i="113" s="1"/>
  <c r="I17" i="113" s="1"/>
  <c r="I18" i="113" s="1"/>
  <c r="I19" i="113" s="1"/>
  <c r="I20" i="113" s="1"/>
  <c r="I21" i="113" s="1"/>
  <c r="F10" i="113"/>
  <c r="F11" i="113" s="1"/>
  <c r="F12" i="113" s="1"/>
  <c r="F13" i="113" s="1"/>
  <c r="F14" i="113" s="1"/>
  <c r="F15" i="113" s="1"/>
  <c r="F16" i="113" s="1"/>
  <c r="F17" i="113" s="1"/>
  <c r="F18" i="113" s="1"/>
  <c r="F19" i="113" s="1"/>
  <c r="F20" i="113" s="1"/>
  <c r="F21" i="113" s="1"/>
  <c r="I9" i="123"/>
  <c r="I10" i="123" s="1"/>
  <c r="I11" i="123" s="1"/>
  <c r="I12" i="123" s="1"/>
  <c r="I13" i="123" s="1"/>
  <c r="I14" i="123" s="1"/>
  <c r="I15" i="123" s="1"/>
  <c r="I16" i="123" s="1"/>
  <c r="I17" i="123" s="1"/>
  <c r="I18" i="123" s="1"/>
  <c r="I19" i="123" s="1"/>
  <c r="I20" i="123" s="1"/>
  <c r="I21" i="123" s="1"/>
  <c r="F10" i="123"/>
  <c r="F11" i="123" s="1"/>
  <c r="F12" i="123" s="1"/>
  <c r="F13" i="123" s="1"/>
  <c r="F14" i="123" s="1"/>
  <c r="F15" i="123" s="1"/>
  <c r="F16" i="123" s="1"/>
  <c r="F17" i="123" s="1"/>
  <c r="F18" i="123" s="1"/>
  <c r="F19" i="123" s="1"/>
  <c r="F20" i="123" s="1"/>
  <c r="F21" i="123" s="1"/>
  <c r="I9" i="118"/>
  <c r="I10" i="118" s="1"/>
  <c r="I11" i="118" s="1"/>
  <c r="I12" i="118" s="1"/>
  <c r="I13" i="118" s="1"/>
  <c r="I14" i="118" s="1"/>
  <c r="I15" i="118" s="1"/>
  <c r="I16" i="118" s="1"/>
  <c r="I17" i="118" s="1"/>
  <c r="I18" i="118" s="1"/>
  <c r="I19" i="118" s="1"/>
  <c r="I20" i="118" s="1"/>
  <c r="I21" i="118" s="1"/>
  <c r="F10" i="118"/>
  <c r="F11" i="118" s="1"/>
  <c r="F12" i="118" s="1"/>
  <c r="F13" i="118" s="1"/>
  <c r="F14" i="118" s="1"/>
  <c r="F15" i="118" s="1"/>
  <c r="F16" i="118" s="1"/>
  <c r="F17" i="118" s="1"/>
  <c r="F18" i="118" s="1"/>
  <c r="F19" i="118" s="1"/>
  <c r="F20" i="118" s="1"/>
  <c r="F21" i="118" s="1"/>
  <c r="H23" i="117"/>
  <c r="F10" i="115" s="1"/>
  <c r="H23" i="122"/>
  <c r="F10" i="120" s="1"/>
  <c r="H23" i="112"/>
  <c r="F10" i="110" s="1"/>
  <c r="I23" i="123"/>
  <c r="F11" i="120" s="1"/>
  <c r="E15" i="120"/>
  <c r="I34" i="17" s="1"/>
  <c r="H28" i="117"/>
  <c r="I23" i="118"/>
  <c r="F11" i="115" s="1"/>
  <c r="H28" i="122"/>
  <c r="D11" i="120"/>
  <c r="D15" i="120" s="1"/>
  <c r="H34" i="17" s="1"/>
  <c r="F12" i="120"/>
  <c r="D10" i="115"/>
  <c r="I23" i="113"/>
  <c r="F11" i="110" s="1"/>
  <c r="H9" i="117"/>
  <c r="H10" i="117" s="1"/>
  <c r="H11" i="117" s="1"/>
  <c r="H12" i="117" s="1"/>
  <c r="H13" i="117" s="1"/>
  <c r="H14" i="117" s="1"/>
  <c r="H15" i="117" s="1"/>
  <c r="H16" i="117" s="1"/>
  <c r="H17" i="117" s="1"/>
  <c r="H18" i="117" s="1"/>
  <c r="H19" i="117" s="1"/>
  <c r="H20" i="117" s="1"/>
  <c r="H21" i="117" s="1"/>
  <c r="D11" i="110"/>
  <c r="D16" i="110" s="1"/>
  <c r="H9" i="122"/>
  <c r="H10" i="122" s="1"/>
  <c r="H11" i="122" s="1"/>
  <c r="H12" i="122" s="1"/>
  <c r="H13" i="122" s="1"/>
  <c r="H14" i="122" s="1"/>
  <c r="H15" i="122" s="1"/>
  <c r="H16" i="122" s="1"/>
  <c r="H17" i="122" s="1"/>
  <c r="H18" i="122" s="1"/>
  <c r="H19" i="122" s="1"/>
  <c r="H20" i="122" s="1"/>
  <c r="H21" i="122" s="1"/>
  <c r="E15" i="115"/>
  <c r="I33" i="17" s="1"/>
  <c r="D11" i="115"/>
  <c r="D12" i="115"/>
  <c r="F12" i="115" s="1"/>
  <c r="H9" i="112"/>
  <c r="H10" i="112" s="1"/>
  <c r="H11" i="112" s="1"/>
  <c r="H12" i="112" s="1"/>
  <c r="H13" i="112" s="1"/>
  <c r="H14" i="112" s="1"/>
  <c r="H15" i="112" s="1"/>
  <c r="H16" i="112" s="1"/>
  <c r="H17" i="112" s="1"/>
  <c r="H18" i="112" s="1"/>
  <c r="H19" i="112" s="1"/>
  <c r="H20" i="112" s="1"/>
  <c r="H21" i="112" s="1"/>
  <c r="H28" i="108"/>
  <c r="H23" i="108"/>
  <c r="F13" i="88" s="1"/>
  <c r="H23" i="109"/>
  <c r="F14" i="33" s="1"/>
  <c r="H9" i="109"/>
  <c r="H10" i="109" s="1"/>
  <c r="H11" i="109" s="1"/>
  <c r="H12" i="109" s="1"/>
  <c r="H13" i="109" s="1"/>
  <c r="H14" i="109" s="1"/>
  <c r="H15" i="109" s="1"/>
  <c r="H16" i="109" s="1"/>
  <c r="H17" i="109" s="1"/>
  <c r="H18" i="109" s="1"/>
  <c r="H19" i="109" s="1"/>
  <c r="H20" i="109" s="1"/>
  <c r="H21" i="109" s="1"/>
  <c r="E10" i="108"/>
  <c r="E11" i="108" s="1"/>
  <c r="E12" i="108" s="1"/>
  <c r="E13" i="108" s="1"/>
  <c r="E14" i="108" s="1"/>
  <c r="E15" i="108" s="1"/>
  <c r="E16" i="108" s="1"/>
  <c r="E17" i="108" s="1"/>
  <c r="E18" i="108" s="1"/>
  <c r="E19" i="108" s="1"/>
  <c r="E20" i="108" s="1"/>
  <c r="E21" i="108" s="1"/>
  <c r="F12" i="110" l="1"/>
  <c r="H32" i="17"/>
  <c r="G16" i="110"/>
  <c r="K32" i="17" s="1"/>
  <c r="F15" i="120"/>
  <c r="J34" i="17" s="1"/>
  <c r="G15" i="120"/>
  <c r="K34" i="17" s="1"/>
  <c r="D15" i="115"/>
  <c r="H33" i="17" s="1"/>
  <c r="F16" i="110"/>
  <c r="J32" i="17" s="1"/>
  <c r="H27" i="90"/>
  <c r="H28" i="90"/>
  <c r="H29" i="90"/>
  <c r="H26" i="90"/>
  <c r="H31" i="90" l="1"/>
  <c r="G15" i="115"/>
  <c r="K33" i="17" s="1"/>
  <c r="F15" i="115"/>
  <c r="J33" i="17" s="1"/>
  <c r="H27" i="107"/>
  <c r="H28" i="107"/>
  <c r="H29" i="107"/>
  <c r="H30" i="107"/>
  <c r="H31" i="107"/>
  <c r="H32" i="107"/>
  <c r="H26" i="107"/>
  <c r="F23" i="107"/>
  <c r="E13" i="101" s="1"/>
  <c r="D23" i="107"/>
  <c r="G10" i="107"/>
  <c r="G11" i="107" s="1"/>
  <c r="G12" i="107" s="1"/>
  <c r="G13" i="107" s="1"/>
  <c r="G14" i="107" s="1"/>
  <c r="G15" i="107" s="1"/>
  <c r="G16" i="107" s="1"/>
  <c r="G17" i="107" s="1"/>
  <c r="G18" i="107" s="1"/>
  <c r="G19" i="107" s="1"/>
  <c r="G20" i="107" s="1"/>
  <c r="G21" i="107" s="1"/>
  <c r="E9" i="107"/>
  <c r="H9" i="107" s="1"/>
  <c r="H10" i="107" s="1"/>
  <c r="H11" i="107" s="1"/>
  <c r="H12" i="107" s="1"/>
  <c r="H13" i="107" s="1"/>
  <c r="H14" i="107" s="1"/>
  <c r="H15" i="107" s="1"/>
  <c r="H16" i="107" s="1"/>
  <c r="H17" i="107" s="1"/>
  <c r="H18" i="107" s="1"/>
  <c r="H19" i="107" s="1"/>
  <c r="H20" i="107" s="1"/>
  <c r="H21" i="107" s="1"/>
  <c r="A6" i="107"/>
  <c r="D3" i="107"/>
  <c r="A3" i="107"/>
  <c r="A2" i="107"/>
  <c r="A1" i="107"/>
  <c r="H34" i="107" l="1"/>
  <c r="E10" i="107"/>
  <c r="E11" i="107" s="1"/>
  <c r="E12" i="107" s="1"/>
  <c r="E13" i="107" s="1"/>
  <c r="E14" i="107" s="1"/>
  <c r="E15" i="107" s="1"/>
  <c r="E16" i="107" s="1"/>
  <c r="E17" i="107" s="1"/>
  <c r="E18" i="107" s="1"/>
  <c r="E19" i="107" s="1"/>
  <c r="E20" i="107" s="1"/>
  <c r="E21" i="107" s="1"/>
  <c r="H23" i="107"/>
  <c r="F13" i="101" s="1"/>
  <c r="D13" i="101"/>
  <c r="E9" i="91" l="1"/>
  <c r="F10" i="91" s="1"/>
  <c r="F11" i="91" s="1"/>
  <c r="F12" i="91" s="1"/>
  <c r="F13" i="91" s="1"/>
  <c r="F14" i="91" s="1"/>
  <c r="F15" i="91" s="1"/>
  <c r="F16" i="91" s="1"/>
  <c r="F17" i="91" s="1"/>
  <c r="F18" i="91" s="1"/>
  <c r="F19" i="91" s="1"/>
  <c r="F20" i="91" s="1"/>
  <c r="F21" i="91" s="1"/>
  <c r="F22" i="91" s="1"/>
  <c r="F23" i="91" s="1"/>
  <c r="F24" i="91" s="1"/>
  <c r="F25" i="91" s="1"/>
  <c r="I12" i="61" l="1"/>
  <c r="I13" i="61" s="1"/>
  <c r="I16" i="61" s="1"/>
  <c r="I17" i="61" s="1"/>
  <c r="I18" i="61" s="1"/>
  <c r="F23" i="106" l="1"/>
  <c r="E14" i="54" s="1"/>
  <c r="D23" i="106"/>
  <c r="D14" i="54" s="1"/>
  <c r="G10" i="106"/>
  <c r="G11" i="106" s="1"/>
  <c r="G12" i="106" s="1"/>
  <c r="G13" i="106" s="1"/>
  <c r="G14" i="106" s="1"/>
  <c r="G15" i="106" s="1"/>
  <c r="G16" i="106" s="1"/>
  <c r="G17" i="106" s="1"/>
  <c r="G18" i="106" s="1"/>
  <c r="G19" i="106" s="1"/>
  <c r="G20" i="106" s="1"/>
  <c r="G21" i="106" s="1"/>
  <c r="E9" i="106"/>
  <c r="E10" i="106" s="1"/>
  <c r="E11" i="106" s="1"/>
  <c r="E12" i="106" s="1"/>
  <c r="E13" i="106" s="1"/>
  <c r="E14" i="106" s="1"/>
  <c r="E15" i="106" s="1"/>
  <c r="E16" i="106" s="1"/>
  <c r="E17" i="106" s="1"/>
  <c r="E18" i="106" s="1"/>
  <c r="E19" i="106" s="1"/>
  <c r="E20" i="106" s="1"/>
  <c r="E21" i="106" s="1"/>
  <c r="A6" i="106"/>
  <c r="D3" i="106"/>
  <c r="A3" i="106"/>
  <c r="A2" i="106"/>
  <c r="A1" i="106"/>
  <c r="H23" i="106" l="1"/>
  <c r="F14" i="54" s="1"/>
  <c r="H9" i="106"/>
  <c r="H10" i="106" s="1"/>
  <c r="H11" i="106" s="1"/>
  <c r="H12" i="106" s="1"/>
  <c r="H13" i="106" s="1"/>
  <c r="H14" i="106" s="1"/>
  <c r="H15" i="106" s="1"/>
  <c r="H16" i="106" s="1"/>
  <c r="H17" i="106" s="1"/>
  <c r="H18" i="106" s="1"/>
  <c r="H19" i="106" s="1"/>
  <c r="H20" i="106" s="1"/>
  <c r="H21" i="106" s="1"/>
  <c r="I11" i="61" l="1"/>
  <c r="F23" i="61"/>
  <c r="E10" i="59" l="1"/>
  <c r="D27" i="84" l="1"/>
  <c r="D26" i="84"/>
  <c r="F26" i="84"/>
  <c r="F27" i="84"/>
  <c r="G22" i="105" l="1"/>
  <c r="D12" i="101" s="1"/>
  <c r="H9" i="105"/>
  <c r="H10" i="105" s="1"/>
  <c r="H11" i="105" s="1"/>
  <c r="H12" i="105" s="1"/>
  <c r="H13" i="105" s="1"/>
  <c r="H14" i="105" s="1"/>
  <c r="H15" i="105" s="1"/>
  <c r="H16" i="105" s="1"/>
  <c r="H17" i="105" s="1"/>
  <c r="H18" i="105" s="1"/>
  <c r="H19" i="105" s="1"/>
  <c r="H20" i="105" s="1"/>
  <c r="A6" i="105"/>
  <c r="E3" i="105"/>
  <c r="A3" i="105"/>
  <c r="A2" i="105"/>
  <c r="G26" i="104"/>
  <c r="E11" i="101" s="1"/>
  <c r="E26" i="104"/>
  <c r="D11" i="101" s="1"/>
  <c r="H10" i="104"/>
  <c r="H11" i="104" s="1"/>
  <c r="H12" i="104" s="1"/>
  <c r="H13" i="104" s="1"/>
  <c r="H14" i="104" s="1"/>
  <c r="H15" i="104" s="1"/>
  <c r="H16" i="104" s="1"/>
  <c r="H17" i="104" s="1"/>
  <c r="H18" i="104" s="1"/>
  <c r="H19" i="104" s="1"/>
  <c r="H20" i="104" s="1"/>
  <c r="H21" i="104" s="1"/>
  <c r="H22" i="104" s="1"/>
  <c r="H23" i="104" s="1"/>
  <c r="H24" i="104" s="1"/>
  <c r="F9" i="104"/>
  <c r="A6" i="104"/>
  <c r="E3" i="104"/>
  <c r="A3" i="104"/>
  <c r="A2" i="104"/>
  <c r="A1" i="104"/>
  <c r="A1" i="105" s="1"/>
  <c r="H27" i="103"/>
  <c r="H26" i="103"/>
  <c r="F23" i="103"/>
  <c r="E10" i="101" s="1"/>
  <c r="D23" i="103"/>
  <c r="D10" i="101" s="1"/>
  <c r="G10" i="103"/>
  <c r="G11" i="103" s="1"/>
  <c r="G12" i="103" s="1"/>
  <c r="G13" i="103" s="1"/>
  <c r="G14" i="103" s="1"/>
  <c r="G15" i="103" s="1"/>
  <c r="G16" i="103" s="1"/>
  <c r="G17" i="103" s="1"/>
  <c r="G18" i="103" s="1"/>
  <c r="G19" i="103" s="1"/>
  <c r="G20" i="103" s="1"/>
  <c r="G21" i="103" s="1"/>
  <c r="E9" i="103"/>
  <c r="H9" i="103" s="1"/>
  <c r="H10" i="103" s="1"/>
  <c r="H11" i="103" s="1"/>
  <c r="H12" i="103" s="1"/>
  <c r="H13" i="103" s="1"/>
  <c r="H14" i="103" s="1"/>
  <c r="H15" i="103" s="1"/>
  <c r="H16" i="103" s="1"/>
  <c r="H17" i="103" s="1"/>
  <c r="H18" i="103" s="1"/>
  <c r="H19" i="103" s="1"/>
  <c r="H20" i="103" s="1"/>
  <c r="H21" i="103" s="1"/>
  <c r="A6" i="103"/>
  <c r="D3" i="103"/>
  <c r="A3" i="103"/>
  <c r="A2" i="103"/>
  <c r="A1" i="103"/>
  <c r="H24" i="102"/>
  <c r="C8" i="101" s="1"/>
  <c r="C15" i="101" s="1"/>
  <c r="F31" i="17" s="1"/>
  <c r="G31" i="17" s="1"/>
  <c r="G24" i="102"/>
  <c r="C24" i="102"/>
  <c r="A6" i="102"/>
  <c r="D3" i="102"/>
  <c r="A3" i="102"/>
  <c r="A2" i="102"/>
  <c r="A1" i="102"/>
  <c r="E12" i="101"/>
  <c r="I9" i="104" l="1"/>
  <c r="I10" i="104" s="1"/>
  <c r="I11" i="104" s="1"/>
  <c r="I12" i="104" s="1"/>
  <c r="I13" i="104" s="1"/>
  <c r="I14" i="104" s="1"/>
  <c r="I15" i="104" s="1"/>
  <c r="I16" i="104" s="1"/>
  <c r="I17" i="104" s="1"/>
  <c r="I18" i="104" s="1"/>
  <c r="I19" i="104" s="1"/>
  <c r="I20" i="104" s="1"/>
  <c r="I21" i="104" s="1"/>
  <c r="I22" i="104" s="1"/>
  <c r="I23" i="104" s="1"/>
  <c r="I24" i="104" s="1"/>
  <c r="F10" i="104"/>
  <c r="F11" i="104" s="1"/>
  <c r="F12" i="104" s="1"/>
  <c r="F13" i="104" s="1"/>
  <c r="F14" i="104" s="1"/>
  <c r="F15" i="104" s="1"/>
  <c r="F16" i="104" s="1"/>
  <c r="F17" i="104" s="1"/>
  <c r="F18" i="104" s="1"/>
  <c r="F19" i="104" s="1"/>
  <c r="F20" i="104" s="1"/>
  <c r="F21" i="104" s="1"/>
  <c r="H29" i="103"/>
  <c r="F12" i="101"/>
  <c r="E10" i="103"/>
  <c r="E11" i="103" s="1"/>
  <c r="E12" i="103" s="1"/>
  <c r="E13" i="103" s="1"/>
  <c r="E14" i="103" s="1"/>
  <c r="E15" i="103" s="1"/>
  <c r="E16" i="103" s="1"/>
  <c r="E17" i="103" s="1"/>
  <c r="E18" i="103" s="1"/>
  <c r="E19" i="103" s="1"/>
  <c r="E20" i="103" s="1"/>
  <c r="E21" i="103" s="1"/>
  <c r="D15" i="101"/>
  <c r="H31" i="17" s="1"/>
  <c r="E15" i="101"/>
  <c r="I31" i="17" s="1"/>
  <c r="I26" i="104"/>
  <c r="F11" i="101" s="1"/>
  <c r="H23" i="103"/>
  <c r="F10" i="101" s="1"/>
  <c r="F15" i="101" l="1"/>
  <c r="J31" i="17" s="1"/>
  <c r="G15" i="101"/>
  <c r="K31" i="17" s="1"/>
  <c r="F26" i="87"/>
  <c r="G22" i="100"/>
  <c r="D12" i="96" s="1"/>
  <c r="H9" i="100"/>
  <c r="H10" i="100" s="1"/>
  <c r="H11" i="100" s="1"/>
  <c r="H12" i="100" s="1"/>
  <c r="H13" i="100" s="1"/>
  <c r="H14" i="100" s="1"/>
  <c r="H15" i="100" s="1"/>
  <c r="H16" i="100" s="1"/>
  <c r="H17" i="100" s="1"/>
  <c r="H18" i="100" s="1"/>
  <c r="H19" i="100" s="1"/>
  <c r="H20" i="100" s="1"/>
  <c r="A6" i="100"/>
  <c r="E3" i="100"/>
  <c r="A3" i="100"/>
  <c r="A2" i="100"/>
  <c r="G23" i="99"/>
  <c r="E11" i="96" s="1"/>
  <c r="E23" i="99"/>
  <c r="D11" i="96" s="1"/>
  <c r="H10" i="99"/>
  <c r="H11" i="99" s="1"/>
  <c r="H12" i="99" s="1"/>
  <c r="H13" i="99" s="1"/>
  <c r="H14" i="99" s="1"/>
  <c r="H15" i="99" s="1"/>
  <c r="H16" i="99" s="1"/>
  <c r="H17" i="99" s="1"/>
  <c r="H18" i="99" s="1"/>
  <c r="H19" i="99" s="1"/>
  <c r="H20" i="99" s="1"/>
  <c r="H21" i="99" s="1"/>
  <c r="F9" i="99"/>
  <c r="A6" i="99"/>
  <c r="E3" i="99"/>
  <c r="A3" i="99"/>
  <c r="A2" i="99"/>
  <c r="A1" i="99"/>
  <c r="A1" i="100" s="1"/>
  <c r="F29" i="98"/>
  <c r="D29" i="98"/>
  <c r="F23" i="98"/>
  <c r="D23" i="98"/>
  <c r="D10" i="96" s="1"/>
  <c r="G10" i="98"/>
  <c r="G11" i="98" s="1"/>
  <c r="G12" i="98" s="1"/>
  <c r="G13" i="98" s="1"/>
  <c r="G14" i="98" s="1"/>
  <c r="G15" i="98" s="1"/>
  <c r="G16" i="98" s="1"/>
  <c r="G17" i="98" s="1"/>
  <c r="G18" i="98" s="1"/>
  <c r="G19" i="98" s="1"/>
  <c r="G20" i="98" s="1"/>
  <c r="G21" i="98" s="1"/>
  <c r="E9" i="98"/>
  <c r="E10" i="98" s="1"/>
  <c r="E11" i="98" s="1"/>
  <c r="E12" i="98" s="1"/>
  <c r="E13" i="98" s="1"/>
  <c r="E14" i="98" s="1"/>
  <c r="E15" i="98" s="1"/>
  <c r="E16" i="98" s="1"/>
  <c r="E17" i="98" s="1"/>
  <c r="E18" i="98" s="1"/>
  <c r="E19" i="98" s="1"/>
  <c r="E20" i="98" s="1"/>
  <c r="E21" i="98" s="1"/>
  <c r="A6" i="98"/>
  <c r="D3" i="98"/>
  <c r="A3" i="98"/>
  <c r="A2" i="98"/>
  <c r="A1" i="98"/>
  <c r="H24" i="97"/>
  <c r="C8" i="96" s="1"/>
  <c r="C14" i="96" s="1"/>
  <c r="F29" i="17" s="1"/>
  <c r="G29" i="17" s="1"/>
  <c r="G24" i="97"/>
  <c r="C24" i="97"/>
  <c r="A6" i="97"/>
  <c r="D3" i="97"/>
  <c r="A3" i="97"/>
  <c r="A2" i="97"/>
  <c r="A1" i="97"/>
  <c r="I9" i="99" l="1"/>
  <c r="I10" i="99" s="1"/>
  <c r="I11" i="99" s="1"/>
  <c r="I12" i="99" s="1"/>
  <c r="I13" i="99" s="1"/>
  <c r="I14" i="99" s="1"/>
  <c r="I15" i="99" s="1"/>
  <c r="I16" i="99" s="1"/>
  <c r="I17" i="99" s="1"/>
  <c r="I18" i="99" s="1"/>
  <c r="I19" i="99" s="1"/>
  <c r="I20" i="99" s="1"/>
  <c r="I21" i="99" s="1"/>
  <c r="F10" i="99"/>
  <c r="F11" i="99" s="1"/>
  <c r="F12" i="99" s="1"/>
  <c r="F13" i="99" s="1"/>
  <c r="F14" i="99" s="1"/>
  <c r="F15" i="99" s="1"/>
  <c r="F16" i="99" s="1"/>
  <c r="F17" i="99" s="1"/>
  <c r="F18" i="99" s="1"/>
  <c r="F19" i="99" s="1"/>
  <c r="F20" i="99" s="1"/>
  <c r="F21" i="99" s="1"/>
  <c r="D14" i="96"/>
  <c r="H29" i="17" s="1"/>
  <c r="I23" i="99"/>
  <c r="F11" i="96" s="1"/>
  <c r="E12" i="96"/>
  <c r="F12" i="96" s="1"/>
  <c r="H23" i="98"/>
  <c r="F10" i="96" s="1"/>
  <c r="H29" i="98"/>
  <c r="E10" i="96"/>
  <c r="H9" i="98"/>
  <c r="H10" i="98" s="1"/>
  <c r="H11" i="98" s="1"/>
  <c r="H12" i="98" s="1"/>
  <c r="H13" i="98" s="1"/>
  <c r="H14" i="98" s="1"/>
  <c r="H15" i="98" s="1"/>
  <c r="H16" i="98" s="1"/>
  <c r="H17" i="98" s="1"/>
  <c r="H18" i="98" s="1"/>
  <c r="H19" i="98" s="1"/>
  <c r="H20" i="98" s="1"/>
  <c r="H21" i="98" s="1"/>
  <c r="E14" i="96" l="1"/>
  <c r="I29" i="17" s="1"/>
  <c r="G14" i="96"/>
  <c r="K29" i="17" s="1"/>
  <c r="I12" i="85"/>
  <c r="F14" i="96" l="1"/>
  <c r="J29" i="17" s="1"/>
  <c r="F26" i="82"/>
  <c r="F30" i="82" s="1"/>
  <c r="G11" i="21"/>
  <c r="E9" i="67" l="1"/>
  <c r="G10" i="21"/>
  <c r="H27" i="95" l="1"/>
  <c r="H28" i="95"/>
  <c r="F29" i="95"/>
  <c r="D29" i="95"/>
  <c r="H26" i="95"/>
  <c r="F23" i="95"/>
  <c r="E14" i="28" s="1"/>
  <c r="D23" i="95"/>
  <c r="G10" i="95"/>
  <c r="G11" i="95" s="1"/>
  <c r="G12" i="95" s="1"/>
  <c r="G13" i="95" s="1"/>
  <c r="G14" i="95" s="1"/>
  <c r="G15" i="95" s="1"/>
  <c r="G16" i="95" s="1"/>
  <c r="G17" i="95" s="1"/>
  <c r="G18" i="95" s="1"/>
  <c r="G19" i="95" s="1"/>
  <c r="G20" i="95" s="1"/>
  <c r="G21" i="95" s="1"/>
  <c r="E9" i="95"/>
  <c r="E10" i="95" s="1"/>
  <c r="E11" i="95" s="1"/>
  <c r="E12" i="95" s="1"/>
  <c r="E13" i="95" s="1"/>
  <c r="E14" i="95" s="1"/>
  <c r="E15" i="95" s="1"/>
  <c r="E16" i="95" s="1"/>
  <c r="E17" i="95" s="1"/>
  <c r="E18" i="95" s="1"/>
  <c r="E19" i="95" s="1"/>
  <c r="E20" i="95" s="1"/>
  <c r="E21" i="95" s="1"/>
  <c r="A6" i="95"/>
  <c r="D3" i="95"/>
  <c r="A3" i="95"/>
  <c r="A2" i="95"/>
  <c r="A1" i="95"/>
  <c r="H27" i="94"/>
  <c r="H28" i="94"/>
  <c r="H29" i="94"/>
  <c r="H30" i="94"/>
  <c r="H31" i="94"/>
  <c r="H32" i="94"/>
  <c r="H33" i="94"/>
  <c r="H26" i="94"/>
  <c r="D34" i="94"/>
  <c r="F23" i="94"/>
  <c r="E13" i="43" s="1"/>
  <c r="D23" i="94"/>
  <c r="D13" i="43" s="1"/>
  <c r="G10" i="94"/>
  <c r="G11" i="94" s="1"/>
  <c r="G12" i="94" s="1"/>
  <c r="G13" i="94" s="1"/>
  <c r="G14" i="94" s="1"/>
  <c r="G15" i="94" s="1"/>
  <c r="G16" i="94" s="1"/>
  <c r="G17" i="94" s="1"/>
  <c r="G18" i="94" s="1"/>
  <c r="G19" i="94" s="1"/>
  <c r="G20" i="94" s="1"/>
  <c r="G21" i="94" s="1"/>
  <c r="E9" i="94"/>
  <c r="E10" i="94" s="1"/>
  <c r="E11" i="94" s="1"/>
  <c r="E12" i="94" s="1"/>
  <c r="E13" i="94" s="1"/>
  <c r="E14" i="94" s="1"/>
  <c r="E15" i="94" s="1"/>
  <c r="E16" i="94" s="1"/>
  <c r="E17" i="94" s="1"/>
  <c r="E18" i="94" s="1"/>
  <c r="E19" i="94" s="1"/>
  <c r="E20" i="94" s="1"/>
  <c r="E21" i="94" s="1"/>
  <c r="A6" i="94"/>
  <c r="D3" i="94"/>
  <c r="A3" i="94"/>
  <c r="A2" i="94"/>
  <c r="A1" i="94"/>
  <c r="H23" i="95" l="1"/>
  <c r="F14" i="28" s="1"/>
  <c r="D14" i="28"/>
  <c r="H34" i="94"/>
  <c r="H29" i="95"/>
  <c r="H9" i="95"/>
  <c r="H10" i="95" s="1"/>
  <c r="H11" i="95" s="1"/>
  <c r="H12" i="95" s="1"/>
  <c r="H13" i="95" s="1"/>
  <c r="H14" i="95" s="1"/>
  <c r="H15" i="95" s="1"/>
  <c r="H16" i="95" s="1"/>
  <c r="H17" i="95" s="1"/>
  <c r="H18" i="95" s="1"/>
  <c r="H19" i="95" s="1"/>
  <c r="H20" i="95" s="1"/>
  <c r="H21" i="95" s="1"/>
  <c r="H23" i="94"/>
  <c r="F13" i="43" s="1"/>
  <c r="H9" i="94"/>
  <c r="H10" i="94" s="1"/>
  <c r="H11" i="94" s="1"/>
  <c r="H12" i="94" s="1"/>
  <c r="H13" i="94" s="1"/>
  <c r="H14" i="94" s="1"/>
  <c r="H15" i="94" s="1"/>
  <c r="H16" i="94" s="1"/>
  <c r="H17" i="94" s="1"/>
  <c r="H18" i="94" s="1"/>
  <c r="H19" i="94" s="1"/>
  <c r="H20" i="94" s="1"/>
  <c r="H21" i="94" s="1"/>
  <c r="F23" i="93"/>
  <c r="E13" i="69" s="1"/>
  <c r="D23" i="93"/>
  <c r="G10" i="93"/>
  <c r="G11" i="93" s="1"/>
  <c r="G12" i="93" s="1"/>
  <c r="G13" i="93" s="1"/>
  <c r="G14" i="93" s="1"/>
  <c r="G15" i="93" s="1"/>
  <c r="G16" i="93" s="1"/>
  <c r="G17" i="93" s="1"/>
  <c r="G18" i="93" s="1"/>
  <c r="G19" i="93" s="1"/>
  <c r="G20" i="93" s="1"/>
  <c r="G21" i="93" s="1"/>
  <c r="E9" i="93"/>
  <c r="E10" i="93" s="1"/>
  <c r="E11" i="93" s="1"/>
  <c r="E12" i="93" s="1"/>
  <c r="E13" i="93" s="1"/>
  <c r="E14" i="93" s="1"/>
  <c r="E15" i="93" s="1"/>
  <c r="E16" i="93" s="1"/>
  <c r="E17" i="93" s="1"/>
  <c r="E18" i="93" s="1"/>
  <c r="E19" i="93" s="1"/>
  <c r="E20" i="93" s="1"/>
  <c r="E21" i="93" s="1"/>
  <c r="A6" i="93"/>
  <c r="D3" i="93"/>
  <c r="A3" i="93"/>
  <c r="A2" i="93"/>
  <c r="A1" i="93"/>
  <c r="H9" i="22"/>
  <c r="I10" i="83"/>
  <c r="I11" i="83" s="1"/>
  <c r="I12" i="83" s="1"/>
  <c r="A1" i="92"/>
  <c r="G22" i="92"/>
  <c r="E12" i="88" s="1"/>
  <c r="H9" i="92"/>
  <c r="H10" i="92" s="1"/>
  <c r="H11" i="92" s="1"/>
  <c r="H12" i="92" s="1"/>
  <c r="H13" i="92" s="1"/>
  <c r="H14" i="92" s="1"/>
  <c r="H15" i="92" s="1"/>
  <c r="H16" i="92" s="1"/>
  <c r="H17" i="92" s="1"/>
  <c r="H18" i="92" s="1"/>
  <c r="H19" i="92" s="1"/>
  <c r="H20" i="92" s="1"/>
  <c r="A6" i="92"/>
  <c r="E3" i="92"/>
  <c r="A3" i="92"/>
  <c r="A2" i="92"/>
  <c r="G32" i="91"/>
  <c r="E11" i="88" s="1"/>
  <c r="E32" i="91"/>
  <c r="D11" i="88" s="1"/>
  <c r="H10" i="91"/>
  <c r="H11" i="91" s="1"/>
  <c r="H12" i="91" s="1"/>
  <c r="H13" i="91" s="1"/>
  <c r="H14" i="91" s="1"/>
  <c r="H15" i="91" s="1"/>
  <c r="H16" i="91" s="1"/>
  <c r="H17" i="91" s="1"/>
  <c r="H18" i="91" s="1"/>
  <c r="H19" i="91" s="1"/>
  <c r="H20" i="91" s="1"/>
  <c r="H21" i="91" s="1"/>
  <c r="H22" i="91" s="1"/>
  <c r="H23" i="91" s="1"/>
  <c r="H24" i="91" s="1"/>
  <c r="H25" i="91" s="1"/>
  <c r="F9" i="91"/>
  <c r="I9" i="91" s="1"/>
  <c r="I10" i="91" s="1"/>
  <c r="I11" i="91" s="1"/>
  <c r="I12" i="91" s="1"/>
  <c r="I13" i="91" s="1"/>
  <c r="I14" i="91" s="1"/>
  <c r="I15" i="91" s="1"/>
  <c r="I16" i="91" s="1"/>
  <c r="I17" i="91" s="1"/>
  <c r="I18" i="91" s="1"/>
  <c r="I19" i="91" s="1"/>
  <c r="I20" i="91" s="1"/>
  <c r="I21" i="91" s="1"/>
  <c r="I22" i="91" s="1"/>
  <c r="I23" i="91" s="1"/>
  <c r="I24" i="91" s="1"/>
  <c r="I25" i="91" s="1"/>
  <c r="A6" i="91"/>
  <c r="E3" i="91"/>
  <c r="A3" i="91"/>
  <c r="A2" i="91"/>
  <c r="A1" i="91"/>
  <c r="F23" i="90"/>
  <c r="E10" i="88" s="1"/>
  <c r="D23" i="90"/>
  <c r="D10" i="88" s="1"/>
  <c r="G10" i="90"/>
  <c r="G11" i="90" s="1"/>
  <c r="G12" i="90" s="1"/>
  <c r="G13" i="90" s="1"/>
  <c r="G14" i="90" s="1"/>
  <c r="G15" i="90" s="1"/>
  <c r="G16" i="90" s="1"/>
  <c r="G17" i="90" s="1"/>
  <c r="G18" i="90" s="1"/>
  <c r="G19" i="90" s="1"/>
  <c r="G20" i="90" s="1"/>
  <c r="G21" i="90" s="1"/>
  <c r="E9" i="90"/>
  <c r="E10" i="90" s="1"/>
  <c r="E11" i="90" s="1"/>
  <c r="E12" i="90" s="1"/>
  <c r="E13" i="90" s="1"/>
  <c r="E14" i="90" s="1"/>
  <c r="E15" i="90" s="1"/>
  <c r="E16" i="90" s="1"/>
  <c r="E17" i="90" s="1"/>
  <c r="E18" i="90" s="1"/>
  <c r="E19" i="90" s="1"/>
  <c r="E20" i="90" s="1"/>
  <c r="E21" i="90" s="1"/>
  <c r="A6" i="90"/>
  <c r="D3" i="90"/>
  <c r="A3" i="90"/>
  <c r="A2" i="90"/>
  <c r="A1" i="90"/>
  <c r="H24" i="89"/>
  <c r="C8" i="88" s="1"/>
  <c r="C25" i="88" s="1"/>
  <c r="F15" i="17" s="1"/>
  <c r="G15" i="17" s="1"/>
  <c r="G24" i="89"/>
  <c r="C24" i="89"/>
  <c r="A6" i="89"/>
  <c r="D3" i="89"/>
  <c r="A3" i="89"/>
  <c r="A2" i="89"/>
  <c r="A1" i="89"/>
  <c r="D12" i="88" l="1"/>
  <c r="F12" i="88" s="1"/>
  <c r="H9" i="90"/>
  <c r="H10" i="90" s="1"/>
  <c r="H11" i="90" s="1"/>
  <c r="H12" i="90" s="1"/>
  <c r="H13" i="90" s="1"/>
  <c r="H14" i="90" s="1"/>
  <c r="H15" i="90" s="1"/>
  <c r="H16" i="90" s="1"/>
  <c r="H17" i="90" s="1"/>
  <c r="H18" i="90" s="1"/>
  <c r="H19" i="90" s="1"/>
  <c r="H20" i="90" s="1"/>
  <c r="H21" i="90" s="1"/>
  <c r="H23" i="90"/>
  <c r="F10" i="88" s="1"/>
  <c r="I32" i="91"/>
  <c r="F11" i="88" s="1"/>
  <c r="H23" i="93"/>
  <c r="F13" i="69" s="1"/>
  <c r="D13" i="69"/>
  <c r="H9" i="93"/>
  <c r="H10" i="93" s="1"/>
  <c r="H11" i="93" s="1"/>
  <c r="H12" i="93" s="1"/>
  <c r="H13" i="93" s="1"/>
  <c r="H14" i="93" s="1"/>
  <c r="H15" i="93" s="1"/>
  <c r="H16" i="93" s="1"/>
  <c r="H17" i="93" s="1"/>
  <c r="H18" i="93" s="1"/>
  <c r="H19" i="93" s="1"/>
  <c r="H20" i="93" s="1"/>
  <c r="H21" i="93" s="1"/>
  <c r="E25" i="88"/>
  <c r="D25" i="88" l="1"/>
  <c r="H15" i="17" s="1"/>
  <c r="I15" i="17"/>
  <c r="F28" i="40"/>
  <c r="D28" i="40"/>
  <c r="H27" i="40"/>
  <c r="H26" i="40"/>
  <c r="F25" i="88" l="1"/>
  <c r="J15" i="17" s="1"/>
  <c r="G25" i="88"/>
  <c r="K15" i="17" s="1"/>
  <c r="H28" i="40"/>
  <c r="F28" i="50"/>
  <c r="D28" i="50"/>
  <c r="H27" i="50"/>
  <c r="H26" i="50"/>
  <c r="F28" i="87"/>
  <c r="D28" i="87"/>
  <c r="H27" i="87"/>
  <c r="H26" i="87"/>
  <c r="F23" i="87"/>
  <c r="E13" i="33" s="1"/>
  <c r="D23" i="87"/>
  <c r="D13" i="33" s="1"/>
  <c r="G10" i="87"/>
  <c r="G11" i="87" s="1"/>
  <c r="G12" i="87" s="1"/>
  <c r="G13" i="87" s="1"/>
  <c r="G14" i="87" s="1"/>
  <c r="G15" i="87" s="1"/>
  <c r="G16" i="87" s="1"/>
  <c r="G17" i="87" s="1"/>
  <c r="G18" i="87" s="1"/>
  <c r="G19" i="87" s="1"/>
  <c r="G20" i="87" s="1"/>
  <c r="G21" i="87" s="1"/>
  <c r="E9" i="87"/>
  <c r="E10" i="87" s="1"/>
  <c r="E11" i="87" s="1"/>
  <c r="E12" i="87" s="1"/>
  <c r="E13" i="87" s="1"/>
  <c r="E14" i="87" s="1"/>
  <c r="E15" i="87" s="1"/>
  <c r="E16" i="87" s="1"/>
  <c r="E17" i="87" s="1"/>
  <c r="E18" i="87" s="1"/>
  <c r="E19" i="87" s="1"/>
  <c r="E20" i="87" s="1"/>
  <c r="E21" i="87" s="1"/>
  <c r="A6" i="87"/>
  <c r="D3" i="87"/>
  <c r="A3" i="87"/>
  <c r="A2" i="87"/>
  <c r="A1" i="87"/>
  <c r="F23" i="86"/>
  <c r="E13" i="28" s="1"/>
  <c r="D23" i="86"/>
  <c r="G10" i="86"/>
  <c r="G11" i="86" s="1"/>
  <c r="G12" i="86" s="1"/>
  <c r="G13" i="86" s="1"/>
  <c r="G14" i="86" s="1"/>
  <c r="G15" i="86" s="1"/>
  <c r="G16" i="86" s="1"/>
  <c r="G17" i="86" s="1"/>
  <c r="G18" i="86" s="1"/>
  <c r="G19" i="86" s="1"/>
  <c r="G20" i="86" s="1"/>
  <c r="G21" i="86" s="1"/>
  <c r="E9" i="86"/>
  <c r="H9" i="86" s="1"/>
  <c r="H10" i="86" s="1"/>
  <c r="H11" i="86" s="1"/>
  <c r="H12" i="86" s="1"/>
  <c r="H13" i="86" s="1"/>
  <c r="H14" i="86" s="1"/>
  <c r="H15" i="86" s="1"/>
  <c r="H16" i="86" s="1"/>
  <c r="H17" i="86" s="1"/>
  <c r="H18" i="86" s="1"/>
  <c r="H19" i="86" s="1"/>
  <c r="H20" i="86" s="1"/>
  <c r="H21" i="86" s="1"/>
  <c r="A6" i="86"/>
  <c r="D3" i="86"/>
  <c r="A3" i="86"/>
  <c r="A2" i="86"/>
  <c r="A1" i="86"/>
  <c r="F23" i="85"/>
  <c r="E17" i="23" s="1"/>
  <c r="D23" i="85"/>
  <c r="G10" i="85"/>
  <c r="G11" i="85" s="1"/>
  <c r="G12" i="85" s="1"/>
  <c r="G13" i="85" s="1"/>
  <c r="G14" i="85" s="1"/>
  <c r="G15" i="85" s="1"/>
  <c r="G16" i="85" s="1"/>
  <c r="G17" i="85" s="1"/>
  <c r="G18" i="85" s="1"/>
  <c r="G19" i="85" s="1"/>
  <c r="G20" i="85" s="1"/>
  <c r="G21" i="85" s="1"/>
  <c r="E9" i="85"/>
  <c r="E10" i="85" s="1"/>
  <c r="E11" i="85" s="1"/>
  <c r="E12" i="85" s="1"/>
  <c r="E13" i="85" s="1"/>
  <c r="E14" i="85" s="1"/>
  <c r="E15" i="85" s="1"/>
  <c r="E16" i="85" s="1"/>
  <c r="E17" i="85" s="1"/>
  <c r="E18" i="85" s="1"/>
  <c r="E19" i="85" s="1"/>
  <c r="E20" i="85" s="1"/>
  <c r="E21" i="85" s="1"/>
  <c r="A6" i="85"/>
  <c r="D3" i="85"/>
  <c r="A3" i="85"/>
  <c r="A2" i="85"/>
  <c r="A1" i="85"/>
  <c r="H27" i="45"/>
  <c r="F29" i="45"/>
  <c r="D29" i="45"/>
  <c r="H28" i="45"/>
  <c r="H26" i="45"/>
  <c r="H23" i="87" l="1"/>
  <c r="F13" i="33" s="1"/>
  <c r="H23" i="85"/>
  <c r="F17" i="23" s="1"/>
  <c r="H23" i="86"/>
  <c r="F13" i="28" s="1"/>
  <c r="H28" i="50"/>
  <c r="H28" i="87"/>
  <c r="H9" i="87"/>
  <c r="H10" i="87" s="1"/>
  <c r="H11" i="87" s="1"/>
  <c r="H12" i="87" s="1"/>
  <c r="H13" i="87" s="1"/>
  <c r="H14" i="87" s="1"/>
  <c r="H15" i="87" s="1"/>
  <c r="H16" i="87" s="1"/>
  <c r="H17" i="87" s="1"/>
  <c r="H18" i="87" s="1"/>
  <c r="H19" i="87" s="1"/>
  <c r="H20" i="87" s="1"/>
  <c r="H21" i="87" s="1"/>
  <c r="D17" i="23"/>
  <c r="D13" i="28"/>
  <c r="E10" i="86"/>
  <c r="E11" i="86" s="1"/>
  <c r="E12" i="86" s="1"/>
  <c r="E13" i="86" s="1"/>
  <c r="E14" i="86" s="1"/>
  <c r="E15" i="86" s="1"/>
  <c r="E16" i="86" s="1"/>
  <c r="E17" i="86" s="1"/>
  <c r="E18" i="86" s="1"/>
  <c r="E19" i="86" s="1"/>
  <c r="E20" i="86" s="1"/>
  <c r="E21" i="86" s="1"/>
  <c r="H9" i="85"/>
  <c r="H10" i="85" s="1"/>
  <c r="H11" i="85" s="1"/>
  <c r="H12" i="85" s="1"/>
  <c r="H13" i="85" s="1"/>
  <c r="H14" i="85" s="1"/>
  <c r="H15" i="85" s="1"/>
  <c r="H16" i="85" s="1"/>
  <c r="H17" i="85" s="1"/>
  <c r="H18" i="85" s="1"/>
  <c r="H19" i="85" s="1"/>
  <c r="H20" i="85" s="1"/>
  <c r="H21" i="85" s="1"/>
  <c r="H29" i="45"/>
  <c r="D28" i="84"/>
  <c r="H27" i="84"/>
  <c r="F28" i="84"/>
  <c r="F23" i="84"/>
  <c r="E16" i="23" s="1"/>
  <c r="D23" i="84"/>
  <c r="D16" i="23" s="1"/>
  <c r="G10" i="84"/>
  <c r="G11" i="84" s="1"/>
  <c r="G12" i="84" s="1"/>
  <c r="G13" i="84" s="1"/>
  <c r="G14" i="84" s="1"/>
  <c r="G15" i="84" s="1"/>
  <c r="G16" i="84" s="1"/>
  <c r="G17" i="84" s="1"/>
  <c r="G18" i="84" s="1"/>
  <c r="G19" i="84" s="1"/>
  <c r="G20" i="84" s="1"/>
  <c r="G21" i="84" s="1"/>
  <c r="E9" i="84"/>
  <c r="E10" i="84" s="1"/>
  <c r="E11" i="84" s="1"/>
  <c r="E12" i="84" s="1"/>
  <c r="E13" i="84" s="1"/>
  <c r="E14" i="84" s="1"/>
  <c r="E15" i="84" s="1"/>
  <c r="E16" i="84" s="1"/>
  <c r="E17" i="84" s="1"/>
  <c r="E18" i="84" s="1"/>
  <c r="E19" i="84" s="1"/>
  <c r="E20" i="84" s="1"/>
  <c r="E21" i="84" s="1"/>
  <c r="A6" i="84"/>
  <c r="D3" i="84"/>
  <c r="A3" i="84"/>
  <c r="A2" i="84"/>
  <c r="A1" i="84"/>
  <c r="H9" i="84" l="1"/>
  <c r="H10" i="84" s="1"/>
  <c r="H11" i="84" s="1"/>
  <c r="H12" i="84" s="1"/>
  <c r="H13" i="84" s="1"/>
  <c r="H14" i="84" s="1"/>
  <c r="H15" i="84" s="1"/>
  <c r="H16" i="84" s="1"/>
  <c r="H17" i="84" s="1"/>
  <c r="H18" i="84" s="1"/>
  <c r="H19" i="84" s="1"/>
  <c r="H20" i="84" s="1"/>
  <c r="H21" i="84" s="1"/>
  <c r="H23" i="84"/>
  <c r="F16" i="23" s="1"/>
  <c r="H26" i="84"/>
  <c r="H28" i="84" s="1"/>
  <c r="F23" i="83"/>
  <c r="E15" i="23" s="1"/>
  <c r="D23" i="83"/>
  <c r="D15" i="23" s="1"/>
  <c r="G10" i="83"/>
  <c r="G11" i="83" s="1"/>
  <c r="G12" i="83" s="1"/>
  <c r="G13" i="83" s="1"/>
  <c r="G14" i="83" s="1"/>
  <c r="G15" i="83" s="1"/>
  <c r="G16" i="83" s="1"/>
  <c r="G17" i="83" s="1"/>
  <c r="G18" i="83" s="1"/>
  <c r="G19" i="83" s="1"/>
  <c r="G20" i="83" s="1"/>
  <c r="G21" i="83" s="1"/>
  <c r="E9" i="83"/>
  <c r="E10" i="83" s="1"/>
  <c r="E11" i="83" s="1"/>
  <c r="E12" i="83" s="1"/>
  <c r="E13" i="83" s="1"/>
  <c r="E14" i="83" s="1"/>
  <c r="E15" i="83" s="1"/>
  <c r="E16" i="83" s="1"/>
  <c r="E17" i="83" s="1"/>
  <c r="E18" i="83" s="1"/>
  <c r="E19" i="83" s="1"/>
  <c r="E20" i="83" s="1"/>
  <c r="E21" i="83" s="1"/>
  <c r="A6" i="83"/>
  <c r="D3" i="83"/>
  <c r="A3" i="83"/>
  <c r="A2" i="83"/>
  <c r="A1" i="83"/>
  <c r="H23" i="83" l="1"/>
  <c r="F15" i="23" s="1"/>
  <c r="H9" i="83"/>
  <c r="H10" i="83" s="1"/>
  <c r="H11" i="83" s="1"/>
  <c r="H12" i="83" s="1"/>
  <c r="H13" i="83" s="1"/>
  <c r="H14" i="83" s="1"/>
  <c r="H15" i="83" s="1"/>
  <c r="H16" i="83" s="1"/>
  <c r="H17" i="83" s="1"/>
  <c r="H18" i="83" s="1"/>
  <c r="H19" i="83" s="1"/>
  <c r="H20" i="83" s="1"/>
  <c r="H21" i="83" s="1"/>
  <c r="H27" i="82" l="1"/>
  <c r="H26" i="82"/>
  <c r="F23" i="82"/>
  <c r="E13" i="54" s="1"/>
  <c r="D23" i="82"/>
  <c r="D13" i="54" s="1"/>
  <c r="G10" i="82"/>
  <c r="G11" i="82" s="1"/>
  <c r="G12" i="82" s="1"/>
  <c r="G13" i="82" s="1"/>
  <c r="G14" i="82" s="1"/>
  <c r="G15" i="82" s="1"/>
  <c r="G16" i="82" s="1"/>
  <c r="G17" i="82" s="1"/>
  <c r="G18" i="82" s="1"/>
  <c r="G19" i="82" s="1"/>
  <c r="G20" i="82" s="1"/>
  <c r="G21" i="82" s="1"/>
  <c r="E9" i="82"/>
  <c r="E10" i="82" s="1"/>
  <c r="E11" i="82" s="1"/>
  <c r="E12" i="82" s="1"/>
  <c r="E13" i="82" s="1"/>
  <c r="E14" i="82" s="1"/>
  <c r="E15" i="82" s="1"/>
  <c r="E16" i="82" s="1"/>
  <c r="E17" i="82" s="1"/>
  <c r="E18" i="82" s="1"/>
  <c r="E19" i="82" s="1"/>
  <c r="E20" i="82" s="1"/>
  <c r="E21" i="82" s="1"/>
  <c r="A6" i="82"/>
  <c r="D3" i="82"/>
  <c r="A3" i="82"/>
  <c r="A2" i="82"/>
  <c r="A1" i="82"/>
  <c r="H30" i="82" l="1"/>
  <c r="H23" i="82"/>
  <c r="F13" i="54" s="1"/>
  <c r="H9" i="82"/>
  <c r="H10" i="82" s="1"/>
  <c r="H11" i="82" s="1"/>
  <c r="H12" i="82" s="1"/>
  <c r="H13" i="82" s="1"/>
  <c r="H14" i="82" s="1"/>
  <c r="H15" i="82" s="1"/>
  <c r="H16" i="82" s="1"/>
  <c r="H17" i="82" s="1"/>
  <c r="H18" i="82" s="1"/>
  <c r="H19" i="82" s="1"/>
  <c r="H20" i="82" s="1"/>
  <c r="H21" i="82" s="1"/>
  <c r="H27" i="35" l="1"/>
  <c r="H26" i="35"/>
  <c r="H29" i="35" l="1"/>
  <c r="H24" i="81"/>
  <c r="G24" i="81"/>
  <c r="C24" i="81"/>
  <c r="A6" i="81"/>
  <c r="D3" i="81"/>
  <c r="A3" i="81"/>
  <c r="A2" i="81"/>
  <c r="A1" i="81"/>
  <c r="F28" i="80" l="1"/>
  <c r="H27" i="80"/>
  <c r="H26" i="80"/>
  <c r="D28" i="80"/>
  <c r="F23" i="80"/>
  <c r="E14" i="23" s="1"/>
  <c r="D23" i="80"/>
  <c r="D14" i="23" s="1"/>
  <c r="G10" i="80"/>
  <c r="G11" i="80" s="1"/>
  <c r="G12" i="80" s="1"/>
  <c r="G13" i="80" s="1"/>
  <c r="G14" i="80" s="1"/>
  <c r="G15" i="80" s="1"/>
  <c r="G16" i="80" s="1"/>
  <c r="G17" i="80" s="1"/>
  <c r="G18" i="80" s="1"/>
  <c r="G19" i="80" s="1"/>
  <c r="G20" i="80" s="1"/>
  <c r="G21" i="80" s="1"/>
  <c r="E9" i="80"/>
  <c r="E10" i="80" s="1"/>
  <c r="E11" i="80" s="1"/>
  <c r="E12" i="80" s="1"/>
  <c r="E13" i="80" s="1"/>
  <c r="E14" i="80" s="1"/>
  <c r="E15" i="80" s="1"/>
  <c r="E16" i="80" s="1"/>
  <c r="E17" i="80" s="1"/>
  <c r="E18" i="80" s="1"/>
  <c r="E19" i="80" s="1"/>
  <c r="E20" i="80" s="1"/>
  <c r="E21" i="80" s="1"/>
  <c r="A6" i="80"/>
  <c r="D3" i="80"/>
  <c r="A3" i="80"/>
  <c r="A2" i="80"/>
  <c r="A1" i="80"/>
  <c r="H28" i="80" l="1"/>
  <c r="H9" i="80"/>
  <c r="H10" i="80" s="1"/>
  <c r="H11" i="80" s="1"/>
  <c r="H12" i="80" s="1"/>
  <c r="H13" i="80" s="1"/>
  <c r="H14" i="80" s="1"/>
  <c r="H15" i="80" s="1"/>
  <c r="H16" i="80" s="1"/>
  <c r="H17" i="80" s="1"/>
  <c r="H18" i="80" s="1"/>
  <c r="H19" i="80" s="1"/>
  <c r="H20" i="80" s="1"/>
  <c r="H21" i="80" s="1"/>
  <c r="H23" i="80"/>
  <c r="F14" i="23" s="1"/>
  <c r="F23" i="79" l="1"/>
  <c r="D23" i="79"/>
  <c r="G10" i="79"/>
  <c r="G11" i="79" s="1"/>
  <c r="G12" i="79" s="1"/>
  <c r="G13" i="79" s="1"/>
  <c r="G14" i="79" s="1"/>
  <c r="G15" i="79" s="1"/>
  <c r="G16" i="79" s="1"/>
  <c r="G17" i="79" s="1"/>
  <c r="G18" i="79" s="1"/>
  <c r="G19" i="79" s="1"/>
  <c r="G20" i="79" s="1"/>
  <c r="G21" i="79" s="1"/>
  <c r="E9" i="79"/>
  <c r="E10" i="79" s="1"/>
  <c r="E11" i="79" s="1"/>
  <c r="E12" i="79" s="1"/>
  <c r="E13" i="79" s="1"/>
  <c r="E14" i="79" s="1"/>
  <c r="E15" i="79" s="1"/>
  <c r="E16" i="79" s="1"/>
  <c r="E17" i="79" s="1"/>
  <c r="E18" i="79" s="1"/>
  <c r="E19" i="79" s="1"/>
  <c r="E20" i="79" s="1"/>
  <c r="E21" i="79" s="1"/>
  <c r="A6" i="79"/>
  <c r="D3" i="79"/>
  <c r="A3" i="79"/>
  <c r="A2" i="79"/>
  <c r="A1" i="79"/>
  <c r="D13" i="23" l="1"/>
  <c r="E13" i="23"/>
  <c r="H23" i="79"/>
  <c r="H9" i="79"/>
  <c r="H10" i="79" s="1"/>
  <c r="H11" i="79" s="1"/>
  <c r="H12" i="79" s="1"/>
  <c r="H13" i="79" s="1"/>
  <c r="H14" i="79" s="1"/>
  <c r="H15" i="79" s="1"/>
  <c r="H16" i="79" s="1"/>
  <c r="H17" i="79" s="1"/>
  <c r="H18" i="79" s="1"/>
  <c r="H19" i="79" s="1"/>
  <c r="H20" i="79" s="1"/>
  <c r="H21" i="79" s="1"/>
  <c r="F13" i="23" l="1"/>
  <c r="G22" i="78"/>
  <c r="E12" i="74" s="1"/>
  <c r="H9" i="78"/>
  <c r="H10" i="78" s="1"/>
  <c r="H11" i="78" s="1"/>
  <c r="H12" i="78" s="1"/>
  <c r="H13" i="78" s="1"/>
  <c r="H14" i="78" s="1"/>
  <c r="H15" i="78" s="1"/>
  <c r="H16" i="78" s="1"/>
  <c r="H17" i="78" s="1"/>
  <c r="H18" i="78" s="1"/>
  <c r="H19" i="78" s="1"/>
  <c r="H20" i="78" s="1"/>
  <c r="A6" i="78"/>
  <c r="E3" i="78"/>
  <c r="A3" i="78"/>
  <c r="A2" i="78"/>
  <c r="G23" i="77"/>
  <c r="E23" i="77"/>
  <c r="H10" i="77"/>
  <c r="H11" i="77" s="1"/>
  <c r="H12" i="77" s="1"/>
  <c r="H13" i="77" s="1"/>
  <c r="H14" i="77" s="1"/>
  <c r="H15" i="77" s="1"/>
  <c r="H16" i="77" s="1"/>
  <c r="H17" i="77" s="1"/>
  <c r="H18" i="77" s="1"/>
  <c r="H19" i="77" s="1"/>
  <c r="H20" i="77" s="1"/>
  <c r="H21" i="77" s="1"/>
  <c r="F9" i="77"/>
  <c r="A6" i="77"/>
  <c r="E3" i="77"/>
  <c r="A3" i="77"/>
  <c r="A2" i="77"/>
  <c r="A1" i="77"/>
  <c r="A1" i="78" s="1"/>
  <c r="F23" i="76"/>
  <c r="D23" i="76"/>
  <c r="G10" i="76"/>
  <c r="G11" i="76" s="1"/>
  <c r="G12" i="76" s="1"/>
  <c r="G13" i="76" s="1"/>
  <c r="G14" i="76" s="1"/>
  <c r="G15" i="76" s="1"/>
  <c r="G16" i="76" s="1"/>
  <c r="G17" i="76" s="1"/>
  <c r="G18" i="76" s="1"/>
  <c r="G19" i="76" s="1"/>
  <c r="G20" i="76" s="1"/>
  <c r="G21" i="76" s="1"/>
  <c r="E9" i="76"/>
  <c r="H9" i="76" s="1"/>
  <c r="H10" i="76" s="1"/>
  <c r="H11" i="76" s="1"/>
  <c r="H12" i="76" s="1"/>
  <c r="H13" i="76" s="1"/>
  <c r="H14" i="76" s="1"/>
  <c r="H15" i="76" s="1"/>
  <c r="H16" i="76" s="1"/>
  <c r="H17" i="76" s="1"/>
  <c r="H18" i="76" s="1"/>
  <c r="H19" i="76" s="1"/>
  <c r="H20" i="76" s="1"/>
  <c r="H21" i="76" s="1"/>
  <c r="A6" i="76"/>
  <c r="D3" i="76"/>
  <c r="A3" i="76"/>
  <c r="A2" i="76"/>
  <c r="A1" i="76"/>
  <c r="H24" i="75"/>
  <c r="C8" i="74" s="1"/>
  <c r="C14" i="74" s="1"/>
  <c r="F16" i="17" s="1"/>
  <c r="G16" i="17" s="1"/>
  <c r="G24" i="75"/>
  <c r="C24" i="75"/>
  <c r="A6" i="75"/>
  <c r="D3" i="75"/>
  <c r="A3" i="75"/>
  <c r="A2" i="75"/>
  <c r="A1" i="75"/>
  <c r="I9" i="77" l="1"/>
  <c r="I10" i="77" s="1"/>
  <c r="I11" i="77" s="1"/>
  <c r="I12" i="77" s="1"/>
  <c r="I13" i="77" s="1"/>
  <c r="I14" i="77" s="1"/>
  <c r="I15" i="77" s="1"/>
  <c r="I16" i="77" s="1"/>
  <c r="I17" i="77" s="1"/>
  <c r="I18" i="77" s="1"/>
  <c r="I19" i="77" s="1"/>
  <c r="I20" i="77" s="1"/>
  <c r="I21" i="77" s="1"/>
  <c r="F10" i="77"/>
  <c r="F11" i="77" s="1"/>
  <c r="F12" i="77" s="1"/>
  <c r="F13" i="77" s="1"/>
  <c r="F14" i="77" s="1"/>
  <c r="F15" i="77" s="1"/>
  <c r="F16" i="77" s="1"/>
  <c r="F17" i="77" s="1"/>
  <c r="F18" i="77" s="1"/>
  <c r="F19" i="77" s="1"/>
  <c r="F20" i="77" s="1"/>
  <c r="F21" i="77" s="1"/>
  <c r="E10" i="74"/>
  <c r="I23" i="77"/>
  <c r="F11" i="74" s="1"/>
  <c r="D10" i="74"/>
  <c r="H23" i="76"/>
  <c r="D11" i="74"/>
  <c r="E11" i="74"/>
  <c r="E10" i="76"/>
  <c r="E11" i="76" s="1"/>
  <c r="E12" i="76" s="1"/>
  <c r="E13" i="76" s="1"/>
  <c r="E14" i="76" s="1"/>
  <c r="E15" i="76" s="1"/>
  <c r="E16" i="76" s="1"/>
  <c r="E17" i="76" s="1"/>
  <c r="E18" i="76" s="1"/>
  <c r="E19" i="76" s="1"/>
  <c r="E20" i="76" s="1"/>
  <c r="E21" i="76" s="1"/>
  <c r="D12" i="74"/>
  <c r="F12" i="74" s="1"/>
  <c r="E14" i="74" l="1"/>
  <c r="I16" i="17" s="1"/>
  <c r="F10" i="74"/>
  <c r="D14" i="74"/>
  <c r="H16" i="17" s="1"/>
  <c r="G14" i="74" l="1"/>
  <c r="K16" i="17" s="1"/>
  <c r="F14" i="74"/>
  <c r="J16" i="17" s="1"/>
  <c r="G22" i="73" l="1"/>
  <c r="E12" i="69" s="1"/>
  <c r="H9" i="73"/>
  <c r="H10" i="73" s="1"/>
  <c r="H11" i="73" s="1"/>
  <c r="H12" i="73" s="1"/>
  <c r="H13" i="73" s="1"/>
  <c r="H14" i="73" s="1"/>
  <c r="H15" i="73" s="1"/>
  <c r="H16" i="73" s="1"/>
  <c r="H17" i="73" s="1"/>
  <c r="H18" i="73" s="1"/>
  <c r="H19" i="73" s="1"/>
  <c r="H20" i="73" s="1"/>
  <c r="A6" i="73"/>
  <c r="E3" i="73"/>
  <c r="A3" i="73"/>
  <c r="A2" i="73"/>
  <c r="G30" i="72"/>
  <c r="E30" i="72"/>
  <c r="H10" i="72"/>
  <c r="H11" i="72" s="1"/>
  <c r="H12" i="72" s="1"/>
  <c r="H13" i="72" s="1"/>
  <c r="H14" i="72" s="1"/>
  <c r="H15" i="72" s="1"/>
  <c r="H16" i="72" s="1"/>
  <c r="H17" i="72" s="1"/>
  <c r="H18" i="72" s="1"/>
  <c r="H19" i="72" s="1"/>
  <c r="H20" i="72" s="1"/>
  <c r="H21" i="72" s="1"/>
  <c r="H22" i="72" s="1"/>
  <c r="H23" i="72" s="1"/>
  <c r="H24" i="72" s="1"/>
  <c r="H25" i="72" s="1"/>
  <c r="H26" i="72" s="1"/>
  <c r="H27" i="72" s="1"/>
  <c r="H28" i="72" s="1"/>
  <c r="F9" i="72"/>
  <c r="A6" i="72"/>
  <c r="E3" i="72"/>
  <c r="A3" i="72"/>
  <c r="A2" i="72"/>
  <c r="A1" i="72"/>
  <c r="A1" i="73" s="1"/>
  <c r="F23" i="71"/>
  <c r="D23" i="71"/>
  <c r="D10" i="69" s="1"/>
  <c r="G10" i="71"/>
  <c r="G11" i="71" s="1"/>
  <c r="G12" i="71" s="1"/>
  <c r="G13" i="71" s="1"/>
  <c r="G14" i="71" s="1"/>
  <c r="G15" i="71" s="1"/>
  <c r="G16" i="71" s="1"/>
  <c r="G17" i="71" s="1"/>
  <c r="G18" i="71" s="1"/>
  <c r="G19" i="71" s="1"/>
  <c r="G20" i="71" s="1"/>
  <c r="G21" i="71" s="1"/>
  <c r="E9" i="71"/>
  <c r="E10" i="71" s="1"/>
  <c r="E11" i="71" s="1"/>
  <c r="E12" i="71" s="1"/>
  <c r="E13" i="71" s="1"/>
  <c r="E14" i="71" s="1"/>
  <c r="E15" i="71" s="1"/>
  <c r="E16" i="71" s="1"/>
  <c r="E17" i="71" s="1"/>
  <c r="E18" i="71" s="1"/>
  <c r="E19" i="71" s="1"/>
  <c r="E20" i="71" s="1"/>
  <c r="E21" i="71" s="1"/>
  <c r="A6" i="71"/>
  <c r="D3" i="71"/>
  <c r="A3" i="71"/>
  <c r="A2" i="71"/>
  <c r="A1" i="71"/>
  <c r="H24" i="70"/>
  <c r="C8" i="69" s="1"/>
  <c r="C15" i="69" s="1"/>
  <c r="F28" i="17" s="1"/>
  <c r="G28" i="17" s="1"/>
  <c r="G24" i="70"/>
  <c r="C24" i="70"/>
  <c r="A6" i="70"/>
  <c r="D3" i="70"/>
  <c r="A3" i="70"/>
  <c r="A2" i="70"/>
  <c r="A1" i="70"/>
  <c r="I9" i="72" l="1"/>
  <c r="I10" i="72" s="1"/>
  <c r="I11" i="72" s="1"/>
  <c r="I12" i="72" s="1"/>
  <c r="I13" i="72" s="1"/>
  <c r="I14" i="72" s="1"/>
  <c r="I15" i="72" s="1"/>
  <c r="I16" i="72" s="1"/>
  <c r="I17" i="72" s="1"/>
  <c r="I18" i="72" s="1"/>
  <c r="I19" i="72" s="1"/>
  <c r="I20" i="72" s="1"/>
  <c r="I21" i="72" s="1"/>
  <c r="I22" i="72" s="1"/>
  <c r="I23" i="72" s="1"/>
  <c r="I24" i="72" s="1"/>
  <c r="I25" i="72" s="1"/>
  <c r="I26" i="72" s="1"/>
  <c r="I27" i="72" s="1"/>
  <c r="I28" i="72" s="1"/>
  <c r="F10" i="72"/>
  <c r="F11" i="72" s="1"/>
  <c r="F12" i="72" s="1"/>
  <c r="F13" i="72" s="1"/>
  <c r="F14" i="72" s="1"/>
  <c r="F15" i="72" s="1"/>
  <c r="F16" i="72" s="1"/>
  <c r="F17" i="72" s="1"/>
  <c r="F18" i="72" s="1"/>
  <c r="F19" i="72" s="1"/>
  <c r="F20" i="72" s="1"/>
  <c r="F21" i="72" s="1"/>
  <c r="F22" i="72" s="1"/>
  <c r="F23" i="72" s="1"/>
  <c r="F24" i="72" s="1"/>
  <c r="F25" i="72" s="1"/>
  <c r="F26" i="72" s="1"/>
  <c r="F27" i="72" s="1"/>
  <c r="F28" i="72" s="1"/>
  <c r="D11" i="69"/>
  <c r="I30" i="72"/>
  <c r="F11" i="69" s="1"/>
  <c r="H23" i="71"/>
  <c r="F10" i="69" s="1"/>
  <c r="E10" i="69"/>
  <c r="E11" i="69"/>
  <c r="H9" i="71"/>
  <c r="H10" i="71" s="1"/>
  <c r="H11" i="71" s="1"/>
  <c r="H12" i="71" s="1"/>
  <c r="H13" i="71" s="1"/>
  <c r="H14" i="71" s="1"/>
  <c r="H15" i="71" s="1"/>
  <c r="H16" i="71" s="1"/>
  <c r="H17" i="71" s="1"/>
  <c r="H18" i="71" s="1"/>
  <c r="H19" i="71" s="1"/>
  <c r="H20" i="71" s="1"/>
  <c r="H21" i="71" s="1"/>
  <c r="D12" i="69"/>
  <c r="E15" i="69" l="1"/>
  <c r="I28" i="17" s="1"/>
  <c r="F12" i="69"/>
  <c r="D15" i="69"/>
  <c r="H28" i="17" s="1"/>
  <c r="G15" i="69" l="1"/>
  <c r="K28" i="17" s="1"/>
  <c r="F15" i="69"/>
  <c r="J28" i="17" s="1"/>
  <c r="G11" i="36"/>
  <c r="G10" i="36"/>
  <c r="G11" i="31"/>
  <c r="G10" i="31"/>
  <c r="G11" i="57"/>
  <c r="G10" i="57"/>
  <c r="G22" i="68" l="1"/>
  <c r="E12" i="64" s="1"/>
  <c r="H9" i="68"/>
  <c r="H10" i="68" s="1"/>
  <c r="H11" i="68" s="1"/>
  <c r="H12" i="68" s="1"/>
  <c r="H13" i="68" s="1"/>
  <c r="H14" i="68" s="1"/>
  <c r="H15" i="68" s="1"/>
  <c r="H16" i="68" s="1"/>
  <c r="H17" i="68" s="1"/>
  <c r="H18" i="68" s="1"/>
  <c r="H19" i="68" s="1"/>
  <c r="H20" i="68" s="1"/>
  <c r="A6" i="68"/>
  <c r="E3" i="68"/>
  <c r="A3" i="68"/>
  <c r="A2" i="68"/>
  <c r="G23" i="67"/>
  <c r="E23" i="67"/>
  <c r="D11" i="64" s="1"/>
  <c r="H10" i="67"/>
  <c r="H11" i="67" s="1"/>
  <c r="H12" i="67" s="1"/>
  <c r="H13" i="67" s="1"/>
  <c r="H14" i="67" s="1"/>
  <c r="H15" i="67" s="1"/>
  <c r="H16" i="67" s="1"/>
  <c r="H17" i="67" s="1"/>
  <c r="H18" i="67" s="1"/>
  <c r="H19" i="67" s="1"/>
  <c r="H20" i="67" s="1"/>
  <c r="H21" i="67" s="1"/>
  <c r="F9" i="67"/>
  <c r="A6" i="67"/>
  <c r="E3" i="67"/>
  <c r="A3" i="67"/>
  <c r="A2" i="67"/>
  <c r="A1" i="67"/>
  <c r="A1" i="68" s="1"/>
  <c r="F23" i="66"/>
  <c r="E10" i="64" s="1"/>
  <c r="D23" i="66"/>
  <c r="G10" i="66"/>
  <c r="G11" i="66" s="1"/>
  <c r="G12" i="66" s="1"/>
  <c r="G13" i="66" s="1"/>
  <c r="G14" i="66" s="1"/>
  <c r="G15" i="66" s="1"/>
  <c r="G16" i="66" s="1"/>
  <c r="G17" i="66" s="1"/>
  <c r="G18" i="66" s="1"/>
  <c r="G19" i="66" s="1"/>
  <c r="G20" i="66" s="1"/>
  <c r="G21" i="66" s="1"/>
  <c r="E9" i="66"/>
  <c r="H9" i="66" s="1"/>
  <c r="H10" i="66" s="1"/>
  <c r="H11" i="66" s="1"/>
  <c r="H12" i="66" s="1"/>
  <c r="H13" i="66" s="1"/>
  <c r="H14" i="66" s="1"/>
  <c r="H15" i="66" s="1"/>
  <c r="H16" i="66" s="1"/>
  <c r="H17" i="66" s="1"/>
  <c r="H18" i="66" s="1"/>
  <c r="H19" i="66" s="1"/>
  <c r="H20" i="66" s="1"/>
  <c r="H21" i="66" s="1"/>
  <c r="A6" i="66"/>
  <c r="D3" i="66"/>
  <c r="A3" i="66"/>
  <c r="A2" i="66"/>
  <c r="A1" i="66"/>
  <c r="H24" i="65"/>
  <c r="C8" i="64" s="1"/>
  <c r="G24" i="65"/>
  <c r="C24" i="65"/>
  <c r="A6" i="65"/>
  <c r="D3" i="65"/>
  <c r="A3" i="65"/>
  <c r="A2" i="65"/>
  <c r="A1" i="65"/>
  <c r="I9" i="67" l="1"/>
  <c r="I10" i="67" s="1"/>
  <c r="I11" i="67" s="1"/>
  <c r="I12" i="67" s="1"/>
  <c r="I13" i="67" s="1"/>
  <c r="I14" i="67" s="1"/>
  <c r="I15" i="67" s="1"/>
  <c r="I16" i="67" s="1"/>
  <c r="I17" i="67" s="1"/>
  <c r="I18" i="67" s="1"/>
  <c r="I19" i="67" s="1"/>
  <c r="I20" i="67" s="1"/>
  <c r="I21" i="67" s="1"/>
  <c r="F10" i="67"/>
  <c r="F11" i="67" s="1"/>
  <c r="F12" i="67" s="1"/>
  <c r="F13" i="67" s="1"/>
  <c r="F14" i="67" s="1"/>
  <c r="F15" i="67" s="1"/>
  <c r="F16" i="67" s="1"/>
  <c r="F17" i="67" s="1"/>
  <c r="F18" i="67" s="1"/>
  <c r="F19" i="67" s="1"/>
  <c r="F20" i="67" s="1"/>
  <c r="F21" i="67" s="1"/>
  <c r="D12" i="64"/>
  <c r="F12" i="64" s="1"/>
  <c r="I23" i="67"/>
  <c r="F11" i="64" s="1"/>
  <c r="H23" i="66"/>
  <c r="F10" i="64" s="1"/>
  <c r="D10" i="64"/>
  <c r="E11" i="64"/>
  <c r="E14" i="64" s="1"/>
  <c r="I27" i="17" s="1"/>
  <c r="E10" i="66"/>
  <c r="E11" i="66" s="1"/>
  <c r="E12" i="66" s="1"/>
  <c r="E13" i="66" s="1"/>
  <c r="E14" i="66" s="1"/>
  <c r="E15" i="66" s="1"/>
  <c r="E16" i="66" s="1"/>
  <c r="E17" i="66" s="1"/>
  <c r="E18" i="66" s="1"/>
  <c r="E19" i="66" s="1"/>
  <c r="E20" i="66" s="1"/>
  <c r="E21" i="66" s="1"/>
  <c r="E48" i="17"/>
  <c r="G22" i="63"/>
  <c r="E12" i="59" s="1"/>
  <c r="H9" i="63"/>
  <c r="H10" i="63" s="1"/>
  <c r="H11" i="63" s="1"/>
  <c r="H12" i="63" s="1"/>
  <c r="H13" i="63" s="1"/>
  <c r="H14" i="63" s="1"/>
  <c r="H15" i="63" s="1"/>
  <c r="H16" i="63" s="1"/>
  <c r="H17" i="63" s="1"/>
  <c r="H18" i="63" s="1"/>
  <c r="H19" i="63" s="1"/>
  <c r="H20" i="63" s="1"/>
  <c r="A6" i="63"/>
  <c r="E3" i="63"/>
  <c r="A3" i="63"/>
  <c r="A2" i="63"/>
  <c r="G23" i="62"/>
  <c r="E11" i="59" s="1"/>
  <c r="E23" i="62"/>
  <c r="H10" i="62"/>
  <c r="H11" i="62" s="1"/>
  <c r="H12" i="62" s="1"/>
  <c r="H13" i="62" s="1"/>
  <c r="H14" i="62" s="1"/>
  <c r="H15" i="62" s="1"/>
  <c r="H16" i="62" s="1"/>
  <c r="H17" i="62" s="1"/>
  <c r="H18" i="62" s="1"/>
  <c r="H19" i="62" s="1"/>
  <c r="H20" i="62" s="1"/>
  <c r="H21" i="62" s="1"/>
  <c r="F9" i="62"/>
  <c r="A6" i="62"/>
  <c r="E3" i="62"/>
  <c r="A3" i="62"/>
  <c r="A2" i="62"/>
  <c r="A1" i="62"/>
  <c r="A1" i="63" s="1"/>
  <c r="D23" i="61"/>
  <c r="G10" i="61"/>
  <c r="G11" i="61" s="1"/>
  <c r="G12" i="61" s="1"/>
  <c r="G13" i="61" s="1"/>
  <c r="G14" i="61" s="1"/>
  <c r="G15" i="61" s="1"/>
  <c r="G16" i="61" s="1"/>
  <c r="G17" i="61" s="1"/>
  <c r="G18" i="61" s="1"/>
  <c r="G19" i="61" s="1"/>
  <c r="G20" i="61" s="1"/>
  <c r="G21" i="61" s="1"/>
  <c r="E9" i="61"/>
  <c r="E10" i="61" s="1"/>
  <c r="E11" i="61" s="1"/>
  <c r="E12" i="61" s="1"/>
  <c r="E13" i="61" s="1"/>
  <c r="E14" i="61" s="1"/>
  <c r="E15" i="61" s="1"/>
  <c r="E16" i="61" s="1"/>
  <c r="E17" i="61" s="1"/>
  <c r="E18" i="61" s="1"/>
  <c r="E19" i="61" s="1"/>
  <c r="E20" i="61" s="1"/>
  <c r="E21" i="61" s="1"/>
  <c r="A6" i="61"/>
  <c r="D3" i="61"/>
  <c r="A3" i="61"/>
  <c r="A2" i="61"/>
  <c r="A1" i="61"/>
  <c r="H24" i="60"/>
  <c r="C8" i="59" s="1"/>
  <c r="C14" i="59" s="1"/>
  <c r="F17" i="17" s="1"/>
  <c r="G17" i="17" s="1"/>
  <c r="G24" i="60"/>
  <c r="C24" i="60"/>
  <c r="A6" i="60"/>
  <c r="D3" i="60"/>
  <c r="A3" i="60"/>
  <c r="A2" i="60"/>
  <c r="A1" i="60"/>
  <c r="I9" i="62" l="1"/>
  <c r="I10" i="62" s="1"/>
  <c r="I11" i="62" s="1"/>
  <c r="I12" i="62" s="1"/>
  <c r="I13" i="62" s="1"/>
  <c r="I14" i="62" s="1"/>
  <c r="I15" i="62" s="1"/>
  <c r="I16" i="62" s="1"/>
  <c r="I17" i="62" s="1"/>
  <c r="I18" i="62" s="1"/>
  <c r="I19" i="62" s="1"/>
  <c r="I20" i="62" s="1"/>
  <c r="I21" i="62" s="1"/>
  <c r="F10" i="62"/>
  <c r="F11" i="62" s="1"/>
  <c r="F12" i="62" s="1"/>
  <c r="F13" i="62" s="1"/>
  <c r="F14" i="62" s="1"/>
  <c r="F15" i="62" s="1"/>
  <c r="F16" i="62" s="1"/>
  <c r="F17" i="62" s="1"/>
  <c r="F18" i="62" s="1"/>
  <c r="F19" i="62" s="1"/>
  <c r="F20" i="62" s="1"/>
  <c r="F21" i="62" s="1"/>
  <c r="I23" i="62"/>
  <c r="F11" i="59" s="1"/>
  <c r="D14" i="64"/>
  <c r="H27" i="17" s="1"/>
  <c r="E14" i="59"/>
  <c r="I17" i="17" s="1"/>
  <c r="D11" i="59"/>
  <c r="D10" i="59"/>
  <c r="D12" i="59"/>
  <c r="F12" i="59" s="1"/>
  <c r="H9" i="61"/>
  <c r="H10" i="61" s="1"/>
  <c r="H11" i="61" s="1"/>
  <c r="H12" i="61" s="1"/>
  <c r="H13" i="61" s="1"/>
  <c r="H14" i="61" s="1"/>
  <c r="H15" i="61" s="1"/>
  <c r="H16" i="61" s="1"/>
  <c r="H17" i="61" s="1"/>
  <c r="H18" i="61" s="1"/>
  <c r="H19" i="61" s="1"/>
  <c r="H20" i="61" s="1"/>
  <c r="H21" i="61" s="1"/>
  <c r="G22" i="58"/>
  <c r="D12" i="54" s="1"/>
  <c r="H9" i="58"/>
  <c r="H10" i="58" s="1"/>
  <c r="H11" i="58" s="1"/>
  <c r="H12" i="58" s="1"/>
  <c r="H13" i="58" s="1"/>
  <c r="H14" i="58" s="1"/>
  <c r="H15" i="58" s="1"/>
  <c r="H16" i="58" s="1"/>
  <c r="H17" i="58" s="1"/>
  <c r="H18" i="58" s="1"/>
  <c r="H19" i="58" s="1"/>
  <c r="H20" i="58" s="1"/>
  <c r="A6" i="58"/>
  <c r="E3" i="58"/>
  <c r="A3" i="58"/>
  <c r="A2" i="58"/>
  <c r="G37" i="57"/>
  <c r="E11" i="54" s="1"/>
  <c r="E37" i="57"/>
  <c r="H10" i="57"/>
  <c r="H11" i="57" s="1"/>
  <c r="H12" i="57" s="1"/>
  <c r="H13" i="57" s="1"/>
  <c r="H14" i="57" s="1"/>
  <c r="H15" i="57" s="1"/>
  <c r="H16" i="57" s="1"/>
  <c r="H17" i="57" s="1"/>
  <c r="H18" i="57" s="1"/>
  <c r="H19" i="57" s="1"/>
  <c r="H20" i="57" s="1"/>
  <c r="H21" i="57" s="1"/>
  <c r="H22" i="57" s="1"/>
  <c r="H23" i="57" s="1"/>
  <c r="H24" i="57" s="1"/>
  <c r="H25" i="57" s="1"/>
  <c r="H26" i="57" s="1"/>
  <c r="H27" i="57" s="1"/>
  <c r="H28" i="57" s="1"/>
  <c r="H29" i="57" s="1"/>
  <c r="H30" i="57" s="1"/>
  <c r="H31" i="57" s="1"/>
  <c r="F9" i="57"/>
  <c r="A6" i="57"/>
  <c r="E3" i="57"/>
  <c r="A3" i="57"/>
  <c r="A2" i="57"/>
  <c r="A1" i="57"/>
  <c r="A1" i="58" s="1"/>
  <c r="F23" i="56"/>
  <c r="E10" i="54" s="1"/>
  <c r="D23" i="56"/>
  <c r="D10" i="54" s="1"/>
  <c r="G10" i="56"/>
  <c r="G11" i="56" s="1"/>
  <c r="G12" i="56" s="1"/>
  <c r="G13" i="56" s="1"/>
  <c r="G14" i="56" s="1"/>
  <c r="G15" i="56" s="1"/>
  <c r="G16" i="56" s="1"/>
  <c r="G17" i="56" s="1"/>
  <c r="G18" i="56" s="1"/>
  <c r="G19" i="56" s="1"/>
  <c r="G20" i="56" s="1"/>
  <c r="G21" i="56" s="1"/>
  <c r="E9" i="56"/>
  <c r="E10" i="56" s="1"/>
  <c r="E11" i="56" s="1"/>
  <c r="E12" i="56" s="1"/>
  <c r="E13" i="56" s="1"/>
  <c r="E14" i="56" s="1"/>
  <c r="E15" i="56" s="1"/>
  <c r="E16" i="56" s="1"/>
  <c r="E17" i="56" s="1"/>
  <c r="E18" i="56" s="1"/>
  <c r="E19" i="56" s="1"/>
  <c r="E20" i="56" s="1"/>
  <c r="E21" i="56" s="1"/>
  <c r="A6" i="56"/>
  <c r="D3" i="56"/>
  <c r="A3" i="56"/>
  <c r="A2" i="56"/>
  <c r="A1" i="56"/>
  <c r="H24" i="55"/>
  <c r="C8" i="54" s="1"/>
  <c r="C18" i="54" s="1"/>
  <c r="F21" i="17" s="1"/>
  <c r="G21" i="17" s="1"/>
  <c r="G24" i="55"/>
  <c r="C24" i="55"/>
  <c r="A6" i="55"/>
  <c r="D3" i="55"/>
  <c r="A3" i="55"/>
  <c r="A2" i="55"/>
  <c r="A1" i="55"/>
  <c r="I9" i="57" l="1"/>
  <c r="I10" i="57" s="1"/>
  <c r="I11" i="57" s="1"/>
  <c r="I12" i="57" s="1"/>
  <c r="I13" i="57" s="1"/>
  <c r="I14" i="57" s="1"/>
  <c r="I15" i="57" s="1"/>
  <c r="I16" i="57" s="1"/>
  <c r="I17" i="57" s="1"/>
  <c r="I18" i="57" s="1"/>
  <c r="I19" i="57" s="1"/>
  <c r="I20" i="57" s="1"/>
  <c r="I21" i="57" s="1"/>
  <c r="I22" i="57" s="1"/>
  <c r="I23" i="57" s="1"/>
  <c r="I24" i="57" s="1"/>
  <c r="I25" i="57" s="1"/>
  <c r="I26" i="57" s="1"/>
  <c r="I27" i="57" s="1"/>
  <c r="I28" i="57" s="1"/>
  <c r="I29" i="57" s="1"/>
  <c r="I30" i="57" s="1"/>
  <c r="I31" i="57" s="1"/>
  <c r="F10" i="57"/>
  <c r="F11" i="57" s="1"/>
  <c r="F12" i="57" s="1"/>
  <c r="F13" i="57" s="1"/>
  <c r="F14" i="57" s="1"/>
  <c r="F15" i="57" s="1"/>
  <c r="F16" i="57" s="1"/>
  <c r="F17" i="57" s="1"/>
  <c r="F18" i="57" s="1"/>
  <c r="F19" i="57" s="1"/>
  <c r="F20" i="57" s="1"/>
  <c r="F21" i="57" s="1"/>
  <c r="F22" i="57" s="1"/>
  <c r="F23" i="57" s="1"/>
  <c r="F24" i="57" s="1"/>
  <c r="F25" i="57" s="1"/>
  <c r="F26" i="57" s="1"/>
  <c r="F27" i="57" s="1"/>
  <c r="F28" i="57" s="1"/>
  <c r="F29" i="57" s="1"/>
  <c r="F30" i="57" s="1"/>
  <c r="F31" i="57" s="1"/>
  <c r="F14" i="64"/>
  <c r="J27" i="17" s="1"/>
  <c r="E12" i="54"/>
  <c r="F12" i="54" s="1"/>
  <c r="D14" i="59"/>
  <c r="I37" i="57"/>
  <c r="F11" i="54" s="1"/>
  <c r="D11" i="54"/>
  <c r="D18" i="54" s="1"/>
  <c r="H21" i="17" s="1"/>
  <c r="H23" i="56"/>
  <c r="F10" i="54" s="1"/>
  <c r="H9" i="56"/>
  <c r="H10" i="56" s="1"/>
  <c r="H11" i="56" s="1"/>
  <c r="H12" i="56" s="1"/>
  <c r="H13" i="56" s="1"/>
  <c r="H14" i="56" s="1"/>
  <c r="H15" i="56" s="1"/>
  <c r="H16" i="56" s="1"/>
  <c r="H17" i="56" s="1"/>
  <c r="H18" i="56" s="1"/>
  <c r="H19" i="56" s="1"/>
  <c r="H20" i="56" s="1"/>
  <c r="H21" i="56" s="1"/>
  <c r="E18" i="54" l="1"/>
  <c r="I21" i="17" s="1"/>
  <c r="H17" i="17"/>
  <c r="G14" i="59"/>
  <c r="K17" i="17" s="1"/>
  <c r="F14" i="59"/>
  <c r="J17" i="17" s="1"/>
  <c r="G18" i="54"/>
  <c r="K21" i="17" s="1"/>
  <c r="F18" i="54" l="1"/>
  <c r="J21" i="17" s="1"/>
  <c r="G22" i="52"/>
  <c r="D12" i="48" s="1"/>
  <c r="H9" i="52"/>
  <c r="H10" i="52" s="1"/>
  <c r="H11" i="52" s="1"/>
  <c r="H12" i="52" s="1"/>
  <c r="H13" i="52" s="1"/>
  <c r="H14" i="52" s="1"/>
  <c r="H15" i="52" s="1"/>
  <c r="H16" i="52" s="1"/>
  <c r="H17" i="52" s="1"/>
  <c r="H18" i="52" s="1"/>
  <c r="H19" i="52" s="1"/>
  <c r="H20" i="52" s="1"/>
  <c r="A6" i="52"/>
  <c r="E3" i="52"/>
  <c r="A3" i="52"/>
  <c r="A2" i="52"/>
  <c r="G32" i="51"/>
  <c r="E11" i="48" s="1"/>
  <c r="E32" i="51"/>
  <c r="H10" i="51"/>
  <c r="H11" i="51" s="1"/>
  <c r="H12" i="51" s="1"/>
  <c r="H13" i="51" s="1"/>
  <c r="H14" i="51" s="1"/>
  <c r="H15" i="51" s="1"/>
  <c r="H16" i="51" s="1"/>
  <c r="H17" i="51" s="1"/>
  <c r="H18" i="51" s="1"/>
  <c r="H19" i="51" s="1"/>
  <c r="H20" i="51" s="1"/>
  <c r="H21" i="51" s="1"/>
  <c r="H22" i="51" s="1"/>
  <c r="H23" i="51" s="1"/>
  <c r="H24" i="51" s="1"/>
  <c r="H25" i="51" s="1"/>
  <c r="H26" i="51" s="1"/>
  <c r="H27" i="51" s="1"/>
  <c r="F9" i="51"/>
  <c r="A6" i="51"/>
  <c r="E3" i="51"/>
  <c r="A3" i="51"/>
  <c r="A2" i="51"/>
  <c r="A1" i="51"/>
  <c r="A1" i="52" s="1"/>
  <c r="F23" i="50"/>
  <c r="E10" i="48" s="1"/>
  <c r="D23" i="50"/>
  <c r="G10" i="50"/>
  <c r="G11" i="50" s="1"/>
  <c r="G12" i="50" s="1"/>
  <c r="G13" i="50" s="1"/>
  <c r="G14" i="50" s="1"/>
  <c r="G15" i="50" s="1"/>
  <c r="G16" i="50" s="1"/>
  <c r="G17" i="50" s="1"/>
  <c r="G18" i="50" s="1"/>
  <c r="G19" i="50" s="1"/>
  <c r="G20" i="50" s="1"/>
  <c r="G21" i="50" s="1"/>
  <c r="E9" i="50"/>
  <c r="H9" i="50" s="1"/>
  <c r="H10" i="50" s="1"/>
  <c r="H11" i="50" s="1"/>
  <c r="H12" i="50" s="1"/>
  <c r="H13" i="50" s="1"/>
  <c r="H14" i="50" s="1"/>
  <c r="H15" i="50" s="1"/>
  <c r="H16" i="50" s="1"/>
  <c r="H17" i="50" s="1"/>
  <c r="H18" i="50" s="1"/>
  <c r="H19" i="50" s="1"/>
  <c r="H20" i="50" s="1"/>
  <c r="H21" i="50" s="1"/>
  <c r="A6" i="50"/>
  <c r="D3" i="50"/>
  <c r="A3" i="50"/>
  <c r="A2" i="50"/>
  <c r="A1" i="50"/>
  <c r="H24" i="49"/>
  <c r="C8" i="48" s="1"/>
  <c r="C14" i="48" s="1"/>
  <c r="F26" i="17" s="1"/>
  <c r="G26" i="17" s="1"/>
  <c r="G24" i="49"/>
  <c r="C24" i="49"/>
  <c r="A6" i="49"/>
  <c r="D3" i="49"/>
  <c r="A3" i="49"/>
  <c r="A2" i="49"/>
  <c r="A1" i="49"/>
  <c r="G22" i="47"/>
  <c r="E12" i="43" s="1"/>
  <c r="H9" i="47"/>
  <c r="H10" i="47" s="1"/>
  <c r="H11" i="47" s="1"/>
  <c r="H12" i="47" s="1"/>
  <c r="H13" i="47" s="1"/>
  <c r="H14" i="47" s="1"/>
  <c r="H15" i="47" s="1"/>
  <c r="H16" i="47" s="1"/>
  <c r="H17" i="47" s="1"/>
  <c r="H18" i="47" s="1"/>
  <c r="H19" i="47" s="1"/>
  <c r="H20" i="47" s="1"/>
  <c r="A6" i="47"/>
  <c r="E3" i="47"/>
  <c r="A3" i="47"/>
  <c r="A2" i="47"/>
  <c r="G34" i="46"/>
  <c r="E11" i="43" s="1"/>
  <c r="E34" i="46"/>
  <c r="H10" i="46"/>
  <c r="H11" i="46" s="1"/>
  <c r="H12" i="46" s="1"/>
  <c r="H13" i="46" s="1"/>
  <c r="H14" i="46" s="1"/>
  <c r="H15" i="46" s="1"/>
  <c r="H16" i="46" s="1"/>
  <c r="H17" i="46" s="1"/>
  <c r="H18" i="46" s="1"/>
  <c r="H19" i="46" s="1"/>
  <c r="H20" i="46" s="1"/>
  <c r="H21" i="46" s="1"/>
  <c r="H22" i="46" s="1"/>
  <c r="H23" i="46" s="1"/>
  <c r="H24" i="46" s="1"/>
  <c r="H25" i="46" s="1"/>
  <c r="H26" i="46" s="1"/>
  <c r="H27" i="46" s="1"/>
  <c r="H28" i="46" s="1"/>
  <c r="H29" i="46" s="1"/>
  <c r="F9" i="46"/>
  <c r="A6" i="46"/>
  <c r="E3" i="46"/>
  <c r="A3" i="46"/>
  <c r="A2" i="46"/>
  <c r="A1" i="46"/>
  <c r="A1" i="47" s="1"/>
  <c r="F23" i="45"/>
  <c r="E10" i="43" s="1"/>
  <c r="D23" i="45"/>
  <c r="D10" i="43" s="1"/>
  <c r="G10" i="45"/>
  <c r="G11" i="45" s="1"/>
  <c r="G12" i="45" s="1"/>
  <c r="G13" i="45" s="1"/>
  <c r="G14" i="45" s="1"/>
  <c r="G15" i="45" s="1"/>
  <c r="G16" i="45" s="1"/>
  <c r="G17" i="45" s="1"/>
  <c r="G18" i="45" s="1"/>
  <c r="G19" i="45" s="1"/>
  <c r="G20" i="45" s="1"/>
  <c r="G21" i="45" s="1"/>
  <c r="E9" i="45"/>
  <c r="E10" i="45" s="1"/>
  <c r="E11" i="45" s="1"/>
  <c r="E12" i="45" s="1"/>
  <c r="E13" i="45" s="1"/>
  <c r="E14" i="45" s="1"/>
  <c r="E15" i="45" s="1"/>
  <c r="E16" i="45" s="1"/>
  <c r="E17" i="45" s="1"/>
  <c r="E18" i="45" s="1"/>
  <c r="E19" i="45" s="1"/>
  <c r="E20" i="45" s="1"/>
  <c r="E21" i="45" s="1"/>
  <c r="A6" i="45"/>
  <c r="D3" i="45"/>
  <c r="A3" i="45"/>
  <c r="A2" i="45"/>
  <c r="A1" i="45"/>
  <c r="H24" i="44"/>
  <c r="C8" i="43" s="1"/>
  <c r="C19" i="43" s="1"/>
  <c r="F25" i="17" s="1"/>
  <c r="G25" i="17" s="1"/>
  <c r="G24" i="44"/>
  <c r="C24" i="44"/>
  <c r="A6" i="44"/>
  <c r="D3" i="44"/>
  <c r="A3" i="44"/>
  <c r="A2" i="44"/>
  <c r="A1" i="44"/>
  <c r="I9" i="46" l="1"/>
  <c r="I10" i="46" s="1"/>
  <c r="I11" i="46" s="1"/>
  <c r="I12" i="46" s="1"/>
  <c r="I13" i="46" s="1"/>
  <c r="I14" i="46" s="1"/>
  <c r="I15" i="46" s="1"/>
  <c r="I16" i="46" s="1"/>
  <c r="I17" i="46" s="1"/>
  <c r="I18" i="46" s="1"/>
  <c r="I19" i="46" s="1"/>
  <c r="I20" i="46" s="1"/>
  <c r="I21" i="46" s="1"/>
  <c r="I22" i="46" s="1"/>
  <c r="I23" i="46" s="1"/>
  <c r="I24" i="46" s="1"/>
  <c r="I25" i="46" s="1"/>
  <c r="I26" i="46" s="1"/>
  <c r="I27" i="46" s="1"/>
  <c r="I28" i="46" s="1"/>
  <c r="I29" i="46" s="1"/>
  <c r="F10" i="46"/>
  <c r="F11" i="46" s="1"/>
  <c r="F12" i="46" s="1"/>
  <c r="F13" i="46" s="1"/>
  <c r="F14" i="46" s="1"/>
  <c r="F15" i="46" s="1"/>
  <c r="F16" i="46" s="1"/>
  <c r="F17" i="46" s="1"/>
  <c r="F18" i="46" s="1"/>
  <c r="F19" i="46" s="1"/>
  <c r="F20" i="46" s="1"/>
  <c r="F21" i="46" s="1"/>
  <c r="F22" i="46" s="1"/>
  <c r="F23" i="46" s="1"/>
  <c r="F24" i="46" s="1"/>
  <c r="F25" i="46" s="1"/>
  <c r="F26" i="46" s="1"/>
  <c r="F27" i="46" s="1"/>
  <c r="F28" i="46" s="1"/>
  <c r="F29" i="46" s="1"/>
  <c r="I9" i="51"/>
  <c r="I10" i="51" s="1"/>
  <c r="I11" i="51" s="1"/>
  <c r="I12" i="51" s="1"/>
  <c r="I13" i="51" s="1"/>
  <c r="I14" i="51" s="1"/>
  <c r="I15" i="51" s="1"/>
  <c r="I16" i="51" s="1"/>
  <c r="I17" i="51" s="1"/>
  <c r="I18" i="51" s="1"/>
  <c r="I19" i="51" s="1"/>
  <c r="I20" i="51" s="1"/>
  <c r="I21" i="51" s="1"/>
  <c r="I22" i="51" s="1"/>
  <c r="I23" i="51" s="1"/>
  <c r="I24" i="51" s="1"/>
  <c r="I25" i="51" s="1"/>
  <c r="I26" i="51" s="1"/>
  <c r="I27" i="51" s="1"/>
  <c r="I28" i="51" s="1"/>
  <c r="I29" i="51" s="1"/>
  <c r="I30" i="51" s="1"/>
  <c r="F10" i="51"/>
  <c r="F11" i="51" s="1"/>
  <c r="F12" i="51" s="1"/>
  <c r="F13" i="51" s="1"/>
  <c r="F14" i="51" s="1"/>
  <c r="F15" i="51" s="1"/>
  <c r="F16" i="51" s="1"/>
  <c r="F17" i="51" s="1"/>
  <c r="F18" i="51" s="1"/>
  <c r="F19" i="51" s="1"/>
  <c r="F20" i="51" s="1"/>
  <c r="F21" i="51" s="1"/>
  <c r="F22" i="51" s="1"/>
  <c r="F23" i="51" s="1"/>
  <c r="F24" i="51" s="1"/>
  <c r="F25" i="51" s="1"/>
  <c r="F26" i="51" s="1"/>
  <c r="F27" i="51" s="1"/>
  <c r="F28" i="51" s="1"/>
  <c r="F29" i="51" s="1"/>
  <c r="F30" i="51" s="1"/>
  <c r="H23" i="50"/>
  <c r="F10" i="48" s="1"/>
  <c r="D12" i="43"/>
  <c r="F12" i="43" s="1"/>
  <c r="H9" i="45"/>
  <c r="H10" i="45" s="1"/>
  <c r="H11" i="45" s="1"/>
  <c r="H12" i="45" s="1"/>
  <c r="H13" i="45" s="1"/>
  <c r="H14" i="45" s="1"/>
  <c r="H15" i="45" s="1"/>
  <c r="H16" i="45" s="1"/>
  <c r="H17" i="45" s="1"/>
  <c r="H18" i="45" s="1"/>
  <c r="H19" i="45" s="1"/>
  <c r="H20" i="45" s="1"/>
  <c r="H21" i="45" s="1"/>
  <c r="I34" i="46"/>
  <c r="F11" i="43" s="1"/>
  <c r="D10" i="48"/>
  <c r="E12" i="48"/>
  <c r="F12" i="48" s="1"/>
  <c r="I32" i="51"/>
  <c r="F11" i="48" s="1"/>
  <c r="H23" i="45"/>
  <c r="F10" i="43" s="1"/>
  <c r="E19" i="43"/>
  <c r="I25" i="17" s="1"/>
  <c r="C14" i="64"/>
  <c r="F27" i="17" s="1"/>
  <c r="G27" i="17" s="1"/>
  <c r="G14" i="64"/>
  <c r="K27" i="17" s="1"/>
  <c r="D11" i="43"/>
  <c r="D11" i="48"/>
  <c r="E10" i="50"/>
  <c r="E11" i="50" s="1"/>
  <c r="E12" i="50" s="1"/>
  <c r="E13" i="50" s="1"/>
  <c r="E14" i="50" s="1"/>
  <c r="E15" i="50" s="1"/>
  <c r="E16" i="50" s="1"/>
  <c r="E17" i="50" s="1"/>
  <c r="E18" i="50" s="1"/>
  <c r="E19" i="50" s="1"/>
  <c r="E20" i="50" s="1"/>
  <c r="E21" i="50" s="1"/>
  <c r="D14" i="48" l="1"/>
  <c r="H26" i="17" s="1"/>
  <c r="E14" i="48"/>
  <c r="I26" i="17" s="1"/>
  <c r="D19" i="43"/>
  <c r="G19" i="43" s="1"/>
  <c r="K25" i="17" s="1"/>
  <c r="H24" i="39"/>
  <c r="G24" i="39"/>
  <c r="E3" i="42"/>
  <c r="A6" i="42"/>
  <c r="A3" i="42"/>
  <c r="A2" i="42"/>
  <c r="E23" i="41"/>
  <c r="F9" i="41"/>
  <c r="E3" i="41"/>
  <c r="A6" i="41"/>
  <c r="A3" i="41"/>
  <c r="A2" i="41"/>
  <c r="A1" i="41"/>
  <c r="A1" i="42" s="1"/>
  <c r="D3" i="40"/>
  <c r="A6" i="40"/>
  <c r="A3" i="40"/>
  <c r="A2" i="40"/>
  <c r="A1" i="40"/>
  <c r="D3" i="39"/>
  <c r="A6" i="39"/>
  <c r="A3" i="39"/>
  <c r="A2" i="39"/>
  <c r="A1" i="39"/>
  <c r="I9" i="41" l="1"/>
  <c r="I10" i="41" s="1"/>
  <c r="I11" i="41" s="1"/>
  <c r="I12" i="41" s="1"/>
  <c r="I13" i="41" s="1"/>
  <c r="I14" i="41" s="1"/>
  <c r="I15" i="41" s="1"/>
  <c r="I16" i="41" s="1"/>
  <c r="I17" i="41" s="1"/>
  <c r="I18" i="41" s="1"/>
  <c r="I19" i="41" s="1"/>
  <c r="I20" i="41" s="1"/>
  <c r="I21" i="41" s="1"/>
  <c r="F10" i="41"/>
  <c r="F11" i="41" s="1"/>
  <c r="F12" i="41" s="1"/>
  <c r="F13" i="41" s="1"/>
  <c r="F14" i="41" s="1"/>
  <c r="F15" i="41" s="1"/>
  <c r="F16" i="41" s="1"/>
  <c r="F17" i="41" s="1"/>
  <c r="F18" i="41" s="1"/>
  <c r="F19" i="41" s="1"/>
  <c r="F20" i="41" s="1"/>
  <c r="F21" i="41" s="1"/>
  <c r="G14" i="48"/>
  <c r="K26" i="17" s="1"/>
  <c r="F14" i="48"/>
  <c r="J26" i="17" s="1"/>
  <c r="F19" i="43"/>
  <c r="J25" i="17" s="1"/>
  <c r="H25" i="17"/>
  <c r="D11" i="38"/>
  <c r="G22" i="42"/>
  <c r="D12" i="38" s="1"/>
  <c r="H9" i="42"/>
  <c r="H10" i="42" s="1"/>
  <c r="H11" i="42" s="1"/>
  <c r="H12" i="42" s="1"/>
  <c r="H13" i="42" s="1"/>
  <c r="H14" i="42" s="1"/>
  <c r="H15" i="42" s="1"/>
  <c r="H16" i="42" s="1"/>
  <c r="H17" i="42" s="1"/>
  <c r="H18" i="42" s="1"/>
  <c r="H19" i="42" s="1"/>
  <c r="H20" i="42" s="1"/>
  <c r="G23" i="41"/>
  <c r="E11" i="38" s="1"/>
  <c r="H10" i="41"/>
  <c r="H11" i="41" s="1"/>
  <c r="H12" i="41" s="1"/>
  <c r="H13" i="41" s="1"/>
  <c r="H14" i="41" s="1"/>
  <c r="H15" i="41" s="1"/>
  <c r="H16" i="41" s="1"/>
  <c r="H17" i="41" s="1"/>
  <c r="H18" i="41" s="1"/>
  <c r="H19" i="41" s="1"/>
  <c r="H20" i="41" s="1"/>
  <c r="H21" i="41" s="1"/>
  <c r="F23" i="40"/>
  <c r="E10" i="38" s="1"/>
  <c r="D23" i="40"/>
  <c r="G10" i="40"/>
  <c r="G11" i="40" s="1"/>
  <c r="G12" i="40" s="1"/>
  <c r="G13" i="40" s="1"/>
  <c r="G14" i="40" s="1"/>
  <c r="G15" i="40" s="1"/>
  <c r="G16" i="40" s="1"/>
  <c r="G17" i="40" s="1"/>
  <c r="G18" i="40" s="1"/>
  <c r="G19" i="40" s="1"/>
  <c r="G20" i="40" s="1"/>
  <c r="G21" i="40" s="1"/>
  <c r="E9" i="40"/>
  <c r="E10" i="40" s="1"/>
  <c r="E11" i="40" s="1"/>
  <c r="E12" i="40" s="1"/>
  <c r="E13" i="40" s="1"/>
  <c r="E14" i="40" s="1"/>
  <c r="E15" i="40" s="1"/>
  <c r="E16" i="40" s="1"/>
  <c r="E17" i="40" s="1"/>
  <c r="E18" i="40" s="1"/>
  <c r="E19" i="40" s="1"/>
  <c r="E20" i="40" s="1"/>
  <c r="E21" i="40" s="1"/>
  <c r="C24" i="39"/>
  <c r="C14" i="38"/>
  <c r="E12" i="38" l="1"/>
  <c r="I23" i="41"/>
  <c r="F11" i="38" s="1"/>
  <c r="H23" i="40"/>
  <c r="F10" i="38" s="1"/>
  <c r="D10" i="38"/>
  <c r="D14" i="38" s="1"/>
  <c r="G14" i="38" s="1"/>
  <c r="F12" i="38"/>
  <c r="H9" i="40"/>
  <c r="H10" i="40" s="1"/>
  <c r="H11" i="40" s="1"/>
  <c r="H12" i="40" s="1"/>
  <c r="H13" i="40" s="1"/>
  <c r="H14" i="40" s="1"/>
  <c r="H15" i="40" s="1"/>
  <c r="H16" i="40" s="1"/>
  <c r="H17" i="40" s="1"/>
  <c r="H18" i="40" s="1"/>
  <c r="H19" i="40" s="1"/>
  <c r="H20" i="40" s="1"/>
  <c r="H21" i="40" s="1"/>
  <c r="E14" i="38"/>
  <c r="F14" i="38" l="1"/>
  <c r="A3" i="29"/>
  <c r="A2" i="29"/>
  <c r="A1" i="29"/>
  <c r="G22" i="37"/>
  <c r="E12" i="33" s="1"/>
  <c r="H9" i="37"/>
  <c r="H10" i="37" s="1"/>
  <c r="H11" i="37" s="1"/>
  <c r="H12" i="37" s="1"/>
  <c r="H13" i="37" s="1"/>
  <c r="H14" i="37" s="1"/>
  <c r="H15" i="37" s="1"/>
  <c r="H16" i="37" s="1"/>
  <c r="H17" i="37" s="1"/>
  <c r="H18" i="37" s="1"/>
  <c r="H19" i="37" s="1"/>
  <c r="H20" i="37" s="1"/>
  <c r="A6" i="37"/>
  <c r="E3" i="37"/>
  <c r="A3" i="37"/>
  <c r="A2" i="37"/>
  <c r="A1" i="37"/>
  <c r="G38" i="36"/>
  <c r="E11" i="33" s="1"/>
  <c r="E38" i="36"/>
  <c r="H10" i="36"/>
  <c r="H11" i="36" s="1"/>
  <c r="H12" i="36" s="1"/>
  <c r="H13" i="36" s="1"/>
  <c r="H14" i="36" s="1"/>
  <c r="H15" i="36" s="1"/>
  <c r="H16" i="36" s="1"/>
  <c r="H17" i="36" s="1"/>
  <c r="H18" i="36" s="1"/>
  <c r="H19" i="36" s="1"/>
  <c r="H20" i="36" s="1"/>
  <c r="H21" i="36" s="1"/>
  <c r="H22" i="36" s="1"/>
  <c r="H23" i="36" s="1"/>
  <c r="H24" i="36" s="1"/>
  <c r="H25" i="36" s="1"/>
  <c r="H26" i="36" s="1"/>
  <c r="H27" i="36" s="1"/>
  <c r="H28" i="36" s="1"/>
  <c r="H29" i="36" s="1"/>
  <c r="H30" i="36" s="1"/>
  <c r="H31" i="36" s="1"/>
  <c r="F9" i="36"/>
  <c r="F10" i="36" s="1"/>
  <c r="F11" i="36" s="1"/>
  <c r="F12" i="36" s="1"/>
  <c r="F13" i="36" s="1"/>
  <c r="F14" i="36" s="1"/>
  <c r="F15" i="36" s="1"/>
  <c r="F16" i="36" s="1"/>
  <c r="F17" i="36" s="1"/>
  <c r="F18" i="36" s="1"/>
  <c r="F19" i="36" s="1"/>
  <c r="F20" i="36" s="1"/>
  <c r="F21" i="36" s="1"/>
  <c r="F22" i="36" s="1"/>
  <c r="F23" i="36" s="1"/>
  <c r="F24" i="36" s="1"/>
  <c r="F25" i="36" s="1"/>
  <c r="F26" i="36" s="1"/>
  <c r="F27" i="36" s="1"/>
  <c r="F28" i="36" s="1"/>
  <c r="F29" i="36" s="1"/>
  <c r="F30" i="36" s="1"/>
  <c r="F31" i="36" s="1"/>
  <c r="A6" i="36"/>
  <c r="E3" i="36"/>
  <c r="A3" i="36"/>
  <c r="A2" i="36"/>
  <c r="A1" i="36"/>
  <c r="F23" i="35"/>
  <c r="E10" i="33" s="1"/>
  <c r="D23" i="35"/>
  <c r="D10" i="33" s="1"/>
  <c r="G10" i="35"/>
  <c r="G11" i="35" s="1"/>
  <c r="G12" i="35" s="1"/>
  <c r="G13" i="35" s="1"/>
  <c r="G14" i="35" s="1"/>
  <c r="G15" i="35" s="1"/>
  <c r="G16" i="35" s="1"/>
  <c r="G17" i="35" s="1"/>
  <c r="G18" i="35" s="1"/>
  <c r="G19" i="35" s="1"/>
  <c r="G20" i="35" s="1"/>
  <c r="G21" i="35" s="1"/>
  <c r="E9" i="35"/>
  <c r="H9" i="35" s="1"/>
  <c r="H10" i="35" s="1"/>
  <c r="H11" i="35" s="1"/>
  <c r="H12" i="35" s="1"/>
  <c r="H13" i="35" s="1"/>
  <c r="H14" i="35" s="1"/>
  <c r="H15" i="35" s="1"/>
  <c r="H16" i="35" s="1"/>
  <c r="H17" i="35" s="1"/>
  <c r="H18" i="35" s="1"/>
  <c r="H19" i="35" s="1"/>
  <c r="H20" i="35" s="1"/>
  <c r="H21" i="35" s="1"/>
  <c r="A6" i="35"/>
  <c r="D3" i="35"/>
  <c r="A3" i="35"/>
  <c r="A2" i="35"/>
  <c r="A1" i="35"/>
  <c r="G24" i="34"/>
  <c r="C24" i="34"/>
  <c r="H24" i="34"/>
  <c r="C8" i="33" s="1"/>
  <c r="A6" i="34"/>
  <c r="D3" i="34"/>
  <c r="A3" i="34"/>
  <c r="A2" i="34"/>
  <c r="A1" i="34"/>
  <c r="G22" i="32"/>
  <c r="D12" i="28" s="1"/>
  <c r="H9" i="32"/>
  <c r="H10" i="32" s="1"/>
  <c r="H11" i="32" s="1"/>
  <c r="H12" i="32" s="1"/>
  <c r="H13" i="32" s="1"/>
  <c r="H14" i="32" s="1"/>
  <c r="H15" i="32" s="1"/>
  <c r="H16" i="32" s="1"/>
  <c r="H17" i="32" s="1"/>
  <c r="H18" i="32" s="1"/>
  <c r="H19" i="32" s="1"/>
  <c r="H20" i="32" s="1"/>
  <c r="A6" i="32"/>
  <c r="E3" i="32"/>
  <c r="A3" i="32"/>
  <c r="A2" i="32"/>
  <c r="A1" i="32"/>
  <c r="G32" i="31"/>
  <c r="E11" i="28" s="1"/>
  <c r="E32" i="31"/>
  <c r="D11" i="28" s="1"/>
  <c r="H10" i="31"/>
  <c r="H11" i="31" s="1"/>
  <c r="H12" i="31" s="1"/>
  <c r="H13" i="31" s="1"/>
  <c r="H14" i="31" s="1"/>
  <c r="H15" i="31" s="1"/>
  <c r="H16" i="31" s="1"/>
  <c r="H17" i="31" s="1"/>
  <c r="H18" i="31" s="1"/>
  <c r="H19" i="31" s="1"/>
  <c r="H20" i="31" s="1"/>
  <c r="H21" i="31" s="1"/>
  <c r="H22" i="31" s="1"/>
  <c r="H23" i="31" s="1"/>
  <c r="H24" i="31" s="1"/>
  <c r="H25" i="31" s="1"/>
  <c r="H26" i="31" s="1"/>
  <c r="H27" i="31" s="1"/>
  <c r="H28" i="31" s="1"/>
  <c r="H29" i="31" s="1"/>
  <c r="H30" i="31" s="1"/>
  <c r="F9" i="31"/>
  <c r="F10" i="31" s="1"/>
  <c r="F11" i="31" s="1"/>
  <c r="F12" i="31" s="1"/>
  <c r="F13" i="31" s="1"/>
  <c r="F14" i="31" s="1"/>
  <c r="F15" i="31" s="1"/>
  <c r="F16" i="31" s="1"/>
  <c r="F17" i="31" s="1"/>
  <c r="F18" i="31" s="1"/>
  <c r="F19" i="31" s="1"/>
  <c r="F20" i="31" s="1"/>
  <c r="F21" i="31" s="1"/>
  <c r="F22" i="31" s="1"/>
  <c r="F23" i="31" s="1"/>
  <c r="F24" i="31" s="1"/>
  <c r="F25" i="31" s="1"/>
  <c r="F26" i="31" s="1"/>
  <c r="F27" i="31" s="1"/>
  <c r="F28" i="31" s="1"/>
  <c r="F29" i="31" s="1"/>
  <c r="F30" i="31" s="1"/>
  <c r="A6" i="31"/>
  <c r="E3" i="31"/>
  <c r="A3" i="31"/>
  <c r="A2" i="31"/>
  <c r="A1" i="31"/>
  <c r="F23" i="30"/>
  <c r="E10" i="28" s="1"/>
  <c r="D23" i="30"/>
  <c r="D10" i="28" s="1"/>
  <c r="G10" i="30"/>
  <c r="G11" i="30" s="1"/>
  <c r="G12" i="30" s="1"/>
  <c r="G13" i="30" s="1"/>
  <c r="G14" i="30" s="1"/>
  <c r="G15" i="30" s="1"/>
  <c r="G16" i="30" s="1"/>
  <c r="G17" i="30" s="1"/>
  <c r="G18" i="30" s="1"/>
  <c r="G19" i="30" s="1"/>
  <c r="G20" i="30" s="1"/>
  <c r="G21" i="30" s="1"/>
  <c r="E9" i="30"/>
  <c r="E10" i="30" s="1"/>
  <c r="E11" i="30" s="1"/>
  <c r="E12" i="30" s="1"/>
  <c r="E13" i="30" s="1"/>
  <c r="E14" i="30" s="1"/>
  <c r="E15" i="30" s="1"/>
  <c r="E16" i="30" s="1"/>
  <c r="E17" i="30" s="1"/>
  <c r="E18" i="30" s="1"/>
  <c r="E19" i="30" s="1"/>
  <c r="E20" i="30" s="1"/>
  <c r="E21" i="30" s="1"/>
  <c r="A6" i="30"/>
  <c r="D3" i="30"/>
  <c r="A3" i="30"/>
  <c r="A2" i="30"/>
  <c r="A1" i="30"/>
  <c r="G24" i="29"/>
  <c r="C24" i="29"/>
  <c r="H24" i="29"/>
  <c r="C8" i="28" s="1"/>
  <c r="A6" i="29"/>
  <c r="D3" i="29"/>
  <c r="D12" i="33" l="1"/>
  <c r="F12" i="33" s="1"/>
  <c r="E12" i="28"/>
  <c r="F12" i="28" s="1"/>
  <c r="I9" i="31"/>
  <c r="I10" i="31" s="1"/>
  <c r="I11" i="31" s="1"/>
  <c r="I12" i="31" s="1"/>
  <c r="I13" i="31" s="1"/>
  <c r="I14" i="31" s="1"/>
  <c r="I15" i="31" s="1"/>
  <c r="I16" i="31" s="1"/>
  <c r="I17" i="31" s="1"/>
  <c r="I18" i="31" s="1"/>
  <c r="I19" i="31" s="1"/>
  <c r="I20" i="31" s="1"/>
  <c r="I21" i="31" s="1"/>
  <c r="I22" i="31" s="1"/>
  <c r="I23" i="31" s="1"/>
  <c r="I24" i="31" s="1"/>
  <c r="I25" i="31" s="1"/>
  <c r="I26" i="31" s="1"/>
  <c r="I27" i="31" s="1"/>
  <c r="I28" i="31" s="1"/>
  <c r="I29" i="31" s="1"/>
  <c r="I30" i="31" s="1"/>
  <c r="I38" i="36"/>
  <c r="F11" i="33" s="1"/>
  <c r="E19" i="33"/>
  <c r="I24" i="17" s="1"/>
  <c r="I32" i="31"/>
  <c r="F11" i="28" s="1"/>
  <c r="D11" i="33"/>
  <c r="D16" i="28"/>
  <c r="C16" i="28"/>
  <c r="F22" i="17" s="1"/>
  <c r="G22" i="17" s="1"/>
  <c r="C19" i="33"/>
  <c r="F24" i="17" s="1"/>
  <c r="I9" i="36"/>
  <c r="I10" i="36" s="1"/>
  <c r="I11" i="36" s="1"/>
  <c r="I12" i="36" s="1"/>
  <c r="I13" i="36" s="1"/>
  <c r="I14" i="36" s="1"/>
  <c r="I15" i="36" s="1"/>
  <c r="I16" i="36" s="1"/>
  <c r="I17" i="36" s="1"/>
  <c r="I18" i="36" s="1"/>
  <c r="I19" i="36" s="1"/>
  <c r="I20" i="36" s="1"/>
  <c r="I21" i="36" s="1"/>
  <c r="I22" i="36" s="1"/>
  <c r="I23" i="36" s="1"/>
  <c r="I24" i="36" s="1"/>
  <c r="I25" i="36" s="1"/>
  <c r="I26" i="36" s="1"/>
  <c r="I27" i="36" s="1"/>
  <c r="I28" i="36" s="1"/>
  <c r="I29" i="36" s="1"/>
  <c r="I30" i="36" s="1"/>
  <c r="I31" i="36" s="1"/>
  <c r="H9" i="30"/>
  <c r="H10" i="30" s="1"/>
  <c r="H11" i="30" s="1"/>
  <c r="H12" i="30" s="1"/>
  <c r="H13" i="30" s="1"/>
  <c r="H14" i="30" s="1"/>
  <c r="H15" i="30" s="1"/>
  <c r="H16" i="30" s="1"/>
  <c r="H17" i="30" s="1"/>
  <c r="H18" i="30" s="1"/>
  <c r="H19" i="30" s="1"/>
  <c r="H20" i="30" s="1"/>
  <c r="H21" i="30" s="1"/>
  <c r="H23" i="30"/>
  <c r="F10" i="28" s="1"/>
  <c r="E10" i="35"/>
  <c r="E11" i="35" s="1"/>
  <c r="E12" i="35" s="1"/>
  <c r="E13" i="35" s="1"/>
  <c r="E14" i="35" s="1"/>
  <c r="E15" i="35" s="1"/>
  <c r="E16" i="35" s="1"/>
  <c r="E17" i="35" s="1"/>
  <c r="E18" i="35" s="1"/>
  <c r="E19" i="35" s="1"/>
  <c r="E20" i="35" s="1"/>
  <c r="E21" i="35" s="1"/>
  <c r="H23" i="35"/>
  <c r="F10" i="33" s="1"/>
  <c r="G24" i="17" l="1"/>
  <c r="D19" i="33"/>
  <c r="F19" i="33" s="1"/>
  <c r="J24" i="17" s="1"/>
  <c r="E16" i="28"/>
  <c r="I22" i="17" s="1"/>
  <c r="H22" i="17"/>
  <c r="G16" i="28"/>
  <c r="K22" i="17" s="1"/>
  <c r="A1" i="22"/>
  <c r="G19" i="33" l="1"/>
  <c r="K24" i="17" s="1"/>
  <c r="H24" i="17"/>
  <c r="F16" i="28"/>
  <c r="J22" i="17" s="1"/>
  <c r="G22" i="27"/>
  <c r="E12" i="23" s="1"/>
  <c r="H9" i="27"/>
  <c r="H10" i="27" s="1"/>
  <c r="H11" i="27" s="1"/>
  <c r="H12" i="27" s="1"/>
  <c r="H13" i="27" s="1"/>
  <c r="H14" i="27" s="1"/>
  <c r="H15" i="27" s="1"/>
  <c r="H16" i="27" s="1"/>
  <c r="H17" i="27" s="1"/>
  <c r="H18" i="27" s="1"/>
  <c r="H19" i="27" s="1"/>
  <c r="H20" i="27" s="1"/>
  <c r="A6" i="27"/>
  <c r="E3" i="27"/>
  <c r="A3" i="27"/>
  <c r="A2" i="27"/>
  <c r="A1" i="27"/>
  <c r="G31" i="26"/>
  <c r="E11" i="23" s="1"/>
  <c r="E31" i="26"/>
  <c r="H10" i="26"/>
  <c r="H11" i="26" s="1"/>
  <c r="H12" i="26" s="1"/>
  <c r="H13" i="26" s="1"/>
  <c r="H14" i="26" s="1"/>
  <c r="H15" i="26" s="1"/>
  <c r="H16" i="26" s="1"/>
  <c r="H17" i="26" s="1"/>
  <c r="H18" i="26" s="1"/>
  <c r="H19" i="26" s="1"/>
  <c r="H20" i="26" s="1"/>
  <c r="H21" i="26" s="1"/>
  <c r="H22" i="26" s="1"/>
  <c r="H23" i="26" s="1"/>
  <c r="H24" i="26" s="1"/>
  <c r="H25" i="26" s="1"/>
  <c r="H26" i="26" s="1"/>
  <c r="H27" i="26" s="1"/>
  <c r="H28" i="26" s="1"/>
  <c r="H29" i="26" s="1"/>
  <c r="F9" i="26"/>
  <c r="I9" i="26" s="1"/>
  <c r="I10" i="26" s="1"/>
  <c r="I11" i="26" s="1"/>
  <c r="I12" i="26" s="1"/>
  <c r="I13" i="26" s="1"/>
  <c r="I14" i="26" s="1"/>
  <c r="I15" i="26" s="1"/>
  <c r="I16" i="26" s="1"/>
  <c r="I17" i="26" s="1"/>
  <c r="I18" i="26" s="1"/>
  <c r="I19" i="26" s="1"/>
  <c r="I20" i="26" s="1"/>
  <c r="I21" i="26" s="1"/>
  <c r="I22" i="26" s="1"/>
  <c r="I23" i="26" s="1"/>
  <c r="I24" i="26" s="1"/>
  <c r="I25" i="26" s="1"/>
  <c r="I26" i="26" s="1"/>
  <c r="I27" i="26" s="1"/>
  <c r="I28" i="26" s="1"/>
  <c r="I29" i="26" s="1"/>
  <c r="A6" i="26"/>
  <c r="E3" i="26"/>
  <c r="A3" i="26"/>
  <c r="A2" i="26"/>
  <c r="A1" i="26"/>
  <c r="F23" i="25"/>
  <c r="E10" i="23" s="1"/>
  <c r="D23" i="25"/>
  <c r="G10" i="25"/>
  <c r="G11" i="25" s="1"/>
  <c r="G12" i="25" s="1"/>
  <c r="G13" i="25" s="1"/>
  <c r="G14" i="25" s="1"/>
  <c r="G15" i="25" s="1"/>
  <c r="G16" i="25" s="1"/>
  <c r="G17" i="25" s="1"/>
  <c r="G18" i="25" s="1"/>
  <c r="G19" i="25" s="1"/>
  <c r="G20" i="25" s="1"/>
  <c r="G21" i="25" s="1"/>
  <c r="E9" i="25"/>
  <c r="E10" i="25" s="1"/>
  <c r="E11" i="25" s="1"/>
  <c r="E12" i="25" s="1"/>
  <c r="E13" i="25" s="1"/>
  <c r="E14" i="25" s="1"/>
  <c r="E15" i="25" s="1"/>
  <c r="E16" i="25" s="1"/>
  <c r="E17" i="25" s="1"/>
  <c r="E18" i="25" s="1"/>
  <c r="E19" i="25" s="1"/>
  <c r="E20" i="25" s="1"/>
  <c r="E21" i="25" s="1"/>
  <c r="A6" i="25"/>
  <c r="D3" i="25"/>
  <c r="A3" i="25"/>
  <c r="A2" i="25"/>
  <c r="A1" i="25"/>
  <c r="G24" i="24"/>
  <c r="C24" i="24"/>
  <c r="H24" i="24"/>
  <c r="C8" i="23" s="1"/>
  <c r="A6" i="24"/>
  <c r="D3" i="24"/>
  <c r="A3" i="24"/>
  <c r="A2" i="24"/>
  <c r="A1" i="24"/>
  <c r="H23" i="25" l="1"/>
  <c r="F10" i="23" s="1"/>
  <c r="D10" i="23"/>
  <c r="E19" i="23"/>
  <c r="I19" i="17" s="1"/>
  <c r="F10" i="26"/>
  <c r="F11" i="26" s="1"/>
  <c r="F12" i="26" s="1"/>
  <c r="F13" i="26" s="1"/>
  <c r="F14" i="26" s="1"/>
  <c r="F15" i="26" s="1"/>
  <c r="F16" i="26" s="1"/>
  <c r="F17" i="26" s="1"/>
  <c r="F18" i="26" s="1"/>
  <c r="F19" i="26" s="1"/>
  <c r="F20" i="26" s="1"/>
  <c r="F21" i="26" s="1"/>
  <c r="F22" i="26" s="1"/>
  <c r="F23" i="26" s="1"/>
  <c r="F24" i="26" s="1"/>
  <c r="F25" i="26" s="1"/>
  <c r="F26" i="26" s="1"/>
  <c r="F27" i="26" s="1"/>
  <c r="F28" i="26" s="1"/>
  <c r="F29" i="26" s="1"/>
  <c r="I31" i="26"/>
  <c r="F11" i="23" s="1"/>
  <c r="D12" i="23"/>
  <c r="F12" i="23" s="1"/>
  <c r="D11" i="23"/>
  <c r="H9" i="25"/>
  <c r="H10" i="25" s="1"/>
  <c r="H11" i="25" s="1"/>
  <c r="H12" i="25" s="1"/>
  <c r="H13" i="25" s="1"/>
  <c r="H14" i="25" s="1"/>
  <c r="H15" i="25" s="1"/>
  <c r="H16" i="25" s="1"/>
  <c r="H17" i="25" s="1"/>
  <c r="H18" i="25" s="1"/>
  <c r="H19" i="25" s="1"/>
  <c r="H20" i="25" s="1"/>
  <c r="H21" i="25" s="1"/>
  <c r="C19" i="23"/>
  <c r="F19" i="17" s="1"/>
  <c r="G19" i="17" l="1"/>
  <c r="D19" i="23"/>
  <c r="G19" i="23" s="1"/>
  <c r="G22" i="22"/>
  <c r="E12" i="18" s="1"/>
  <c r="H10" i="22"/>
  <c r="H11" i="22" s="1"/>
  <c r="H12" i="22" s="1"/>
  <c r="H13" i="22" s="1"/>
  <c r="H14" i="22" s="1"/>
  <c r="H15" i="22" s="1"/>
  <c r="H16" i="22" s="1"/>
  <c r="H17" i="22" s="1"/>
  <c r="H18" i="22" s="1"/>
  <c r="H19" i="22" s="1"/>
  <c r="H20" i="22" s="1"/>
  <c r="A6" i="22"/>
  <c r="E3" i="22"/>
  <c r="A3" i="22"/>
  <c r="A2" i="22"/>
  <c r="G25" i="21"/>
  <c r="E11" i="18" s="1"/>
  <c r="E25" i="21"/>
  <c r="H10" i="21"/>
  <c r="H11" i="21" s="1"/>
  <c r="H12" i="21" s="1"/>
  <c r="H13" i="21" s="1"/>
  <c r="H14" i="21" s="1"/>
  <c r="H15" i="21" s="1"/>
  <c r="H16" i="21" s="1"/>
  <c r="H17" i="21" s="1"/>
  <c r="H18" i="21" s="1"/>
  <c r="H19" i="21" s="1"/>
  <c r="H20" i="21" s="1"/>
  <c r="H21" i="21" s="1"/>
  <c r="H22" i="21" s="1"/>
  <c r="H23" i="21" s="1"/>
  <c r="F9" i="21"/>
  <c r="F10" i="21" s="1"/>
  <c r="F11" i="21" s="1"/>
  <c r="F12" i="21" s="1"/>
  <c r="F13" i="21" s="1"/>
  <c r="F14" i="21" s="1"/>
  <c r="F15" i="21" s="1"/>
  <c r="F16" i="21" s="1"/>
  <c r="F17" i="21" s="1"/>
  <c r="F18" i="21" s="1"/>
  <c r="F19" i="21" s="1"/>
  <c r="F20" i="21" s="1"/>
  <c r="F21" i="21" s="1"/>
  <c r="A6" i="21"/>
  <c r="E3" i="21"/>
  <c r="A3" i="21"/>
  <c r="A2" i="21"/>
  <c r="A1" i="21"/>
  <c r="F23" i="20"/>
  <c r="E10" i="18" s="1"/>
  <c r="D23" i="20"/>
  <c r="D10" i="18" s="1"/>
  <c r="G10" i="20"/>
  <c r="G11" i="20" s="1"/>
  <c r="G12" i="20" s="1"/>
  <c r="G13" i="20" s="1"/>
  <c r="G14" i="20" s="1"/>
  <c r="G15" i="20" s="1"/>
  <c r="G16" i="20" s="1"/>
  <c r="G17" i="20" s="1"/>
  <c r="G18" i="20" s="1"/>
  <c r="G19" i="20" s="1"/>
  <c r="G20" i="20" s="1"/>
  <c r="G21" i="20" s="1"/>
  <c r="E9" i="20"/>
  <c r="E10" i="20" s="1"/>
  <c r="E11" i="20" s="1"/>
  <c r="E12" i="20" s="1"/>
  <c r="E13" i="20" s="1"/>
  <c r="E14" i="20" s="1"/>
  <c r="E15" i="20" s="1"/>
  <c r="E16" i="20" s="1"/>
  <c r="E17" i="20" s="1"/>
  <c r="E18" i="20" s="1"/>
  <c r="E19" i="20" s="1"/>
  <c r="E20" i="20" s="1"/>
  <c r="E21" i="20" s="1"/>
  <c r="A6" i="20"/>
  <c r="D3" i="20"/>
  <c r="A3" i="20"/>
  <c r="A2" i="20"/>
  <c r="G24" i="19"/>
  <c r="C24" i="19"/>
  <c r="H24" i="19"/>
  <c r="C8" i="18" s="1"/>
  <c r="A6" i="19"/>
  <c r="D3" i="19"/>
  <c r="A3" i="19"/>
  <c r="A2" i="19"/>
  <c r="A1" i="19"/>
  <c r="F19" i="23" l="1"/>
  <c r="J19" i="17" s="1"/>
  <c r="I25" i="21"/>
  <c r="F11" i="18" s="1"/>
  <c r="H19" i="17"/>
  <c r="H9" i="20"/>
  <c r="H10" i="20" s="1"/>
  <c r="H11" i="20" s="1"/>
  <c r="H12" i="20" s="1"/>
  <c r="H13" i="20" s="1"/>
  <c r="H14" i="20" s="1"/>
  <c r="H15" i="20" s="1"/>
  <c r="H16" i="20" s="1"/>
  <c r="H17" i="20" s="1"/>
  <c r="H18" i="20" s="1"/>
  <c r="H19" i="20" s="1"/>
  <c r="H20" i="20" s="1"/>
  <c r="H21" i="20" s="1"/>
  <c r="K19" i="17"/>
  <c r="D12" i="18"/>
  <c r="F12" i="18" s="1"/>
  <c r="E15" i="18"/>
  <c r="I20" i="17" s="1"/>
  <c r="I48" i="17" s="1"/>
  <c r="I9" i="21"/>
  <c r="I10" i="21" s="1"/>
  <c r="I11" i="21" s="1"/>
  <c r="I12" i="21" s="1"/>
  <c r="I13" i="21" s="1"/>
  <c r="I14" i="21" s="1"/>
  <c r="I15" i="21" s="1"/>
  <c r="I16" i="21" s="1"/>
  <c r="I17" i="21" s="1"/>
  <c r="I18" i="21" s="1"/>
  <c r="I19" i="21" s="1"/>
  <c r="I20" i="21" s="1"/>
  <c r="I21" i="21" s="1"/>
  <c r="I22" i="21" s="1"/>
  <c r="I23" i="21" s="1"/>
  <c r="D11" i="18"/>
  <c r="C15" i="18"/>
  <c r="F20" i="17" s="1"/>
  <c r="F48" i="17" s="1"/>
  <c r="H23" i="20"/>
  <c r="F10" i="18" s="1"/>
  <c r="D3" i="17" l="1"/>
  <c r="E6" i="17" s="1"/>
  <c r="G20" i="17"/>
  <c r="G48" i="17" s="1"/>
  <c r="D15" i="18"/>
  <c r="F15" i="18" s="1"/>
  <c r="G15" i="18" l="1"/>
  <c r="K20" i="17" s="1"/>
  <c r="K48" i="17" s="1"/>
  <c r="H20" i="17"/>
  <c r="H48" i="17" s="1"/>
  <c r="J20" i="17"/>
  <c r="J48" i="17" s="1"/>
  <c r="E7" i="17" l="1"/>
  <c r="E8" i="17" s="1"/>
  <c r="K51" i="17"/>
  <c r="H23" i="61" l="1"/>
  <c r="F10" i="59" l="1"/>
  <c r="D26" i="76" l="1"/>
  <c r="F26" i="76"/>
  <c r="F27" i="76" s="1"/>
  <c r="D27" i="76" l="1"/>
  <c r="H26" i="76"/>
  <c r="H27" i="76" s="1"/>
  <c r="D26" i="61" l="1"/>
  <c r="D27" i="61" s="1"/>
  <c r="F26" i="61"/>
  <c r="F27" i="61" s="1"/>
  <c r="H26" i="61" l="1"/>
  <c r="H27" i="61" s="1"/>
  <c r="F26" i="79" l="1"/>
  <c r="F27" i="79" s="1"/>
  <c r="D26" i="79"/>
  <c r="D27" i="79" s="1"/>
  <c r="H26" i="79" l="1"/>
  <c r="H27" i="7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tc={3B0CC226-AF93-40D7-B704-424ABFEB3FB1}</author>
  </authors>
  <commentList>
    <comment ref="E9" authorId="0" shapeId="0" xr:uid="{3B0CC226-AF93-40D7-B704-424ABFEB3FB1}">
      <text>
        <t xml:space="preserve">[Threaded comment]
Your version of Excel allows you to read this threaded comment; however, any edits to it will get removed if the file is opened in a newer version of Excel. Learn more: https://go.microsoft.com/fwlink/?linkid=870924
Comment:
    Tonyan, Brad
​Joni,
Please set up the PM time budget on project 9239.04 as $30,000.
Thank you,
Brad Tonyan, CPM, LEED Green Associate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3C8C6B78-A001-4BCE-BBE5-2B15F0480904}">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5A600DF9-B870-4932-BDDB-0856A92966C6}">
      <text>
        <r>
          <rPr>
            <b/>
            <sz val="11"/>
            <color indexed="81"/>
            <rFont val="Tahoma"/>
            <family val="2"/>
          </rPr>
          <t>On Sat, Sep 20, 2025 at 2:15 PM Elliott, Jennie &lt;jennie.elliott@iowa.gov&gt; wrote:
Sorry about that, Please establish DAS time for $145,000.00 in 9488.00.
Thank you,
Jennie Elliott
Owner's Representative, State Design &amp; Construction Resources Bureau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7D453E67-42D8-4457-AA7F-7340D8267CD4}">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
Shimp, Oliver
9:16 AM (23 minutes ago)
to me
Good Morning,
Could you please make the following adjustments to these projects?
X674
9464.00 - Increase total project budget and PM time by $52.40
MM26
9491.00 - Please increase PM Time budget by $5,000.00
MM24
9386.01 - Please increase PM Time budget by $1950.87
9392.00 - Please increase PM Time budget by $5,000.00
DA26 
9489.00 - Please increase PM Time budget by $5,000.00
9492.00 - Please increase PM Time budget by $5,000.00, The funds for this are expected soon.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53949FAF-B606-4ED9-A701-54FC73327027}">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A718104D-5124-4F14-A4C2-C579CD8AE0A4}">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
Shimp, Oliver
9:16 AM (24 minutes ago)
to me
Good Morning,
Could you please make the following adjustments to these projects?
X674
9464.00 - Increase total project budget and PM time by $52.40
MM26
9491.00 - Please increase PM Time budget by $5,000.00
MM24
9386.01 - Please increase PM Time budget by $1950.87
9392.00 - Please increase PM Time budget by $5,000.00
DA26 
9489.00 - Please increase PM Time budget by $5,000.00
9492.00 - Please increase PM Time budget by $5,000.00, The funds for this are expected soon.
Re: December PM Time has been posted
$Joni
Shimp, Oliver
11:37 AM (1 hour ago)
to me
For my projects could you please,
5800 9473.00, Add $5,000.00 from unallocated to PM time.
DA26 9492.00, Add $3,000.00 from unallocated to PM time. 
MM24 9386.01, Add $6,000.00 from unallocated to PM time.
Thank you!
Oliver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1BC70419-C110-4F6F-8BEB-11BC2672A706}">
      <text>
        <r>
          <rPr>
            <sz val="11"/>
            <color indexed="81"/>
            <rFont val="Tahoma"/>
            <family val="2"/>
          </rPr>
          <t xml:space="preserve">Adams, Brandon
12:33 PM (37 minutes ago)
to me
Please set the PM Time to $2,500.
Regards,
Adams, Brandon
​Huggins, Joni​
Please increase DA26 9515.00 PM time by $4,500
Regards,
Brandon Adams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tc={B882E606-3C58-4CFC-96DB-FC56E632D0FB}</author>
  </authors>
  <commentList>
    <comment ref="E9" authorId="0" shapeId="0" xr:uid="{B882E606-3C58-4CFC-96DB-FC56E632D0FB}">
      <text>
        <t xml:space="preserve">[Threaded comment]
Your version of Excel allows you to read this threaded comment; however, any edits to it will get removed if the file is opened in a newer version of Excel. Learn more: https://go.microsoft.com/fwlink/?linkid=870924
Comment:
    Elliott, Jennie
Huggins, Joni​
Please increase PM time in each of these project to accommodate May PM time.
DA26 9516.00 increase PM time budget by $621.42
FLEE 9479.00 increase PM time budget by $832.31
PARK 9518.00 increase PM time budget by $1,401.88
Thank you,
Jennie Elliott
Reply:
    Elliott, Jennie
​Huggins, Joni;​DAS Finance Payables Infrastructure​
Thanks Joni, please make updates below: 
Unit DA26  9516.00  (1,975.88) Please increase PM Time by $1,975.88.
                       9534.00  (1,500.56) Please increase PM Time to by $8,499.44 to bring the total PM Contracted to $15,000.
Unit FLEE  9479.00       (884.94) Please increase PM Time by $884.94.
Unit PARK  9518.00  (1,196.51)  Please increase PM time by $1,196.51
</t>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CA7828EA-73C7-4A62-AB18-ED31B4C38116}">
      <text>
        <r>
          <rPr>
            <b/>
            <sz val="11"/>
            <color indexed="81"/>
            <rFont val="Tahoma"/>
            <family val="2"/>
          </rPr>
          <t>Huggins, Joni [DAS]:</t>
        </r>
        <r>
          <rPr>
            <sz val="11"/>
            <color indexed="81"/>
            <rFont val="Tahoma"/>
            <family val="2"/>
          </rPr>
          <t xml:space="preserve">
Re: February PM Time Posted
$Joni
Shimp, Oliver
Mar 13, 2026, 8:26 AM (3 days ago)
to me
Good Morning, 
Thank for you the list, could you please make the following adjustments?
DA25 9358.01  $(361.98)
Please move $5,000.00 from unallocated to PM Time
DA26 9534.00  $(298.97)
Please move $5,000.00 from unallocated to PM Time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EA330FC6-5B78-4889-B6E5-1CFDB630240F}">
      <text>
        <r>
          <rPr>
            <b/>
            <sz val="11"/>
            <color indexed="81"/>
            <rFont val="Tahoma"/>
            <family val="2"/>
          </rPr>
          <t>Huggins, Joni [DAS]:</t>
        </r>
        <r>
          <rPr>
            <sz val="11"/>
            <color indexed="81"/>
            <rFont val="Tahoma"/>
            <family val="2"/>
          </rPr>
          <t xml:space="preserve">
Re: March PM Time Posted
$Joni
Elliott, Jennie
Fri, Apr 10, 2:19 PM (3 days ago)
to me
Please establish a PM Time Budget of $12,000 in project 9540.00.
Thank you! 
Jennie Elliott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18691667-A411-45A9-BBBA-36815324AD5F}">
      <text>
        <r>
          <rPr>
            <sz val="11"/>
            <color indexed="81"/>
            <rFont val="Tahoma"/>
            <family val="2"/>
          </rPr>
          <t>Kleene, Jennifer
9:21 AM (3 minutes ago)
to me
Please create a DAS Costs budget of $293,189.00 for DA26 9279.50. 
Regards,
Jennifer
Jennifer Kleene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5EA368A3-794D-419F-B28F-3B2005A3A314}">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tc={E3580C09-FFE7-4ED9-BAEF-027F3D62FA81}</author>
  </authors>
  <commentList>
    <comment ref="E9" authorId="0" shapeId="0" xr:uid="{E3580C09-FFE7-4ED9-BAEF-027F3D62FA81}">
      <text>
        <t xml:space="preserve">[Threaded comment]
Your version of Excel allows you to read this threaded comment; however, any edits to it will get removed if the file is opened in a newer version of Excel. Learn more: https://go.microsoft.com/fwlink/?linkid=870924
Comment:
    Kleene, Jennifer
​Huggins, Joni​
Sorry about that! Please create a DAS Costs budget of $8,000.00 for 9476.01.
Regards,
Jennifer
Jennifer Kleene
Kleene, Jennifer
​Huggins, Joni​
Sorry about that! Please create a DAS Costs budget of $8,000.00 for 9476.01.
Regards,
Jennifer
Jennifer Kleene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663DBDEE-4590-4860-B5D9-0B41E8797992}">
      <text>
        <r>
          <rPr>
            <b/>
            <sz val="9"/>
            <color indexed="81"/>
            <rFont val="Tahoma"/>
            <family val="2"/>
          </rPr>
          <t>Jurgenson, John [DAS]:</t>
        </r>
        <r>
          <rPr>
            <sz val="9"/>
            <color indexed="81"/>
            <rFont val="Tahoma"/>
            <family val="2"/>
          </rPr>
          <t xml:space="preserve">
DAS Costs Budget for DA26 9480.01
Inbox
Kleene, Jennifer
2:58 PM (2 minutes ago)
to me
Please create a DAS Costs budget for $4,000.00 for DA26 9480.01.
Regards,
Jennifer
DAS Cost Budget Increases
$Joni
Kleene, Jennifer
9:49 AM (1 minute ago)
to me
Please increase the DAS Cost budget for MM24 9277.00 by $3,000.00
Please increase the DAS Cost budget for DA26 9480.01 by $2,000.00
From: Kleene, Jennifer &lt;jennifer.kleene@das.iowa.gov&gt;
Sent: Monday, June 8, 2026 3:25 PM
To: DAS Finance Payables Infrastructure &lt;dasfinanceinfrastructure@das.iowa.gov&gt;
Cc: Cross, Charlee &lt;charlee.cross@das.iowa.gov&gt;
Subject: Re: May PM Time has posted
Please increase the PM Time budget for 9413.00 by $1,459.75.
Please increase the PM Time budget for 9441.00 by $70.50.
Please increase the PM Time budget for 9480.01 by $5.97.
Regards,
Jennifer
Jennifer Kleene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95E86823-DF5A-4976-A550-F1E6EE1D286C}">
      <text>
        <r>
          <rPr>
            <b/>
            <sz val="11"/>
            <color indexed="81"/>
            <rFont val="Tahoma"/>
            <family val="2"/>
          </rPr>
          <t>Huggins, Joni [DAS]:</t>
        </r>
        <r>
          <rPr>
            <sz val="11"/>
            <color indexed="81"/>
            <rFont val="Tahoma"/>
            <family val="2"/>
          </rPr>
          <t xml:space="preserve">
Adams, Brandon
1:51 PM (1 hour ago)
to me
DA24 9414.00 (3,176.95) increase by $6,000
DA26 9481.00 (1302.54) set pm budget at $10,000
MM23 9450.00 (491.54) increase by $491.54 and close
MM25 9442.00 (1,198.60) increase by $2,000
Regards,
Brandon Adams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90FAFE2E-3DCD-48B6-9D04-AA248F37C08D}">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
Shimp, Oliver
2:04 PM (2 minutes ago)
to me
Could you please add $3000.00 to the PM time budget from the unallocated funds in project 9482.00?
Thank you very much!
--
Oliver Shimp, PE
Shimp, Oliver
8:23 AM (36 minutes ago)
to me
Thank you for letting me know! Please add $15,000.00 to the PM time code.
Phew! I was nervous about this one.
thanks again,
Oliver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672D44F5-0BE5-4944-BC0F-98BB91A8CFDD}">
      <text>
        <r>
          <rPr>
            <b/>
            <sz val="11"/>
            <color indexed="81"/>
            <rFont val="Tahoma"/>
            <family val="2"/>
          </rPr>
          <t>Huggins, Joni [DAS]:</t>
        </r>
        <r>
          <rPr>
            <sz val="11"/>
            <color indexed="81"/>
            <rFont val="Tahoma"/>
            <family val="2"/>
          </rPr>
          <t xml:space="preserve">
Re: Funds Recv'd 9486.00 &amp; 9487.00
$Joni
Tonyan, Brad
10:50 AM (12 minutes ago)
to me, Joni
Joni,
Please set up the following PM time budgets on these projects:
DA26 9486.00 - $30,000
DA26 9487.00 - $20,000
Thank you,
Brad Tonyan, CPM, LEED Green Associate
9486.00-.01 : Internal Budget Shifts and Project Setup (DA26 - MOU)
$Joni
Tonyan, Brad
1:35 PM (14 minutes ago)
to me, Joni, Brad, David, Scott
Joni,
As we discussed moments ago IVH/DAS/DCI Group would like to set up project 9486.01 as a sub job to the base project 9486.00. Details below on the next steps:
1. Setup Project 9486.01- DVA IVH Fox and Ulery Carpet Replacement - Sound Issues
2. 9486.00 - Reduce PM time budget from $30,000 to $10,000 and shift balance to general fund yet within project 9486.00
3. 9486.00 - Shift $25,000 from DA26 to sub project 9486.01
4. Set up a PM time budget of $5,000
4. Balance of $20,000 in general fund for 9486.01
Thank you and please reach out if you have any questions. Confirm when this is complete so we can start to issue the design contract.
Brad Tonyan, CPM, LEED Green Associate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2DA6893C-1894-4DFB-BC01-0F9DBE796249}">
      <text>
        <r>
          <rPr>
            <b/>
            <sz val="11"/>
            <color indexed="81"/>
            <rFont val="Tahoma"/>
            <family val="2"/>
          </rPr>
          <t>Huggins, Joni [DAS]:</t>
        </r>
        <r>
          <rPr>
            <sz val="11"/>
            <color indexed="81"/>
            <rFont val="Tahoma"/>
            <family val="2"/>
          </rPr>
          <t xml:space="preserve">
9486.00-.01 : Internal Budget Shifts and Project Setup (DA26 - MOU)
FY26
Tonyan, Brad
1:35 PM (1 hour ago)
to me, Joni, Brad, David, Scott
Joni,
As we discussed moments ago IVH/DAS/DCI Group would like to set up project 9486.01 as a sub job to the base project 9486.00. Details below on the next steps:
1. Setup Project 9486.01- DVA IVH Fox and Ulery Carpet Replacement - Sound Issues
2. 9486.00 - Reduce PM time budget from $30,000 to $10,000 and shift balance to general fund yet within project 9486.00
3. 9486.00 - Shift $25,000 from DA26 to sub project 9486.01
4. Set up a PM time budget of $5,000
4. Balance of $20,000 in general fund for 9486.01
Thank you and please reach out if you have any questions. Confirm when this is complete so we can start to issue the design contract.
Brad Tonyan, CPM, LEED Green Associate</t>
        </r>
      </text>
    </comment>
  </commentList>
</comments>
</file>

<file path=xl/sharedStrings.xml><?xml version="1.0" encoding="utf-8"?>
<sst xmlns="http://schemas.openxmlformats.org/spreadsheetml/2006/main" count="4618" uniqueCount="1057">
  <si>
    <t>TRANSFERS</t>
  </si>
  <si>
    <t>CONTRACTED</t>
  </si>
  <si>
    <t>EXPENDED</t>
  </si>
  <si>
    <t xml:space="preserve"> </t>
  </si>
  <si>
    <t>Date</t>
  </si>
  <si>
    <t>Amount</t>
  </si>
  <si>
    <t>Vendor</t>
  </si>
  <si>
    <t>Date of Transfer</t>
  </si>
  <si>
    <t>Total amount of transfer</t>
  </si>
  <si>
    <t>Total Requested</t>
  </si>
  <si>
    <t>Total Transferred</t>
  </si>
  <si>
    <t>Activity</t>
  </si>
  <si>
    <t>Balance</t>
  </si>
  <si>
    <t>Vendor A</t>
  </si>
  <si>
    <t>Misc</t>
  </si>
  <si>
    <t>PROJECT NUMBER</t>
  </si>
  <si>
    <t>.</t>
  </si>
  <si>
    <t>Status</t>
  </si>
  <si>
    <t>PROJECT TITLE</t>
  </si>
  <si>
    <t>Project Mgr.</t>
  </si>
  <si>
    <t>506 Project Budget</t>
  </si>
  <si>
    <t>506 Project Funds Received</t>
  </si>
  <si>
    <t>Total Project Budget</t>
  </si>
  <si>
    <t>Contracted Amount</t>
  </si>
  <si>
    <t>Expended Amount</t>
  </si>
  <si>
    <t>Encumbered Not Expended</t>
  </si>
  <si>
    <t>Not Encumbered</t>
  </si>
  <si>
    <t>Vertical Infrastructure Funds</t>
  </si>
  <si>
    <t>Additional Funds</t>
  </si>
  <si>
    <t>Sales Tax Refunds</t>
  </si>
  <si>
    <t>Total Funds &amp; Sales Tax Refunds</t>
  </si>
  <si>
    <t>Less: Total Assigned</t>
  </si>
  <si>
    <t>Total Unassigned / Unallocated</t>
  </si>
  <si>
    <t>hard code</t>
  </si>
  <si>
    <t>link to project recap</t>
  </si>
  <si>
    <t>link to this page budget column</t>
  </si>
  <si>
    <t>Recap</t>
  </si>
  <si>
    <t>CONTRACTED,  NOT EXPENDED</t>
  </si>
  <si>
    <t>UNDER(OVER)
Budget</t>
  </si>
  <si>
    <t>Funds received per MOU</t>
  </si>
  <si>
    <t>VendorA</t>
  </si>
  <si>
    <t>PM TIME</t>
  </si>
  <si>
    <t>Misc.</t>
  </si>
  <si>
    <t>Total Project Cost</t>
  </si>
  <si>
    <t xml:space="preserve">Funds Rec'd </t>
  </si>
  <si>
    <t>DAS Document #</t>
  </si>
  <si>
    <t xml:space="preserve"> Document #</t>
  </si>
  <si>
    <t>Vendor:</t>
  </si>
  <si>
    <t>Activity code:</t>
  </si>
  <si>
    <t>Doc
  #</t>
  </si>
  <si>
    <t>Contract 
&amp; C.O.'s</t>
  </si>
  <si>
    <t>Contract
Total</t>
  </si>
  <si>
    <t>Payment 
Amount</t>
  </si>
  <si>
    <t>Total
Paid</t>
  </si>
  <si>
    <t>Totals:</t>
  </si>
  <si>
    <t>Internal documents</t>
  </si>
  <si>
    <t>Object Code</t>
  </si>
  <si>
    <t>Activity Code</t>
  </si>
  <si>
    <t>Do not code PM, EADOC, or Builders Risk here</t>
  </si>
  <si>
    <t xml:space="preserve">Doc #  </t>
  </si>
  <si>
    <t>Invoice</t>
  </si>
  <si>
    <t>DA26 (MOU) Projects</t>
  </si>
  <si>
    <t>DA26 (MOU) Totals</t>
  </si>
  <si>
    <t>Acct. Codes-0506-335-DA26</t>
  </si>
  <si>
    <t>Acct Code: 0506-335-DA26-xxxx</t>
  </si>
  <si>
    <r>
      <t>Acct. Codes-0506-335-DA26-</t>
    </r>
    <r>
      <rPr>
        <b/>
        <sz val="11"/>
        <color indexed="10"/>
        <rFont val="Arial"/>
        <family val="2"/>
      </rPr>
      <t>xxxx</t>
    </r>
  </si>
  <si>
    <t>Acct. Codes-0506-335-DA26-xxxx</t>
  </si>
  <si>
    <t>9480.01</t>
  </si>
  <si>
    <t>Project # 9480.01</t>
  </si>
  <si>
    <t>Program code 948001</t>
  </si>
  <si>
    <t>Project Manager - Jennifer K.</t>
  </si>
  <si>
    <t>Major Program 3D02</t>
  </si>
  <si>
    <t>Jennifer K.</t>
  </si>
  <si>
    <t>eDAS:  733M</t>
  </si>
  <si>
    <t>9481.00</t>
  </si>
  <si>
    <t xml:space="preserve">Brandon A. </t>
  </si>
  <si>
    <t>Project # 9481.00</t>
  </si>
  <si>
    <t>Program code 948100</t>
  </si>
  <si>
    <t>Project Manager - Brandon A</t>
  </si>
  <si>
    <t>Major Program 4E01</t>
  </si>
  <si>
    <t>9486.00</t>
  </si>
  <si>
    <t>9487.00</t>
  </si>
  <si>
    <t>DVA IVH Fox and Ulery Carpet Replacement</t>
  </si>
  <si>
    <t>DVA IVH Loftus and Malloy Water Infiltration-Flooding (29C20)</t>
  </si>
  <si>
    <r>
      <t xml:space="preserve">DVA IVH Loftus and Malloy Water Infiltration-Flooding </t>
    </r>
    <r>
      <rPr>
        <b/>
        <sz val="10"/>
        <color rgb="FFFF0000"/>
        <rFont val="Arial"/>
        <family val="2"/>
      </rPr>
      <t>(29C20)</t>
    </r>
  </si>
  <si>
    <t>Brad T.</t>
  </si>
  <si>
    <t>Project # 9486.00</t>
  </si>
  <si>
    <t>Program code 948600</t>
  </si>
  <si>
    <t>Project # 9487.00</t>
  </si>
  <si>
    <t>Program code 948700</t>
  </si>
  <si>
    <t>Major Program 4B03</t>
  </si>
  <si>
    <t>eDAS: 733O</t>
  </si>
  <si>
    <t>eDAS: 733T</t>
  </si>
  <si>
    <t>eDAS: 733U</t>
  </si>
  <si>
    <t>DOC 5JD 150 DSM St Renovation</t>
  </si>
  <si>
    <t>Budget</t>
  </si>
  <si>
    <t>MOU</t>
  </si>
  <si>
    <t>IET 23812V26001</t>
  </si>
  <si>
    <t>IET IET072925401</t>
  </si>
  <si>
    <t>IET IET072925400</t>
  </si>
  <si>
    <t>Project Name</t>
  </si>
  <si>
    <t>Project # XXXX.XX</t>
  </si>
  <si>
    <t>Program code XXXXXX</t>
  </si>
  <si>
    <t>Project Manager - XXXXXX</t>
  </si>
  <si>
    <t>Major Program XXXX</t>
  </si>
  <si>
    <t xml:space="preserve">eDAS: </t>
  </si>
  <si>
    <t>9488.00</t>
  </si>
  <si>
    <t xml:space="preserve">DOC 4JD New Central Office Building </t>
  </si>
  <si>
    <t>Jennie E.</t>
  </si>
  <si>
    <t>Project # 9488.00</t>
  </si>
  <si>
    <t>Program code 948800</t>
  </si>
  <si>
    <t>Project Manager - Jennie E</t>
  </si>
  <si>
    <t>Major Program 4B01</t>
  </si>
  <si>
    <t>eDAS: 733W</t>
  </si>
  <si>
    <t>DOC &amp; ASP TWID Repairs</t>
  </si>
  <si>
    <t>Project # 9489.00</t>
  </si>
  <si>
    <t>Program code 948900</t>
  </si>
  <si>
    <t>9489.00</t>
  </si>
  <si>
    <t>9482.00</t>
  </si>
  <si>
    <t>IDB - Chiller Replacement</t>
  </si>
  <si>
    <t>Project # 9482.00</t>
  </si>
  <si>
    <t>Program code 948200</t>
  </si>
  <si>
    <t>Acct Code: 0506-335-DA26-0304</t>
  </si>
  <si>
    <t>Major Program 4F09</t>
  </si>
  <si>
    <t>IET 13150026212001</t>
  </si>
  <si>
    <t>eDAS:  733P</t>
  </si>
  <si>
    <t>9471.00</t>
  </si>
  <si>
    <r>
      <t>DCO FDCF Bldg G Water Heater Replacement</t>
    </r>
    <r>
      <rPr>
        <b/>
        <sz val="10"/>
        <color indexed="10"/>
        <rFont val="Arial"/>
        <family val="2"/>
      </rPr>
      <t xml:space="preserve"> (29C20)</t>
    </r>
  </si>
  <si>
    <t>DOC FDCF Bldg G Water Heater Replacement (29C20)</t>
  </si>
  <si>
    <t>Project # 9471.00</t>
  </si>
  <si>
    <t>Program code 947100</t>
  </si>
  <si>
    <r>
      <t xml:space="preserve">HHS STS Canteen Roof Repair Construction </t>
    </r>
    <r>
      <rPr>
        <b/>
        <sz val="10"/>
        <color rgb="FFFF0000"/>
        <rFont val="Arial"/>
        <family val="2"/>
      </rPr>
      <t>(29C20)</t>
    </r>
  </si>
  <si>
    <t>IET 400EL26216003</t>
  </si>
  <si>
    <t>DOC NCF Forced Main Sewer Pipe Failure (29C20)</t>
  </si>
  <si>
    <t>Project # 9490.00</t>
  </si>
  <si>
    <t>Program code 949000</t>
  </si>
  <si>
    <t>Project Manager - Brad T.</t>
  </si>
  <si>
    <t>9490.00</t>
  </si>
  <si>
    <t>eDAS:  734B</t>
  </si>
  <si>
    <t>eDAS: 734C</t>
  </si>
  <si>
    <t xml:space="preserve"> eDAS: 734A</t>
  </si>
  <si>
    <t>McGough Construction</t>
  </si>
  <si>
    <t>Vendor:  00003193334</t>
  </si>
  <si>
    <t>RFP1821335228-McGough11012021</t>
  </si>
  <si>
    <t>Activity code:  CMGR</t>
  </si>
  <si>
    <t>PO 33526223900</t>
  </si>
  <si>
    <t>PO Procore</t>
  </si>
  <si>
    <t>Acct. Codes-0506-335-DA26-9255</t>
  </si>
  <si>
    <t>IET DAS202601115300001</t>
  </si>
  <si>
    <t>Finance Support for July 01-31, 2025</t>
  </si>
  <si>
    <t>DAS Support for July 01-31, 2025</t>
  </si>
  <si>
    <t>Space Planning Services July 1-31,2025</t>
  </si>
  <si>
    <t>Inv. DAS2026011153</t>
  </si>
  <si>
    <t>Midstate Plumbing</t>
  </si>
  <si>
    <t>Vendor:  00002108635</t>
  </si>
  <si>
    <t>RFB947100-01</t>
  </si>
  <si>
    <t>Activity code:  BRUM</t>
  </si>
  <si>
    <t>Total:</t>
  </si>
  <si>
    <t>MM23</t>
  </si>
  <si>
    <t>PO 33526226907</t>
  </si>
  <si>
    <t>TB Rigid Edge Exteriors</t>
  </si>
  <si>
    <t>Vendor:  00003193199</t>
  </si>
  <si>
    <t>Emergency</t>
  </si>
  <si>
    <t>PO 33526230902</t>
  </si>
  <si>
    <t xml:space="preserve">PO Procore </t>
  </si>
  <si>
    <t>Shipping Code: 200</t>
  </si>
  <si>
    <t>9492.00</t>
  </si>
  <si>
    <t>ATOD Racking Modification</t>
  </si>
  <si>
    <r>
      <t>DOC NCF Forced Main Sewer Pipe Failure</t>
    </r>
    <r>
      <rPr>
        <b/>
        <sz val="10"/>
        <color rgb="FFFF0000"/>
        <rFont val="Arial"/>
        <family val="2"/>
      </rPr>
      <t xml:space="preserve"> (29C20)</t>
    </r>
  </si>
  <si>
    <t>Project # 9492.00</t>
  </si>
  <si>
    <t>Program code 949200</t>
  </si>
  <si>
    <t>Major Program 4H06</t>
  </si>
  <si>
    <t>9438.00</t>
  </si>
  <si>
    <t>DOC FDCF Warehouse Loading Dock Ramp Repairs</t>
  </si>
  <si>
    <t>Project # 9438.00</t>
  </si>
  <si>
    <t>Program code 943800</t>
  </si>
  <si>
    <t>Project Manager - Jennie E.</t>
  </si>
  <si>
    <t>eDAS:  734H</t>
  </si>
  <si>
    <t>eDAS: 911G</t>
  </si>
  <si>
    <t>IET 25543A26002</t>
  </si>
  <si>
    <t>IET 25208202502</t>
  </si>
  <si>
    <t>Genesis Architectural</t>
  </si>
  <si>
    <t>Acct. Codes-0506-335-DA26-9260</t>
  </si>
  <si>
    <t>Vendor:  00002092152</t>
  </si>
  <si>
    <t>Activity code:  DSGN</t>
  </si>
  <si>
    <t>PO 33526181901</t>
  </si>
  <si>
    <t xml:space="preserve">CO #1 Opening in DA26 </t>
  </si>
  <si>
    <t>Split w/DA25</t>
  </si>
  <si>
    <t>IET 245269490</t>
  </si>
  <si>
    <t>IET 25543A26001</t>
  </si>
  <si>
    <t>Mc Gough Construction</t>
  </si>
  <si>
    <t>RFP1821335228-McGought11012021</t>
  </si>
  <si>
    <t>PO 33526252403</t>
  </si>
  <si>
    <t>IET IET091125100</t>
  </si>
  <si>
    <t>FY26 Funds recv'd for 9211.01</t>
  </si>
  <si>
    <t>Transfer Funds to Correct Unit</t>
  </si>
  <si>
    <t>CDR 33526255900</t>
  </si>
  <si>
    <t>DCI Group</t>
  </si>
  <si>
    <t>Vendor:  00003025029</t>
  </si>
  <si>
    <t>RFP1821335228-DCI11012021</t>
  </si>
  <si>
    <t>PO 33526255902</t>
  </si>
  <si>
    <t>PO 33526255904</t>
  </si>
  <si>
    <t>Shipping Code:  558</t>
  </si>
  <si>
    <t>PRC 3352622PA3900</t>
  </si>
  <si>
    <t>Inv. 101368.012-PC01</t>
  </si>
  <si>
    <t>PRC 3352625PA2403</t>
  </si>
  <si>
    <t>Inv. 101368.011-CA01</t>
  </si>
  <si>
    <t>Inv. 2250015060-1</t>
  </si>
  <si>
    <t>DSGN</t>
  </si>
  <si>
    <t>9500</t>
  </si>
  <si>
    <t>GAX 33526259906</t>
  </si>
  <si>
    <t>Shive Hattery V#(00002108803)</t>
  </si>
  <si>
    <t>CO #1</t>
  </si>
  <si>
    <t>IET DAS202602115300001</t>
  </si>
  <si>
    <t>Inv. DAS2026021153</t>
  </si>
  <si>
    <t>Space Planning Services August 1-31,2025</t>
  </si>
  <si>
    <t>Finance Support for August 01-31, 2025</t>
  </si>
  <si>
    <t>DAS Support for August 01-31, 2025</t>
  </si>
  <si>
    <t>IET DAS9492RACKING</t>
  </si>
  <si>
    <t>CDE 33526262901</t>
  </si>
  <si>
    <t>PRC 3352618PB1901</t>
  </si>
  <si>
    <t>Inv. 2503-02(Split w/DA25)</t>
  </si>
  <si>
    <t>DA25 Closed 09/23/25</t>
  </si>
  <si>
    <t>Jasper Construction</t>
  </si>
  <si>
    <t>Vendor:  00003016436</t>
  </si>
  <si>
    <t>RFQ943800-01</t>
  </si>
  <si>
    <t>Split w/ MM23</t>
  </si>
  <si>
    <t>PO 33526266902</t>
  </si>
  <si>
    <t>KCL Engineering</t>
  </si>
  <si>
    <t>Vendor:  00002103747</t>
  </si>
  <si>
    <t>RFP948200-01</t>
  </si>
  <si>
    <t>PO 33526266903</t>
  </si>
  <si>
    <t>Design Development Docs</t>
  </si>
  <si>
    <t>Construction Docs</t>
  </si>
  <si>
    <t>MOU 9476.00 Transfer to DAS</t>
  </si>
  <si>
    <t>IET 400EL26246001</t>
  </si>
  <si>
    <t>IET 400EL26247007</t>
  </si>
  <si>
    <t>Samuels Group</t>
  </si>
  <si>
    <t>Vendor:  00003033402</t>
  </si>
  <si>
    <t>RFP1821335228-Samuels11012021</t>
  </si>
  <si>
    <t>PO 33526269901</t>
  </si>
  <si>
    <t>Shipping Code:  137</t>
  </si>
  <si>
    <t>Hilsabeck Schacht</t>
  </si>
  <si>
    <t>Vendor:  00003178029</t>
  </si>
  <si>
    <t>PO 33526272906</t>
  </si>
  <si>
    <t>MTS Contracting</t>
  </si>
  <si>
    <t>Vendor:  00003067019</t>
  </si>
  <si>
    <t>MA00520243D</t>
  </si>
  <si>
    <t>PO 33526272908</t>
  </si>
  <si>
    <t>Tuckpointing</t>
  </si>
  <si>
    <t>Materials &amp; Supplies</t>
  </si>
  <si>
    <t>PO 33526273900</t>
  </si>
  <si>
    <t>CM Services</t>
  </si>
  <si>
    <t>Reimbursables</t>
  </si>
  <si>
    <t>Reimbursables(Geotechnical)</t>
  </si>
  <si>
    <t>Shipping Code: B90</t>
  </si>
  <si>
    <t>Kinzler Construction</t>
  </si>
  <si>
    <t>Vendor:  00003169106</t>
  </si>
  <si>
    <t>PO 33526273902</t>
  </si>
  <si>
    <t>Ralph N Smith Flooring</t>
  </si>
  <si>
    <t>Vendor:  00002106937</t>
  </si>
  <si>
    <t>MA #21175A</t>
  </si>
  <si>
    <t>Activity code:  CNST</t>
  </si>
  <si>
    <t>DO Procore</t>
  </si>
  <si>
    <t>DO 33526273904</t>
  </si>
  <si>
    <t>IET 400EL26274001</t>
  </si>
  <si>
    <t>MOU Amendment #1</t>
  </si>
  <si>
    <t>RFP 948700-01</t>
  </si>
  <si>
    <t>PO 33526275905</t>
  </si>
  <si>
    <t>50% Schematic Phase</t>
  </si>
  <si>
    <t>100% Schematic Phase</t>
  </si>
  <si>
    <t>PO 33526279900</t>
  </si>
  <si>
    <t>Shipping Code:  163</t>
  </si>
  <si>
    <t>IET DAS202603115300001</t>
  </si>
  <si>
    <t>2507</t>
  </si>
  <si>
    <t>Finance Support for September 01-30, 2025</t>
  </si>
  <si>
    <t>DAS Support for September 01-30, 2025</t>
  </si>
  <si>
    <t>Moving Expense from 9480.00</t>
  </si>
  <si>
    <t>PRC 3352625PA5902</t>
  </si>
  <si>
    <t>Inv. 25-023 PC 01</t>
  </si>
  <si>
    <t>PRC 3352622PB3900</t>
  </si>
  <si>
    <t>Inv. 101368.012-PC02</t>
  </si>
  <si>
    <t>PRC 3352625PB2403</t>
  </si>
  <si>
    <t>Inv. 101368.011-CA02</t>
  </si>
  <si>
    <t>Inv. 2250015060-2</t>
  </si>
  <si>
    <t>GAX 33526294900</t>
  </si>
  <si>
    <t>Shipping Code:</t>
  </si>
  <si>
    <t>CO #2</t>
  </si>
  <si>
    <t>PRC 3352627PA3904</t>
  </si>
  <si>
    <t>Inv. 9486.00-01</t>
  </si>
  <si>
    <t>9279.50</t>
  </si>
  <si>
    <t>HHS WRC Campus Utility Decentralization Phase 5</t>
  </si>
  <si>
    <t>Project # 9279.50</t>
  </si>
  <si>
    <t>Program code 927950</t>
  </si>
  <si>
    <t>Major Program 4B02</t>
  </si>
  <si>
    <t>PRC 3352627PA2906</t>
  </si>
  <si>
    <t>Inv. HS2172</t>
  </si>
  <si>
    <t>Retainage</t>
  </si>
  <si>
    <t>Quick Enterprise LLC</t>
  </si>
  <si>
    <t>Vendor:  00003198873</t>
  </si>
  <si>
    <t>RFQ949200-01</t>
  </si>
  <si>
    <t>PO 33526309900</t>
  </si>
  <si>
    <t>SVPA Architects</t>
  </si>
  <si>
    <t>PO 33526310900</t>
  </si>
  <si>
    <t>Construction Documents</t>
  </si>
  <si>
    <t>Bidding/ Negotiation</t>
  </si>
  <si>
    <t>Construction Admin</t>
  </si>
  <si>
    <t xml:space="preserve">Furniture </t>
  </si>
  <si>
    <t>Renovation Schematic Design</t>
  </si>
  <si>
    <t>Renovation Design Development</t>
  </si>
  <si>
    <t>Vendor:  00002109254</t>
  </si>
  <si>
    <t>RFP948800-01</t>
  </si>
  <si>
    <t>DCI Group(2)</t>
  </si>
  <si>
    <t>CM Staff Hours</t>
  </si>
  <si>
    <t>CM Fee</t>
  </si>
  <si>
    <t>PO 33526310903</t>
  </si>
  <si>
    <t>PRC 3352622PC3900</t>
  </si>
  <si>
    <t>Inv. 101368.012-PC03</t>
  </si>
  <si>
    <t>eDAS: 735I</t>
  </si>
  <si>
    <t>Shipping Code:  564</t>
  </si>
  <si>
    <t>IET DAS202604115300001</t>
  </si>
  <si>
    <t>Space Planning Services October 1-31,2025</t>
  </si>
  <si>
    <t>Inv. DAS2026041153</t>
  </si>
  <si>
    <t>Finance Support for October 01-31, 2025</t>
  </si>
  <si>
    <t>DAS Support for October 01-31, 2025</t>
  </si>
  <si>
    <t>C</t>
  </si>
  <si>
    <t>Closed 11/12/25</t>
  </si>
  <si>
    <t>IET 33526316900</t>
  </si>
  <si>
    <t>Return funds to agency- closing program</t>
  </si>
  <si>
    <t>CDE 33526317909</t>
  </si>
  <si>
    <t>Moving PM Time from 9481.00 DA26 to 9997.26 MM26</t>
  </si>
  <si>
    <t>PRC 3352625PC2403</t>
  </si>
  <si>
    <t>Inv. 101368.011-CA03</t>
  </si>
  <si>
    <t>CO #1(Split w/ DA26)</t>
  </si>
  <si>
    <t>PRC 3352626PA6903</t>
  </si>
  <si>
    <t>Inv. 12870</t>
  </si>
  <si>
    <t>PRC 3352627PA3902</t>
  </si>
  <si>
    <t>Inv. 2519028</t>
  </si>
  <si>
    <t>DCI Group (2)</t>
  </si>
  <si>
    <t>PRC 3352625PB5902</t>
  </si>
  <si>
    <t>Inv. 25-023 PC 02 FINAL</t>
  </si>
  <si>
    <t>FINAL</t>
  </si>
  <si>
    <t>PRC 3352625PA5904</t>
  </si>
  <si>
    <t>Inv. 25-024PC 01</t>
  </si>
  <si>
    <t>PRC 3352627PA5905</t>
  </si>
  <si>
    <t>Inv. 2515-01</t>
  </si>
  <si>
    <t>PRC 3352627PB2906</t>
  </si>
  <si>
    <t>Inv. 9480.01-02</t>
  </si>
  <si>
    <t>PRC 3352627PB3902</t>
  </si>
  <si>
    <t>Inv. 2519028.0014</t>
  </si>
  <si>
    <t>PRC 3352627PA3900</t>
  </si>
  <si>
    <t>Inv. 7813.01948800</t>
  </si>
  <si>
    <t>PRC 3352625PD2403</t>
  </si>
  <si>
    <t>Inv. 101368.011-CA04</t>
  </si>
  <si>
    <t>PRC 3352626PA9901</t>
  </si>
  <si>
    <t>Inv. 7815.00 CA</t>
  </si>
  <si>
    <t>PRC 3352622PD3900</t>
  </si>
  <si>
    <t>Inv. 101368.012-PC04</t>
  </si>
  <si>
    <t>9515.00</t>
  </si>
  <si>
    <t>DPS District 1 Intel Remodel</t>
  </si>
  <si>
    <t>Project # 9515.00</t>
  </si>
  <si>
    <t>Program code 951500</t>
  </si>
  <si>
    <t>Major Program 4E08</t>
  </si>
  <si>
    <t>eDAS: 735M</t>
  </si>
  <si>
    <t>Inv. 2503-03</t>
  </si>
  <si>
    <t>Closed PO to correct accounting lines link</t>
  </si>
  <si>
    <t>PO 33526181901A</t>
  </si>
  <si>
    <t>PRC 3352618PC1901A</t>
  </si>
  <si>
    <t>PRC 3352627PB5905</t>
  </si>
  <si>
    <t>Inv. 2515-02</t>
  </si>
  <si>
    <t>Team Services V#(00002121153)</t>
  </si>
  <si>
    <t>Inv. 1825258-0</t>
  </si>
  <si>
    <t>CNST</t>
  </si>
  <si>
    <t>GAX 33526349902</t>
  </si>
  <si>
    <t>PRC 3352631PA0900</t>
  </si>
  <si>
    <t>Inv. 0041003</t>
  </si>
  <si>
    <t>9517.00</t>
  </si>
  <si>
    <t>DVA IVC Columbarium And Irrigation System Expansion</t>
  </si>
  <si>
    <t>Project # 9517.00</t>
  </si>
  <si>
    <t>Program code 951700</t>
  </si>
  <si>
    <t>Major Program 4E09</t>
  </si>
  <si>
    <t>PRC 3352627PA2908</t>
  </si>
  <si>
    <t>Inv. 25-6194 - FINAL</t>
  </si>
  <si>
    <t>IET DAS202605115300001</t>
  </si>
  <si>
    <t>Finance Support for November 1-30, 2025</t>
  </si>
  <si>
    <t>DAS Support for November 1-30, 2025</t>
  </si>
  <si>
    <t>eDAS: 735N</t>
  </si>
  <si>
    <t>CDE 33526352902</t>
  </si>
  <si>
    <t>Moving expense from 9279.50 to 9279.40</t>
  </si>
  <si>
    <t>PRC 3352622PA6907</t>
  </si>
  <si>
    <t>PRC 3352631PA0903</t>
  </si>
  <si>
    <t>Inv. 25-023 CA 01</t>
  </si>
  <si>
    <t>PRC 3352625PB5904</t>
  </si>
  <si>
    <t>Inv. 25-024 PC 02</t>
  </si>
  <si>
    <t>CO #3</t>
  </si>
  <si>
    <t>IET 400KDH122325001</t>
  </si>
  <si>
    <t>Inv. P38754(Split w/MM24)</t>
  </si>
  <si>
    <t>PRC 3352627PB3904</t>
  </si>
  <si>
    <t>Inv. 9486.00-02</t>
  </si>
  <si>
    <t>PRC 3352622PB6907</t>
  </si>
  <si>
    <t>Inv. P39138(Split w/MM24)</t>
  </si>
  <si>
    <t>Systems Management</t>
  </si>
  <si>
    <t>Vendor:  00003202455</t>
  </si>
  <si>
    <t>SRVV5</t>
  </si>
  <si>
    <t>Shipping Code:  403</t>
  </si>
  <si>
    <t>PO 33526006903</t>
  </si>
  <si>
    <t>IET IET010526100</t>
  </si>
  <si>
    <t>PRC 3352627PB3900</t>
  </si>
  <si>
    <t>Inv. 7813.02948800</t>
  </si>
  <si>
    <t>PRC 3352622PC6907</t>
  </si>
  <si>
    <t>Inv. P39249(100% to MM24)</t>
  </si>
  <si>
    <t>PO 33526009906</t>
  </si>
  <si>
    <t>Shipping Code: 1012</t>
  </si>
  <si>
    <t>PRC 3352625PE2403</t>
  </si>
  <si>
    <t>Inv. 101368.011-CA05</t>
  </si>
  <si>
    <t>PRC 3352622PE3900</t>
  </si>
  <si>
    <t>Inv. 101368.012-PC05</t>
  </si>
  <si>
    <t>CO #2(100% to MM23)</t>
  </si>
  <si>
    <t>IET DAS202606115300001</t>
  </si>
  <si>
    <t>Finance Support for December 1-31, 2025</t>
  </si>
  <si>
    <t>DAS Support for December 1-31, 2025</t>
  </si>
  <si>
    <t>PRC 3352626PB9901</t>
  </si>
  <si>
    <t>Inv. 7815.01 CA</t>
  </si>
  <si>
    <t>IET 25208072504</t>
  </si>
  <si>
    <t>PRC 3352627PC3904</t>
  </si>
  <si>
    <t>Inv. 9486.00-03</t>
  </si>
  <si>
    <t>Shive Hattery</t>
  </si>
  <si>
    <t>PO 33526020902</t>
  </si>
  <si>
    <t>Vendor:  00002108803</t>
  </si>
  <si>
    <t>SS-0034</t>
  </si>
  <si>
    <t xml:space="preserve">Columbarium Schematic </t>
  </si>
  <si>
    <t>Columbarium Design</t>
  </si>
  <si>
    <t>Columbarium Construction</t>
  </si>
  <si>
    <t>Columbarium Bidding</t>
  </si>
  <si>
    <t>Columbarium Document</t>
  </si>
  <si>
    <t>IVC Irrigation Water Supply Documents</t>
  </si>
  <si>
    <t>IVC Irrigation Controls Documents</t>
  </si>
  <si>
    <t>PRC 3352627PC3902</t>
  </si>
  <si>
    <t>Inv. 9480.01-Retainage</t>
  </si>
  <si>
    <t>PRC 3352623PA0902</t>
  </si>
  <si>
    <t>Inv. 9480.01-001</t>
  </si>
  <si>
    <t>Retainage 3%</t>
  </si>
  <si>
    <t>CDE 33526021906</t>
  </si>
  <si>
    <t>Moving December Time to MM23</t>
  </si>
  <si>
    <t>RFP927900-01</t>
  </si>
  <si>
    <t>PO 33526023916</t>
  </si>
  <si>
    <t>Schematic Design</t>
  </si>
  <si>
    <t>Design Development</t>
  </si>
  <si>
    <t>Bidding Assistance</t>
  </si>
  <si>
    <t>PRC 3352627PC2906</t>
  </si>
  <si>
    <t>Inv. 9480.01-03</t>
  </si>
  <si>
    <t>PRC 3352631PB0903</t>
  </si>
  <si>
    <t>Inv. 25-023 CA-02</t>
  </si>
  <si>
    <t>PRC 3352625PC5904</t>
  </si>
  <si>
    <t>Inv. 25-024 PC 03</t>
  </si>
  <si>
    <t>PRC 3352631PB0900</t>
  </si>
  <si>
    <t>Inv. 0041049</t>
  </si>
  <si>
    <t xml:space="preserve">MOU </t>
  </si>
  <si>
    <t>IET 33528JA26KAS0126</t>
  </si>
  <si>
    <t>Story Construction</t>
  </si>
  <si>
    <t>Vendor:  00002110695</t>
  </si>
  <si>
    <t>927900-01</t>
  </si>
  <si>
    <t>PO 33526030914</t>
  </si>
  <si>
    <t>CM Service</t>
  </si>
  <si>
    <t>Genesis Architectural (2)</t>
  </si>
  <si>
    <t>PO 33526030915</t>
  </si>
  <si>
    <t>PRC 3352622PD6907</t>
  </si>
  <si>
    <t>Inv. P39322(Split w/MM24)</t>
  </si>
  <si>
    <t>PRC 3352626PA6902</t>
  </si>
  <si>
    <t>Inv. 9438.00-01(Split w/MM23)</t>
  </si>
  <si>
    <t>PRC 3352627PC3900</t>
  </si>
  <si>
    <t>Inv. 7813.03948800</t>
  </si>
  <si>
    <t>Beeline &amp; Blue V#(00002108204)</t>
  </si>
  <si>
    <t>PRC 33526033919</t>
  </si>
  <si>
    <t>Inv. INV052846</t>
  </si>
  <si>
    <t>CO #1 (No Cost CO)</t>
  </si>
  <si>
    <t>9532.00</t>
  </si>
  <si>
    <t>DPS-DCI ANK Room A155, A156 and A157 Renovation</t>
  </si>
  <si>
    <t>James T.</t>
  </si>
  <si>
    <t>Project # 9532.00</t>
  </si>
  <si>
    <t>Program code 953200</t>
  </si>
  <si>
    <t>Project Manager - James T</t>
  </si>
  <si>
    <t>PRC 3352626PC9901</t>
  </si>
  <si>
    <t>Inv. 7815.02 CA</t>
  </si>
  <si>
    <t>PRC 3352627PD2906</t>
  </si>
  <si>
    <t>IET 33505FE26KAS1026</t>
  </si>
  <si>
    <t>PRC 3352627PD3904</t>
  </si>
  <si>
    <t>Inv. 9486.00-04</t>
  </si>
  <si>
    <t>eDAS: 735Y</t>
  </si>
  <si>
    <t>Inv. TQ10461</t>
  </si>
  <si>
    <t>Terracon Consultants V#(00002116512)</t>
  </si>
  <si>
    <t>GAX 33526036902</t>
  </si>
  <si>
    <t>IET DAS202607115300001</t>
  </si>
  <si>
    <t>Finance Support for January 1-31, 2026</t>
  </si>
  <si>
    <t>DAS Support for January 1-31, 2026</t>
  </si>
  <si>
    <t>IDR ATOD Will call Ramp Replacement</t>
  </si>
  <si>
    <t>HHS WRC Linden Court Bay Window Replacement</t>
  </si>
  <si>
    <t>9534.00</t>
  </si>
  <si>
    <t>9535.00</t>
  </si>
  <si>
    <t>Project # 9534.00</t>
  </si>
  <si>
    <t>Program code 953400</t>
  </si>
  <si>
    <t>Project # 9535.00</t>
  </si>
  <si>
    <t>Program code 953500</t>
  </si>
  <si>
    <t>Major Program 4G01</t>
  </si>
  <si>
    <t>eDAS: 736A</t>
  </si>
  <si>
    <t>eDAS: 736B</t>
  </si>
  <si>
    <t>PRC 3352625PD5904</t>
  </si>
  <si>
    <t>Inv. 25-024 PC 04</t>
  </si>
  <si>
    <t>PRC 3352631PC0903</t>
  </si>
  <si>
    <t>Inv. 25-023 CA 03</t>
  </si>
  <si>
    <t>PRC 3352627PA9900</t>
  </si>
  <si>
    <t>MOU Transfer #2</t>
  </si>
  <si>
    <t>IET 33513FE26KAS0726</t>
  </si>
  <si>
    <t>Inv. 101368.014PC-01 - FINAL PC</t>
  </si>
  <si>
    <t>PRC 3352625PF2403</t>
  </si>
  <si>
    <t>Inv. 101368.011-CA06</t>
  </si>
  <si>
    <t>PO 33526047909</t>
  </si>
  <si>
    <t>Shipping Code:  S24</t>
  </si>
  <si>
    <t>PRC 3352600PA9906</t>
  </si>
  <si>
    <t>Inv. 9517.00 PC 01</t>
  </si>
  <si>
    <t>PRC 33526050912</t>
  </si>
  <si>
    <t>Inv. INVCL2538</t>
  </si>
  <si>
    <t>Rapids Reproductions V#(00002111375)</t>
  </si>
  <si>
    <t>PRC 3352631PC0900</t>
  </si>
  <si>
    <t>Inv. 0041130</t>
  </si>
  <si>
    <t>IET DAS022526RAMP</t>
  </si>
  <si>
    <t>PRC 3352622PE6907</t>
  </si>
  <si>
    <t>Inv. P39484(100% to MM24)</t>
  </si>
  <si>
    <t>MOU #2</t>
  </si>
  <si>
    <t>PRC 3352627PD3900</t>
  </si>
  <si>
    <t>Inv. 7813.04948800</t>
  </si>
  <si>
    <t>PRC 3352630PA9900</t>
  </si>
  <si>
    <t>Inv. 16402</t>
  </si>
  <si>
    <t>PO 33526062910</t>
  </si>
  <si>
    <t>Inv. TQ20114</t>
  </si>
  <si>
    <t>GAX 33526063910</t>
  </si>
  <si>
    <t>IET 23812V26017</t>
  </si>
  <si>
    <t>IET  DASMOU953500</t>
  </si>
  <si>
    <t>PRC 3352626PB6902</t>
  </si>
  <si>
    <t>Inv. 9438.00-02 - Retainage (Split w/ MM23)</t>
  </si>
  <si>
    <t>9540.00</t>
  </si>
  <si>
    <t>HHS CHMHI CCUSO Strategic Space Plan Study</t>
  </si>
  <si>
    <t>Project # 9540.00</t>
  </si>
  <si>
    <t>Program code 954000</t>
  </si>
  <si>
    <t>CO #4</t>
  </si>
  <si>
    <t>GAX 33526068905</t>
  </si>
  <si>
    <t>BRUM</t>
  </si>
  <si>
    <t>Inv. 94204T-001</t>
  </si>
  <si>
    <t>Waldinger #(00002116105)</t>
  </si>
  <si>
    <t>eDAS: 736H</t>
  </si>
  <si>
    <t>IET DAS202608115300001</t>
  </si>
  <si>
    <t>Finance Support for February 1-28, 2026</t>
  </si>
  <si>
    <t>DAS Support for February 1-28, 2026</t>
  </si>
  <si>
    <t>9516.00</t>
  </si>
  <si>
    <t>IDR State of Iowa Building Renovation</t>
  </si>
  <si>
    <t>Project # 9516.00</t>
  </si>
  <si>
    <t>Program code 951600</t>
  </si>
  <si>
    <t>Major Program 4E19</t>
  </si>
  <si>
    <t>eDAS:  736I</t>
  </si>
  <si>
    <r>
      <t>Acct. Codes-0506-335-DA26-</t>
    </r>
    <r>
      <rPr>
        <b/>
        <sz val="11"/>
        <color indexed="10"/>
        <rFont val="Arial"/>
        <family val="2"/>
      </rPr>
      <t>9255</t>
    </r>
  </si>
  <si>
    <t>RFP1821335228-Story11012021</t>
  </si>
  <si>
    <t>PO 33526075906</t>
  </si>
  <si>
    <t>McGough Construction (2)</t>
  </si>
  <si>
    <t>PO 33526075907</t>
  </si>
  <si>
    <t>Air Con Mechanical</t>
  </si>
  <si>
    <t>Vendor:  00002115651</t>
  </si>
  <si>
    <t>RFB978200-01</t>
  </si>
  <si>
    <t>PO 33526075908</t>
  </si>
  <si>
    <t>Air-Con Mechanical</t>
  </si>
  <si>
    <t>PRC 3352602PA0902</t>
  </si>
  <si>
    <t>Inv. 2250022390-1</t>
  </si>
  <si>
    <t>PRC 3352625PG2403</t>
  </si>
  <si>
    <t>Inv. 101368.011-CA07</t>
  </si>
  <si>
    <t>PRC 3352604PA7909</t>
  </si>
  <si>
    <t>Inv. 101537.006-PC01</t>
  </si>
  <si>
    <t>PRC 3352603PA0914</t>
  </si>
  <si>
    <t>Inv. 35199</t>
  </si>
  <si>
    <t>PRC 3352622PF6907</t>
  </si>
  <si>
    <t>Inv. P39590(Split w/MM24)</t>
  </si>
  <si>
    <t>PRC 3352625PE5904</t>
  </si>
  <si>
    <t>Inv. 25-024 PC 05</t>
  </si>
  <si>
    <t>PRC 3352631PD0903</t>
  </si>
  <si>
    <t>Inv. 25-023 CA 04</t>
  </si>
  <si>
    <t>PRC 3352631PD0900</t>
  </si>
  <si>
    <t>Inv. 0041202</t>
  </si>
  <si>
    <t>PRC 3352626PB6903</t>
  </si>
  <si>
    <t>Inv. 13048</t>
  </si>
  <si>
    <t>PO 33526266903A</t>
  </si>
  <si>
    <t>9476.01</t>
  </si>
  <si>
    <t>HHS STS New Garage Building - Phase 2</t>
  </si>
  <si>
    <t>HHS STS New Garage Building - Phase  2</t>
  </si>
  <si>
    <t>Project # 9476.01</t>
  </si>
  <si>
    <t>Program code 947601</t>
  </si>
  <si>
    <t xml:space="preserve">Project Manager - Jennifer K. </t>
  </si>
  <si>
    <t>PRC 3352600PB9906</t>
  </si>
  <si>
    <t>Inv. 9517.00 PC 02</t>
  </si>
  <si>
    <t>eDAS: 736J</t>
  </si>
  <si>
    <t>IET 41JP2603262601</t>
  </si>
  <si>
    <t>PRC 3352607PA5908</t>
  </si>
  <si>
    <t>Inv. 5394</t>
  </si>
  <si>
    <t>PRC 3352623PB0902</t>
  </si>
  <si>
    <t>Inv. 1046-2</t>
  </si>
  <si>
    <t>PRC 3352627PE3904</t>
  </si>
  <si>
    <t>Inv. 9486.00-05</t>
  </si>
  <si>
    <t>Warrant Cancelled- Lost in Mail</t>
  </si>
  <si>
    <t>GAX 33526091900</t>
  </si>
  <si>
    <t>Inv. 9480.01-Retainage-Reissue</t>
  </si>
  <si>
    <t>Genesis Architectural (3)</t>
  </si>
  <si>
    <t>PO 33526092907</t>
  </si>
  <si>
    <t>Design Development 50%</t>
  </si>
  <si>
    <t>Construction Document 95%</t>
  </si>
  <si>
    <t>Construction Document 100%</t>
  </si>
  <si>
    <t>Bid Phase</t>
  </si>
  <si>
    <t>Coordination &amp; Site Visit</t>
  </si>
  <si>
    <t>OPN Architects</t>
  </si>
  <si>
    <t>Vendor:  00003035830</t>
  </si>
  <si>
    <t>RFP953200-01</t>
  </si>
  <si>
    <t>PO 33526092910</t>
  </si>
  <si>
    <t>Bidding Phase</t>
  </si>
  <si>
    <t>Construction Phase</t>
  </si>
  <si>
    <t>Inv. INVCL2529</t>
  </si>
  <si>
    <t>PRC 33526092919</t>
  </si>
  <si>
    <t>PRC 3352622PF3900</t>
  </si>
  <si>
    <t>Inv. 101368.012-PC06 - FINAL</t>
  </si>
  <si>
    <t>PRC 3352607PA5907</t>
  </si>
  <si>
    <t>Inv. 101368.012-CA01</t>
  </si>
  <si>
    <t>IET DAS202609115300001</t>
  </si>
  <si>
    <t>Finance Support for March 01-31, 2026</t>
  </si>
  <si>
    <t>DAS Support for March 01-31, 2026</t>
  </si>
  <si>
    <t>PRC 3352627PE3900</t>
  </si>
  <si>
    <t>Inv. 7813.05948800</t>
  </si>
  <si>
    <t>IET 400EL26096007</t>
  </si>
  <si>
    <t>Inv. 9517.00 PC 03</t>
  </si>
  <si>
    <t>PRC 3352600PC9906</t>
  </si>
  <si>
    <t>PRC 3352604PB7909</t>
  </si>
  <si>
    <t>Inv. 101537.006-PC02</t>
  </si>
  <si>
    <t>ATC Group</t>
  </si>
  <si>
    <t>Vendor:  00002134218</t>
  </si>
  <si>
    <t>MA00526283</t>
  </si>
  <si>
    <t>DO 33526105918</t>
  </si>
  <si>
    <t>Powerhouse Systems Survey</t>
  </si>
  <si>
    <t>Design Services</t>
  </si>
  <si>
    <t>Line 3</t>
  </si>
  <si>
    <t>Asbestos 50@12.5</t>
  </si>
  <si>
    <t>Lead 15@17</t>
  </si>
  <si>
    <t>Field Tech 10@85</t>
  </si>
  <si>
    <t>Admin 2@45</t>
  </si>
  <si>
    <t>Reimbursement 75 @.5</t>
  </si>
  <si>
    <t>Total</t>
  </si>
  <si>
    <t>Asbestos 14@12.5</t>
  </si>
  <si>
    <t>Lead 8@17</t>
  </si>
  <si>
    <t>Field Tech 5@85</t>
  </si>
  <si>
    <t>Tunnel</t>
  </si>
  <si>
    <t>Asbestos 8@12.5</t>
  </si>
  <si>
    <t>Lead 5@17</t>
  </si>
  <si>
    <t>Admin 1@45</t>
  </si>
  <si>
    <t>Field Tech 6@85</t>
  </si>
  <si>
    <t>Admin .5@45</t>
  </si>
  <si>
    <t>Field Tech4@85</t>
  </si>
  <si>
    <t>Reimbursement 280 @.5</t>
  </si>
  <si>
    <t>Contract Total:</t>
  </si>
  <si>
    <t>Chiller Systems Survey</t>
  </si>
  <si>
    <t>Line 5</t>
  </si>
  <si>
    <t>Line 6</t>
  </si>
  <si>
    <t>Line 8</t>
  </si>
  <si>
    <t>Line 9</t>
  </si>
  <si>
    <t>Line12</t>
  </si>
  <si>
    <t>PRC 3352631PE0900</t>
  </si>
  <si>
    <t>Inv. 0041249</t>
  </si>
  <si>
    <t>PRC 3352630PB9900</t>
  </si>
  <si>
    <t>Inv. 16409</t>
  </si>
  <si>
    <t>3% Retainage</t>
  </si>
  <si>
    <t>IET 627DB2610507</t>
  </si>
  <si>
    <t>PRC 3352603PB0914</t>
  </si>
  <si>
    <t>Inv. 35233</t>
  </si>
  <si>
    <t>PRC 3352625PF5904</t>
  </si>
  <si>
    <t>Inv. 25-024 PC 06</t>
  </si>
  <si>
    <t>Returning funds to Agency Closing Project</t>
  </si>
  <si>
    <t>IET 33526110911</t>
  </si>
  <si>
    <t>PO 33526110913</t>
  </si>
  <si>
    <t>PO 33526111909</t>
  </si>
  <si>
    <t xml:space="preserve">Shipping Code: </t>
  </si>
  <si>
    <t>Shipping Code:  200</t>
  </si>
  <si>
    <t>PRC 3352631PE0903</t>
  </si>
  <si>
    <t>Inv. 25-023 CA 05</t>
  </si>
  <si>
    <t>Inv. 94204T-002</t>
  </si>
  <si>
    <t>GAX 33526112903</t>
  </si>
  <si>
    <t>PRC 3352627PF3904</t>
  </si>
  <si>
    <t>Inv. 9486.00-06</t>
  </si>
  <si>
    <t>PRC 3352622PG6907</t>
  </si>
  <si>
    <t>Inv. P39682(Split w/MM24)</t>
  </si>
  <si>
    <t>10Fold Architecture + Engineering</t>
  </si>
  <si>
    <t>Vendor:  00003101228</t>
  </si>
  <si>
    <t>RFP953400-01</t>
  </si>
  <si>
    <t>Bidding/Negotiation</t>
  </si>
  <si>
    <t>PO 33526112907</t>
  </si>
  <si>
    <t>Shipping Code: 137</t>
  </si>
  <si>
    <t>PRC 3352630PC9900</t>
  </si>
  <si>
    <t>Inv. 16410 "Retainage"</t>
  </si>
  <si>
    <t>PRC 3352602PB0902</t>
  </si>
  <si>
    <t>Inv. 2250022390-2</t>
  </si>
  <si>
    <t>HGM Associates</t>
  </si>
  <si>
    <t>Vendor:  00002109941</t>
  </si>
  <si>
    <t>RFP947600-01</t>
  </si>
  <si>
    <t>PO 33526117910</t>
  </si>
  <si>
    <t>9486.01</t>
  </si>
  <si>
    <t>DVA IVH Fox and Ulery Carpet Replacement - Sound Issues</t>
  </si>
  <si>
    <t>Project # 9486.01</t>
  </si>
  <si>
    <t>Program code 948601</t>
  </si>
  <si>
    <t>Allocating funds to sub project 9486.01</t>
  </si>
  <si>
    <t>Allocating funds from main project 9486.00</t>
  </si>
  <si>
    <t>CDR 33526117912</t>
  </si>
  <si>
    <t>eDAS: 736M</t>
  </si>
  <si>
    <t>Horizon Architecture</t>
  </si>
  <si>
    <t>PO 33526118915</t>
  </si>
  <si>
    <t>Vendor:  00003108847</t>
  </si>
  <si>
    <t>TSB</t>
  </si>
  <si>
    <t>PRC 3352602PA3916</t>
  </si>
  <si>
    <t>Inv. 2240007040-801</t>
  </si>
  <si>
    <t>PRC 3352626PD9901</t>
  </si>
  <si>
    <t>Inv. 7815.03 CA FINAL</t>
  </si>
  <si>
    <t>PRC 3352606PA2910</t>
  </si>
  <si>
    <t>Inv. 7863.9534.01 PC</t>
  </si>
  <si>
    <t>PRC 3352623PC0902</t>
  </si>
  <si>
    <t>Inv. 1046-3</t>
  </si>
  <si>
    <t>Reopened PO To correct links in IA</t>
  </si>
  <si>
    <t>CO #1 Extending PO</t>
  </si>
  <si>
    <t>9239.04</t>
  </si>
  <si>
    <t>DOC-NCF-IPI Homes for Iowa Facility Project Phase II Fencing</t>
  </si>
  <si>
    <t>Project # 9239.04</t>
  </si>
  <si>
    <t>Program code 923904</t>
  </si>
  <si>
    <t>IET 33508MY26KAS0226</t>
  </si>
  <si>
    <t>eDAS: 736P</t>
  </si>
  <si>
    <t>Genesis Architectural Design</t>
  </si>
  <si>
    <r>
      <t>Acct. Codes-0506-335-DA26-</t>
    </r>
    <r>
      <rPr>
        <b/>
        <sz val="11"/>
        <color indexed="10"/>
        <rFont val="Arial"/>
        <family val="2"/>
      </rPr>
      <t>9260</t>
    </r>
  </si>
  <si>
    <t>RFP953500-01</t>
  </si>
  <si>
    <t>PO 33526131913</t>
  </si>
  <si>
    <t>PRC 3352623PD0902</t>
  </si>
  <si>
    <t>Inv. 1046-4 -Retainage</t>
  </si>
  <si>
    <t>Kezlo Group</t>
  </si>
  <si>
    <t>Vendor:  00003234487</t>
  </si>
  <si>
    <t>RFP951500-01</t>
  </si>
  <si>
    <t>PO 33526132905</t>
  </si>
  <si>
    <t>Shipping Code:  1515</t>
  </si>
  <si>
    <t>PRC 3352627PC5905</t>
  </si>
  <si>
    <t>Inv. 2515-03 FINAL</t>
  </si>
  <si>
    <t>PRC 3352609PA2907</t>
  </si>
  <si>
    <t>Inv. 2515-05</t>
  </si>
  <si>
    <t>PRC 3352603PA0915</t>
  </si>
  <si>
    <t>Inv. 2515-04 FINAL</t>
  </si>
  <si>
    <t>PRC 3352600PD9906</t>
  </si>
  <si>
    <t>Inv. 9517.00 PC #04</t>
  </si>
  <si>
    <t>IET DAS202610115300001</t>
  </si>
  <si>
    <t>Finance Support for April 01-30, 2026</t>
  </si>
  <si>
    <t>DAS Support for April 01-30, 2026</t>
  </si>
  <si>
    <t>PRC 3352604PC7909</t>
  </si>
  <si>
    <t>Inv. 101537.006-PC03</t>
  </si>
  <si>
    <t>PRC 3352609PA2910</t>
  </si>
  <si>
    <t>Inv. 26819000-1</t>
  </si>
  <si>
    <t>IET 0A8453051326</t>
  </si>
  <si>
    <t>Funds Recvd without Program code</t>
  </si>
  <si>
    <t>CDR 33526134900</t>
  </si>
  <si>
    <t>PRC 3352611PA2907</t>
  </si>
  <si>
    <t>Inv. 9534.00-01</t>
  </si>
  <si>
    <t>PRC 3352611PA1909</t>
  </si>
  <si>
    <t>Inv. 101368.010-CA01</t>
  </si>
  <si>
    <t>PRC 3352607PB5907</t>
  </si>
  <si>
    <t>Inv. 101368.012-CA02</t>
  </si>
  <si>
    <t>PO 33526140911</t>
  </si>
  <si>
    <t>Shipping Code:  174</t>
  </si>
  <si>
    <t>Farnsworth Group</t>
  </si>
  <si>
    <t>Vendor:  00003167963</t>
  </si>
  <si>
    <t>RFP913300-01</t>
  </si>
  <si>
    <t>PO 33526140913</t>
  </si>
  <si>
    <t>Bidding &amp; Negotiation</t>
  </si>
  <si>
    <t>Site Survey</t>
  </si>
  <si>
    <t>PRC 3352631PF0903</t>
  </si>
  <si>
    <t>Inv. 25-023 CA #06 - FINAL</t>
  </si>
  <si>
    <t>PRC 3352631PF0900</t>
  </si>
  <si>
    <t>Inv. 0041317</t>
  </si>
  <si>
    <t>CDR 33526141900</t>
  </si>
  <si>
    <t>Allocating funds from main  project 9486.00- closing main 9486.00</t>
  </si>
  <si>
    <t>Allocating funds to sub project 9486.01 - Closing 9486.00</t>
  </si>
  <si>
    <t>PRC 3352627PF3900</t>
  </si>
  <si>
    <t>Inv. 7813.06948800</t>
  </si>
  <si>
    <t>ATC Group #(00002134218)</t>
  </si>
  <si>
    <t>Inv. 2712816</t>
  </si>
  <si>
    <t>PRC 33526142910</t>
  </si>
  <si>
    <t>RFP948100-01</t>
  </si>
  <si>
    <t>PO 33526142920</t>
  </si>
  <si>
    <t>Bidding</t>
  </si>
  <si>
    <t>IET052226100</t>
  </si>
  <si>
    <t>PRC 3352607PA5906</t>
  </si>
  <si>
    <t>Inv. 35266</t>
  </si>
  <si>
    <t>PRC 3352603PC0914</t>
  </si>
  <si>
    <t>Inv. 35264</t>
  </si>
  <si>
    <t>Inv. 2710754</t>
  </si>
  <si>
    <t>PRC 33526146911</t>
  </si>
  <si>
    <t>PO 33526146913</t>
  </si>
  <si>
    <t>Inv. P39915(Split w/MM26)</t>
  </si>
  <si>
    <t>PRC 3352622PH6907</t>
  </si>
  <si>
    <t>Inv. INV058353</t>
  </si>
  <si>
    <t>PRC 33526146916</t>
  </si>
  <si>
    <t>PO 33526148907</t>
  </si>
  <si>
    <t>IET 13126CHILLERMOU</t>
  </si>
  <si>
    <t>Substance LLC</t>
  </si>
  <si>
    <t>Vendor:  00002126433</t>
  </si>
  <si>
    <t>RFP951600-01</t>
  </si>
  <si>
    <t>Data Collection</t>
  </si>
  <si>
    <t>PO 33526148909</t>
  </si>
  <si>
    <t>HHS STS Canteen Roof Repair Construction (29C20)</t>
  </si>
  <si>
    <t>PO 33526153911</t>
  </si>
  <si>
    <t xml:space="preserve">Construction Management </t>
  </si>
  <si>
    <t>PRC 3352618PD1901A</t>
  </si>
  <si>
    <t>Inv. 2503-04 FINAL</t>
  </si>
  <si>
    <t>PRC 3352625PH2403</t>
  </si>
  <si>
    <t>Inv. 101368.011-CA08 - FINAL</t>
  </si>
  <si>
    <t>Inv. INV058197</t>
  </si>
  <si>
    <t>PRC 33526153915</t>
  </si>
  <si>
    <t>PRC 3352602PB3916</t>
  </si>
  <si>
    <t>Inv. 2240007040-802</t>
  </si>
  <si>
    <t>PRC 3352610PA5918</t>
  </si>
  <si>
    <t>Inv. 2712812</t>
  </si>
  <si>
    <t>Asbestos @12.5</t>
  </si>
  <si>
    <t>Lead  @17</t>
  </si>
  <si>
    <t>Admin   @45</t>
  </si>
  <si>
    <t>Field Tech   @85</t>
  </si>
  <si>
    <t>Hygienist 15@105</t>
  </si>
  <si>
    <t>Hygienist 20@105</t>
  </si>
  <si>
    <t>Hygienist 7@105</t>
  </si>
  <si>
    <t>Hygienist 9@105</t>
  </si>
  <si>
    <t>Hygienist   @105</t>
  </si>
  <si>
    <t>Reimbursement @.50</t>
  </si>
  <si>
    <t>PRC 3352604PD7909</t>
  </si>
  <si>
    <t>Inv. 101537.006-PC04</t>
  </si>
  <si>
    <t>PRC 3352609PB2910</t>
  </si>
  <si>
    <t>Inv. 26819000-2</t>
  </si>
  <si>
    <t>Keystone</t>
  </si>
  <si>
    <t>Vendor:  00003165138</t>
  </si>
  <si>
    <t>RFB948700-01</t>
  </si>
  <si>
    <t>PO 33526156912</t>
  </si>
  <si>
    <t>Keystone Construction</t>
  </si>
  <si>
    <t>PRC 3352610PB5918</t>
  </si>
  <si>
    <t>Inv. 2715324</t>
  </si>
  <si>
    <t>IET DAS202611115300001</t>
  </si>
  <si>
    <t>Finance Support for May 01-31, 2026</t>
  </si>
  <si>
    <t>DAS Support for May 01-31, 2026</t>
  </si>
  <si>
    <t>PRC 3352614PA6913</t>
  </si>
  <si>
    <t>Inv. 101368.013-PC01</t>
  </si>
  <si>
    <t>Returning Funds - Closing Project</t>
  </si>
  <si>
    <t>IET 33526160909</t>
  </si>
  <si>
    <t>PRC 3352613PA2905</t>
  </si>
  <si>
    <t>Inv. 26-039.01</t>
  </si>
  <si>
    <t>Inv. 101368.012-CA03</t>
  </si>
  <si>
    <t>PRC 3352607PC5907</t>
  </si>
  <si>
    <t>PRC 3352606PB2910</t>
  </si>
  <si>
    <t>Inv. 7863.9534.02 PC</t>
  </si>
  <si>
    <t>PRC 3352600PE9906</t>
  </si>
  <si>
    <t>Inv. 9517.00 PC #05</t>
  </si>
  <si>
    <t>PRC 3352611PA8915</t>
  </si>
  <si>
    <t>Inv. 9486.01-01</t>
  </si>
  <si>
    <t>IET 33526167913</t>
  </si>
  <si>
    <t>Returning funds to agency-Closing Project</t>
  </si>
  <si>
    <t>PRC 3352615PA3911</t>
  </si>
  <si>
    <t>Inv. 25-023 PC #01</t>
  </si>
  <si>
    <t>PRC 3352631PG0900</t>
  </si>
  <si>
    <t>Inv. 0041465</t>
  </si>
  <si>
    <t>PRC 3352627PG3900</t>
  </si>
  <si>
    <t>Inv. 7813.07948800</t>
  </si>
  <si>
    <t>PRC 33526168911</t>
  </si>
  <si>
    <t>Inv. INVCL2888</t>
  </si>
  <si>
    <t>PRC 3352607PB5906</t>
  </si>
  <si>
    <t>Inv. 35302</t>
  </si>
  <si>
    <t>Downs Electric, Inc</t>
  </si>
  <si>
    <t>Downs Electric</t>
  </si>
  <si>
    <t>Vendor:  00003216356</t>
  </si>
  <si>
    <t>RFB948800-01</t>
  </si>
  <si>
    <t>Activity code:  BRIN</t>
  </si>
  <si>
    <t>PO 33526168914</t>
  </si>
  <si>
    <t>Prairie Construction</t>
  </si>
  <si>
    <t>Vendor:  00003237923</t>
  </si>
  <si>
    <t>PO 33526168915</t>
  </si>
  <si>
    <t>Elkhorn West Construction</t>
  </si>
  <si>
    <t>Vendor:  00002142795</t>
  </si>
  <si>
    <t>PO 33526168916</t>
  </si>
  <si>
    <t>PRC 3352603PD0914</t>
  </si>
  <si>
    <t>Inv. 35300FINAL</t>
  </si>
  <si>
    <t>PRC 3352614PA0913</t>
  </si>
  <si>
    <t>Inv. 9239.04-01</t>
  </si>
  <si>
    <t>PRC 3352600PA6903</t>
  </si>
  <si>
    <t>Inv. 4139</t>
  </si>
  <si>
    <t>Van Maanen</t>
  </si>
  <si>
    <t>DO 33526170911</t>
  </si>
  <si>
    <t>Vendor:  00002091370</t>
  </si>
  <si>
    <t>927950-01</t>
  </si>
  <si>
    <t>PRC 33526173910</t>
  </si>
  <si>
    <t>Inv. INVCL2904</t>
  </si>
  <si>
    <t>Clark &amp; Enersen, Inc</t>
  </si>
  <si>
    <t>Clark &amp; Enersen</t>
  </si>
  <si>
    <t>Vendor:  00003237886</t>
  </si>
  <si>
    <t>RFP954000-01</t>
  </si>
  <si>
    <t>Initial Eval/Kick-Off</t>
  </si>
  <si>
    <t>50% Documents</t>
  </si>
  <si>
    <t>95% Documents</t>
  </si>
  <si>
    <t>100% Documents</t>
  </si>
  <si>
    <t>PRC 3352625PG5904</t>
  </si>
  <si>
    <t>Inv. 25-024 PC #07 - Final</t>
  </si>
  <si>
    <t>Central Iowa Mechanical</t>
  </si>
  <si>
    <t>Vendor:  00002109717</t>
  </si>
  <si>
    <t>DO 33526174910</t>
  </si>
  <si>
    <t>PO 33526174918</t>
  </si>
  <si>
    <t>Story Construction(2)</t>
  </si>
  <si>
    <t>Personnel</t>
  </si>
  <si>
    <t>Bid Packages Fee</t>
  </si>
  <si>
    <t>General Conditions Fees</t>
  </si>
  <si>
    <t xml:space="preserve">General Conditions </t>
  </si>
  <si>
    <t>Inv. INV059148</t>
  </si>
  <si>
    <t>PRC 33526174921</t>
  </si>
  <si>
    <t>Earth Services &amp; Abatement</t>
  </si>
  <si>
    <t>Vendor:  VS000007582</t>
  </si>
  <si>
    <t>PO 33526175915</t>
  </si>
  <si>
    <t>Earth Services &amp; Abatement(2)</t>
  </si>
  <si>
    <t>Earth Services &amp; Abatement (2)</t>
  </si>
  <si>
    <t>PO 33526175913</t>
  </si>
  <si>
    <t>Breiholz Construction</t>
  </si>
  <si>
    <t>Vendor:  00002107863</t>
  </si>
  <si>
    <t>927940-04</t>
  </si>
  <si>
    <t>PO 33526176914</t>
  </si>
  <si>
    <t>Split w/ 9279.41 DA25</t>
  </si>
  <si>
    <t>DA25 9279.41</t>
  </si>
  <si>
    <t>VanMaanen</t>
  </si>
  <si>
    <t>Split w/ 9279.50 DA26</t>
  </si>
  <si>
    <t>PO 33526176915</t>
  </si>
  <si>
    <t>PRC 3352622PI6907</t>
  </si>
  <si>
    <t>Inv. P41609(100% to MM24)</t>
  </si>
  <si>
    <t>ATC Group (2)</t>
  </si>
  <si>
    <t>DO 33526176916</t>
  </si>
  <si>
    <t>Asbestos 20@12.5</t>
  </si>
  <si>
    <t>Field Tech 135@85</t>
  </si>
  <si>
    <t>Hygienist 32@105</t>
  </si>
  <si>
    <t>Reimbursement 644@.5</t>
  </si>
  <si>
    <t>ATC Group(2)</t>
  </si>
  <si>
    <t>Samuels Group(2)</t>
  </si>
  <si>
    <t>Samuels Group (2)</t>
  </si>
  <si>
    <t>PO 33526176922</t>
  </si>
  <si>
    <t>Reimbursables(Mileage)</t>
  </si>
  <si>
    <t>Reimbursables(Temp Fence</t>
  </si>
  <si>
    <t>Reimbursables(Trailer/Power/Heat)</t>
  </si>
  <si>
    <t>Reimbursables(Power/Utility Service)</t>
  </si>
  <si>
    <t>Reimbursables(Dumpsters)</t>
  </si>
  <si>
    <t>Reimbursables(Building Temp)</t>
  </si>
  <si>
    <t>Reimbursables(Temp Toilets)</t>
  </si>
  <si>
    <t>Reimbursables(Special Inspections)</t>
  </si>
  <si>
    <t>4% SG Fees</t>
  </si>
  <si>
    <t>Reily Construction</t>
  </si>
  <si>
    <t>Reilly Construction</t>
  </si>
  <si>
    <t>Vendor:  00002108239</t>
  </si>
  <si>
    <t>DO 33526177914</t>
  </si>
  <si>
    <t>PRC 3352602PC0902</t>
  </si>
  <si>
    <t>Inv. 2250022390-3</t>
  </si>
  <si>
    <t>Inv. INVCL2899</t>
  </si>
  <si>
    <t>PRC 33526180913</t>
  </si>
  <si>
    <t>Reopening PO per vendor/PM Request</t>
  </si>
  <si>
    <t>PRC 3352622PJ6907</t>
  </si>
  <si>
    <t>Inv. P41610-Retainage(Split w/MM24)</t>
  </si>
  <si>
    <t>PRC 3352611PB1909</t>
  </si>
  <si>
    <t>Inv. 101368.010-CA02</t>
  </si>
  <si>
    <t>PRC 3352627PH3900</t>
  </si>
  <si>
    <t>Inv. 7813.08948800-FINAL</t>
  </si>
  <si>
    <t>PRC 3352617PA6922</t>
  </si>
  <si>
    <t>Inv. 7904.51948800</t>
  </si>
  <si>
    <t>PRC 3352606PC2910</t>
  </si>
  <si>
    <t>Inv. 7863.9534.03 PC</t>
  </si>
  <si>
    <t>PRC 3352609PC2910</t>
  </si>
  <si>
    <t>Inv. 26819000-3</t>
  </si>
  <si>
    <t>PRC 3352613PA1913</t>
  </si>
  <si>
    <t>Inv. 2605-01</t>
  </si>
  <si>
    <t>PRC 3352614PB0913</t>
  </si>
  <si>
    <t>Inv. 9239.04-02</t>
  </si>
  <si>
    <t>PRC 3352611PB8915</t>
  </si>
  <si>
    <t>Inv. 9486.01-02</t>
  </si>
  <si>
    <t>PRC 3352614PA0911</t>
  </si>
  <si>
    <t>Inv. 7892.01923904</t>
  </si>
  <si>
    <t>PRC 3352614PA8909</t>
  </si>
  <si>
    <t>Inv. 9516.00-01</t>
  </si>
  <si>
    <t>PRC 3352631PH0900</t>
  </si>
  <si>
    <t>Inv. 0041473</t>
  </si>
  <si>
    <t>PRC 3352609PB2907</t>
  </si>
  <si>
    <t>Inv. 2515-06</t>
  </si>
  <si>
    <t>IET DAS202612115300001</t>
  </si>
  <si>
    <t>Space Planning :  June 01-30, 2026</t>
  </si>
  <si>
    <t>Inv. DAS2026121153</t>
  </si>
  <si>
    <t>Finance Support for June 01-30, 2026</t>
  </si>
  <si>
    <t>DAS Support for June 01-30, 2026</t>
  </si>
  <si>
    <t>PRC 3352607PD5907</t>
  </si>
  <si>
    <t>Inv. 101368.012-CA04</t>
  </si>
  <si>
    <t>Inv. 14323</t>
  </si>
  <si>
    <t>PRC 3352626PC6903A</t>
  </si>
  <si>
    <t>PRC 3352604PE7909</t>
  </si>
  <si>
    <t>Inv. 101537.006-PC05</t>
  </si>
  <si>
    <t>Returning Funds to Agency per PM Request</t>
  </si>
  <si>
    <t>IET 33526190912</t>
  </si>
  <si>
    <t>PRCI 33526191902</t>
  </si>
  <si>
    <t>Iowa Prison Industries V#(250DOCIPI00)</t>
  </si>
  <si>
    <t>Inv. 357423</t>
  </si>
  <si>
    <t>Holmes Murphy V#(00002110543)</t>
  </si>
  <si>
    <t>Inv. 902394</t>
  </si>
  <si>
    <t>PRC 33526191905</t>
  </si>
  <si>
    <t>IET 25543A27001</t>
  </si>
  <si>
    <t>MOU Amendment #2</t>
  </si>
  <si>
    <t>Returning funds per PM Request</t>
  </si>
  <si>
    <t>IET 33526194902</t>
  </si>
  <si>
    <t>FY27</t>
  </si>
  <si>
    <t>PRC 3352614PA2920</t>
  </si>
  <si>
    <t>Inv. 9481.00-01</t>
  </si>
  <si>
    <t>PRC 3352614PB6913</t>
  </si>
  <si>
    <t>Inv. 101368.013-PC02</t>
  </si>
  <si>
    <t>PRC 3352611PA0913</t>
  </si>
  <si>
    <t>Inv. 9516.00 PC 01</t>
  </si>
  <si>
    <t>PRC 3352600PF9906</t>
  </si>
  <si>
    <t>Inv. 9517.00 PC 06</t>
  </si>
  <si>
    <t>PRC 3352615PB3911</t>
  </si>
  <si>
    <t>Inv. 25-023 PC #02</t>
  </si>
  <si>
    <t>PRC 3352614PA8907</t>
  </si>
  <si>
    <t>Inv. 25-024 CA 01</t>
  </si>
  <si>
    <t>CM Fees</t>
  </si>
  <si>
    <t>PRC 3352607PC5906</t>
  </si>
  <si>
    <t>Inv. 35346</t>
  </si>
  <si>
    <t>PRC 3352613PB2905</t>
  </si>
  <si>
    <t>PO 33526173911</t>
  </si>
  <si>
    <t>PRC 3352617PA3911</t>
  </si>
  <si>
    <t>Inv. 9540.00-01</t>
  </si>
  <si>
    <t>Inv. 9515.00-02</t>
  </si>
  <si>
    <t>Closing PO per PM</t>
  </si>
  <si>
    <t>PRC 3352617PA4918</t>
  </si>
  <si>
    <t>Inv. 35344</t>
  </si>
  <si>
    <t>IET DAS202613115300001</t>
  </si>
  <si>
    <t>Finance Support for June 01-30, 2026 (Period 13)</t>
  </si>
  <si>
    <t>ICN Bill June 01-30, 2026</t>
  </si>
  <si>
    <t>Inv. 750150-9481.00</t>
  </si>
  <si>
    <t>IET 33526197904</t>
  </si>
  <si>
    <t>PRC 3352615PA6912</t>
  </si>
  <si>
    <t>Inv. 2619-01</t>
  </si>
  <si>
    <t>PRC 3352611PB2907</t>
  </si>
  <si>
    <t>Inv. 9534.00-02</t>
  </si>
  <si>
    <t>IET 33526201901</t>
  </si>
  <si>
    <t>PRC 3352602PC3916</t>
  </si>
  <si>
    <t>Inv. 2240007040-803</t>
  </si>
  <si>
    <t>IET 33521JY26KAS0126</t>
  </si>
  <si>
    <t>McGough Construction(2)</t>
  </si>
  <si>
    <t>PO 33527203900</t>
  </si>
  <si>
    <t>Inv. 15608</t>
  </si>
  <si>
    <t>GAX 33526208913</t>
  </si>
  <si>
    <t>Closing Date:</t>
  </si>
  <si>
    <t>Inv. 101368.014PC-02</t>
  </si>
  <si>
    <t>PO 33526279900B</t>
  </si>
  <si>
    <t>PRC 3352627PB9900B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</si>
</sst>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mm/dd/yy"/>
    <numFmt numFmtId="165" formatCode="mm/dd/yy;@"/>
    <numFmt numFmtId="166" formatCode="0.00_);[Red]\(0.00\)"/>
  </numFmts>
  <fonts count="51" x14ac:knownFonts="1">
    <font>
      <sz val="11"/>
      <color theme="1"/>
      <name val="Calibri"/>
      <family val="2"/>
      <scheme val="minor"/>
    </font>
    <font>
      <sz val="11"/>
      <color theme="1"/>
      <name val="Calibri"/>
      <family val="2"/>
      <scheme val="minor"/>
    </font>
    <font>
      <sz val="10"/>
      <name val="MS Sans Serif"/>
      <family val="2"/>
    </font>
    <font>
      <sz val="10"/>
      <name val="Arial"/>
      <family val="2"/>
    </font>
    <font>
      <b/>
      <sz val="10"/>
      <color indexed="12"/>
      <name val="Arial"/>
      <family val="2"/>
    </font>
    <font>
      <b/>
      <sz val="10"/>
      <name val="Arial"/>
      <family val="2"/>
    </font>
    <font>
      <sz val="10"/>
      <color indexed="8"/>
      <name val="Arial"/>
      <family val="2"/>
    </font>
    <font>
      <b/>
      <sz val="12"/>
      <color indexed="10"/>
      <name val="Arial"/>
      <family val="2"/>
    </font>
    <font>
      <b/>
      <sz val="12"/>
      <name val="Arial"/>
      <family val="2"/>
    </font>
    <font>
      <sz val="11"/>
      <name val="Arial"/>
      <family val="2"/>
    </font>
    <font>
      <b/>
      <sz val="12"/>
      <color indexed="12"/>
      <name val="Arial"/>
      <family val="2"/>
    </font>
    <font>
      <b/>
      <sz val="12"/>
      <color indexed="14"/>
      <name val="Arial"/>
      <family val="2"/>
    </font>
    <font>
      <b/>
      <sz val="14"/>
      <name val="Arial"/>
      <family val="2"/>
    </font>
    <font>
      <b/>
      <sz val="14"/>
      <color indexed="10"/>
      <name val="Arial"/>
      <family val="2"/>
    </font>
    <font>
      <b/>
      <sz val="10"/>
      <color rgb="FF0000FF"/>
      <name val="Arial"/>
      <family val="2"/>
    </font>
    <font>
      <b/>
      <sz val="11"/>
      <color indexed="10"/>
      <name val="Arial"/>
      <family val="2"/>
    </font>
    <font>
      <sz val="10"/>
      <color rgb="FF000000"/>
      <name val="Arial"/>
      <family val="2"/>
    </font>
    <font>
      <b/>
      <sz val="10"/>
      <color rgb="FF00B0F0"/>
      <name val="Arial"/>
      <family val="2"/>
    </font>
    <font>
      <b/>
      <sz val="10"/>
      <color rgb="FF0070C0"/>
      <name val="Arial"/>
      <family val="2"/>
    </font>
    <font>
      <sz val="10"/>
      <color theme="1"/>
      <name val="Calibri"/>
      <family val="2"/>
      <scheme val="minor"/>
    </font>
    <font>
      <b/>
      <sz val="10"/>
      <color rgb="FFFF0000"/>
      <name val="Arial"/>
      <family val="2"/>
    </font>
    <font>
      <b/>
      <sz val="10"/>
      <color theme="1"/>
      <name val="Arial"/>
      <family val="2"/>
    </font>
    <font>
      <sz val="10"/>
      <color rgb="FFFF0000"/>
      <name val="Arial"/>
      <family val="2"/>
    </font>
    <font>
      <i/>
      <sz val="8"/>
      <color theme="0" tint="-0.249977111117893"/>
      <name val="Arial"/>
      <family val="2"/>
    </font>
    <font>
      <sz val="10"/>
      <color theme="1"/>
      <name val="ARIAL"/>
      <family val="2"/>
    </font>
    <font>
      <b/>
      <sz val="12"/>
      <color indexed="52"/>
      <name val="Arial"/>
      <family val="2"/>
    </font>
    <font>
      <b/>
      <sz val="12"/>
      <color rgb="FF92D050"/>
      <name val="Arial"/>
      <family val="2"/>
    </font>
    <font>
      <b/>
      <sz val="11"/>
      <name val="Arial"/>
      <family val="2"/>
    </font>
    <font>
      <b/>
      <sz val="11"/>
      <color rgb="FF00B050"/>
      <name val="Arial"/>
      <family val="2"/>
    </font>
    <font>
      <b/>
      <sz val="11"/>
      <color rgb="FFCC00FF"/>
      <name val="Arial"/>
      <family val="2"/>
    </font>
    <font>
      <b/>
      <sz val="12"/>
      <color rgb="FFFF0000"/>
      <name val="Arial"/>
      <family val="2"/>
    </font>
    <font>
      <b/>
      <sz val="10"/>
      <color rgb="FFC00000"/>
      <name val="Arial"/>
      <family val="2"/>
    </font>
    <font>
      <b/>
      <sz val="10"/>
      <color rgb="FF0000CC"/>
      <name val="Arial"/>
      <family val="2"/>
    </font>
    <font>
      <i/>
      <sz val="12"/>
      <color theme="3"/>
      <name val="Arial"/>
      <family val="2"/>
    </font>
    <font>
      <sz val="10"/>
      <color indexed="10"/>
      <name val="Arial"/>
      <family val="2"/>
    </font>
    <font>
      <b/>
      <i/>
      <sz val="12"/>
      <color rgb="FFFF0000"/>
      <name val="Arial"/>
      <family val="2"/>
    </font>
    <font>
      <sz val="11"/>
      <color indexed="81"/>
      <name val="Tahoma"/>
      <family val="2"/>
    </font>
    <font>
      <b/>
      <sz val="11"/>
      <color indexed="81"/>
      <name val="Tahoma"/>
      <family val="2"/>
    </font>
    <font>
      <b/>
      <sz val="10"/>
      <color indexed="10"/>
      <name val="Arial"/>
      <family val="2"/>
    </font>
    <font>
      <sz val="9"/>
      <color indexed="81"/>
      <name val="Tahoma"/>
      <family val="2"/>
    </font>
    <font>
      <b/>
      <sz val="9"/>
      <color indexed="81"/>
      <name val="Tahoma"/>
      <family val="2"/>
    </font>
    <font>
      <sz val="11"/>
      <color rgb="FFFF0000"/>
      <name val="Calibri"/>
      <family val="2"/>
      <scheme val="minor"/>
    </font>
    <font>
      <b/>
      <sz val="11"/>
      <color rgb="FFFF0000"/>
      <name val="Arial"/>
      <family val="2"/>
    </font>
    <font>
      <sz val="10"/>
      <color rgb="FFFF0000"/>
      <name val="MS Sans Serif"/>
      <family val="2"/>
    </font>
    <font>
      <sz val="11"/>
      <color rgb="FFFF0000"/>
      <name val="Arial"/>
      <family val="2"/>
    </font>
    <font>
      <b/>
      <sz val="14"/>
      <color rgb="FFFF0000"/>
      <name val="Arial"/>
      <family val="2"/>
    </font>
    <font>
      <i/>
      <sz val="12"/>
      <color rgb="FFFF0000"/>
      <name val="Arial"/>
      <family val="2"/>
    </font>
    <font>
      <b/>
      <sz val="11"/>
      <color theme="1"/>
      <name val="Calibri"/>
      <family val="2"/>
      <scheme val="minor"/>
    </font>
    <font>
      <u/>
      <sz val="11"/>
      <color theme="10"/>
      <name val="Calibri"/>
      <family val="2"/>
      <scheme val="minor"/>
    </font>
    <font>
      <sz val="11"/>
      <name val="Calibri"/>
      <family val="2"/>
      <scheme val="minor"/>
    </font>
    <font>
      <b/>
      <sz val="11"/>
      <color rgb="FFFF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rgb="FFFFFFFF"/>
        <bgColor indexed="64"/>
      </patternFill>
    </fill>
    <fill>
      <patternFill patternType="solid">
        <fgColor theme="0"/>
        <bgColor rgb="FFFFFFFF"/>
      </patternFill>
    </fill>
  </fills>
  <borders count="12">
    <border>
      <left/>
      <right/>
      <top/>
      <bottom/>
      <diagonal/>
    </border>
    <border>
      <left/>
      <right/>
      <top/>
      <bottom style="thin">
        <color indexed="64"/>
      </bottom>
      <diagonal/>
    </border>
    <border>
      <left/>
      <right/>
      <top style="thin">
        <color indexed="64"/>
      </top>
      <bottom style="double">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rgb="FFCAC9D9"/>
      </left>
      <right style="thin">
        <color rgb="FFCAC9D9"/>
      </right>
      <top style="thin">
        <color rgb="FFCAC9D9"/>
      </top>
      <bottom style="thin">
        <color rgb="FFCAC9D9"/>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0" fontId="2" fillId="0" borderId="0"/>
    <xf numFmtId="0" fontId="3" fillId="0" borderId="0"/>
    <xf numFmtId="44" fontId="3" fillId="0" borderId="0" applyFont="0" applyFill="0" applyBorder="0" applyAlignment="0" applyProtection="0"/>
    <xf numFmtId="0" fontId="48" fillId="0" borderId="0" applyNumberFormat="0" applyFill="0" applyBorder="0" applyAlignment="0" applyProtection="0"/>
  </cellStyleXfs>
  <cellXfs count="494">
    <xf numFmtId="0" fontId="0" fillId="0" borderId="0" xfId="0"/>
    <xf numFmtId="0" fontId="3" fillId="0" borderId="0" xfId="3" applyFont="1"/>
    <xf numFmtId="40" fontId="3" fillId="0" borderId="0" xfId="3" applyNumberFormat="1" applyFont="1" applyAlignment="1">
      <alignment horizontal="right"/>
    </xf>
    <xf numFmtId="40" fontId="3" fillId="0" borderId="0" xfId="3" applyNumberFormat="1" applyFont="1"/>
    <xf numFmtId="40" fontId="3" fillId="0" borderId="0" xfId="3" applyNumberFormat="1" applyFont="1" applyAlignment="1">
      <alignment horizontal="center"/>
    </xf>
    <xf numFmtId="0" fontId="5" fillId="0" borderId="0" xfId="3" applyFont="1"/>
    <xf numFmtId="4" fontId="3" fillId="0" borderId="0" xfId="4" applyNumberFormat="1" applyFont="1"/>
    <xf numFmtId="0" fontId="9" fillId="0" borderId="0" xfId="0" applyFont="1"/>
    <xf numFmtId="0" fontId="12" fillId="0" borderId="0" xfId="0" applyFont="1" applyAlignment="1">
      <alignment horizontal="center"/>
    </xf>
    <xf numFmtId="49" fontId="12" fillId="0" borderId="0" xfId="0" applyNumberFormat="1" applyFont="1" applyAlignment="1">
      <alignment horizontal="center"/>
    </xf>
    <xf numFmtId="44" fontId="12" fillId="0" borderId="0" xfId="2" applyFont="1"/>
    <xf numFmtId="49" fontId="13" fillId="0" borderId="0" xfId="0" applyNumberFormat="1" applyFont="1" applyAlignment="1">
      <alignment horizontal="center"/>
    </xf>
    <xf numFmtId="165" fontId="3" fillId="0" borderId="0" xfId="0" applyNumberFormat="1" applyFont="1" applyAlignment="1">
      <alignment horizontal="center"/>
    </xf>
    <xf numFmtId="0" fontId="3" fillId="0" borderId="0" xfId="0" applyFont="1" applyAlignment="1">
      <alignment horizontal="center"/>
    </xf>
    <xf numFmtId="44" fontId="3" fillId="0" borderId="0" xfId="2" applyFont="1" applyAlignment="1">
      <alignment horizontal="right"/>
    </xf>
    <xf numFmtId="0" fontId="3" fillId="0" borderId="0" xfId="0" applyFont="1" applyAlignment="1">
      <alignment horizontal="center" wrapText="1"/>
    </xf>
    <xf numFmtId="44" fontId="14" fillId="0" borderId="0" xfId="2" applyFont="1"/>
    <xf numFmtId="43" fontId="3" fillId="0" borderId="0" xfId="1" applyFont="1" applyAlignment="1">
      <alignment horizontal="center"/>
    </xf>
    <xf numFmtId="39" fontId="3" fillId="0" borderId="0" xfId="2" applyNumberFormat="1" applyFont="1" applyAlignment="1"/>
    <xf numFmtId="164" fontId="3" fillId="0" borderId="0" xfId="0" applyNumberFormat="1" applyFont="1" applyAlignment="1">
      <alignment horizontal="center"/>
    </xf>
    <xf numFmtId="4" fontId="14" fillId="0" borderId="0" xfId="0" applyNumberFormat="1" applyFont="1"/>
    <xf numFmtId="39" fontId="14" fillId="0" borderId="0" xfId="2" applyNumberFormat="1" applyFont="1" applyAlignment="1">
      <alignment horizontal="right"/>
    </xf>
    <xf numFmtId="164" fontId="0" fillId="0" borderId="0" xfId="0" applyNumberFormat="1" applyAlignment="1">
      <alignment horizontal="center"/>
    </xf>
    <xf numFmtId="4" fontId="3" fillId="0" borderId="0" xfId="0" applyNumberFormat="1" applyFont="1" applyAlignment="1">
      <alignment horizontal="right"/>
    </xf>
    <xf numFmtId="49" fontId="3" fillId="0" borderId="0" xfId="0" applyNumberFormat="1" applyFont="1" applyAlignment="1">
      <alignment horizontal="center"/>
    </xf>
    <xf numFmtId="49" fontId="0" fillId="0" borderId="0" xfId="0" applyNumberFormat="1" applyAlignment="1">
      <alignment horizontal="center"/>
    </xf>
    <xf numFmtId="0" fontId="0" fillId="0" borderId="0" xfId="0" applyAlignment="1">
      <alignment horizontal="center"/>
    </xf>
    <xf numFmtId="4" fontId="4" fillId="0" borderId="0" xfId="2" applyNumberFormat="1" applyFont="1"/>
    <xf numFmtId="4" fontId="3" fillId="0" borderId="0" xfId="2" applyNumberFormat="1" applyFont="1"/>
    <xf numFmtId="0" fontId="0" fillId="0" borderId="2" xfId="0" applyBorder="1" applyAlignment="1">
      <alignment horizontal="center"/>
    </xf>
    <xf numFmtId="49" fontId="5" fillId="0" borderId="2" xfId="0" applyNumberFormat="1" applyFont="1" applyBorder="1" applyAlignment="1">
      <alignment horizontal="center"/>
    </xf>
    <xf numFmtId="4" fontId="5" fillId="0" borderId="2" xfId="2" applyNumberFormat="1" applyFont="1" applyBorder="1"/>
    <xf numFmtId="0" fontId="5" fillId="0" borderId="2" xfId="0" applyFont="1" applyBorder="1" applyAlignment="1">
      <alignment horizontal="center"/>
    </xf>
    <xf numFmtId="49" fontId="0" fillId="0" borderId="2" xfId="0" applyNumberFormat="1" applyBorder="1" applyAlignment="1">
      <alignment horizontal="center"/>
    </xf>
    <xf numFmtId="164" fontId="0" fillId="0" borderId="2" xfId="0" applyNumberFormat="1" applyBorder="1" applyAlignment="1">
      <alignment horizontal="center"/>
    </xf>
    <xf numFmtId="49" fontId="3" fillId="0" borderId="0" xfId="3" applyNumberFormat="1" applyFont="1" applyAlignment="1">
      <alignment horizontal="center"/>
    </xf>
    <xf numFmtId="0" fontId="17" fillId="0" borderId="0" xfId="0" applyFont="1"/>
    <xf numFmtId="40" fontId="18" fillId="0" borderId="0" xfId="3" applyNumberFormat="1" applyFont="1"/>
    <xf numFmtId="0" fontId="19" fillId="0" borderId="0" xfId="0" applyFont="1"/>
    <xf numFmtId="0" fontId="20" fillId="0" borderId="3" xfId="3" applyFont="1" applyBorder="1" applyAlignment="1">
      <alignment horizontal="center" textRotation="90" wrapText="1"/>
    </xf>
    <xf numFmtId="49" fontId="20" fillId="0" borderId="3" xfId="1" applyNumberFormat="1" applyFont="1" applyBorder="1" applyAlignment="1">
      <alignment horizontal="center" textRotation="90" wrapText="1"/>
    </xf>
    <xf numFmtId="40" fontId="20" fillId="0" borderId="3" xfId="1" applyNumberFormat="1" applyFont="1" applyBorder="1" applyAlignment="1">
      <alignment horizontal="center" wrapText="1"/>
    </xf>
    <xf numFmtId="40" fontId="5" fillId="0" borderId="3" xfId="3" applyNumberFormat="1" applyFont="1" applyBorder="1" applyAlignment="1">
      <alignment horizontal="center" wrapText="1"/>
    </xf>
    <xf numFmtId="0" fontId="3" fillId="0" borderId="0" xfId="3" applyFont="1" applyAlignment="1">
      <alignment horizontal="center"/>
    </xf>
    <xf numFmtId="49" fontId="6" fillId="0" borderId="0" xfId="0" applyNumberFormat="1" applyFont="1" applyAlignment="1">
      <alignment horizontal="center" wrapText="1"/>
    </xf>
    <xf numFmtId="40" fontId="5" fillId="2" borderId="0" xfId="3" applyNumberFormat="1" applyFont="1" applyFill="1"/>
    <xf numFmtId="40" fontId="22" fillId="0" borderId="0" xfId="3" applyNumberFormat="1" applyFont="1" applyAlignment="1">
      <alignment horizontal="center"/>
    </xf>
    <xf numFmtId="40" fontId="5" fillId="2" borderId="1" xfId="3" applyNumberFormat="1" applyFont="1" applyFill="1" applyBorder="1" applyAlignment="1">
      <alignment horizontal="right"/>
    </xf>
    <xf numFmtId="40" fontId="5" fillId="2" borderId="2" xfId="3" applyNumberFormat="1" applyFont="1" applyFill="1" applyBorder="1" applyAlignment="1">
      <alignment horizontal="right"/>
    </xf>
    <xf numFmtId="40" fontId="5" fillId="2" borderId="0" xfId="3" applyNumberFormat="1" applyFont="1" applyFill="1" applyAlignment="1">
      <alignment horizontal="right"/>
    </xf>
    <xf numFmtId="40" fontId="5" fillId="2" borderId="4" xfId="3" applyNumberFormat="1" applyFont="1" applyFill="1" applyBorder="1" applyAlignment="1">
      <alignment horizontal="right"/>
    </xf>
    <xf numFmtId="0" fontId="3" fillId="3" borderId="0" xfId="3" applyFont="1" applyFill="1" applyAlignment="1">
      <alignment horizontal="center"/>
    </xf>
    <xf numFmtId="49" fontId="3" fillId="3" borderId="0" xfId="3" applyNumberFormat="1" applyFont="1" applyFill="1" applyAlignment="1">
      <alignment horizontal="center"/>
    </xf>
    <xf numFmtId="0" fontId="5" fillId="3" borderId="0" xfId="3" applyFont="1" applyFill="1"/>
    <xf numFmtId="40" fontId="3" fillId="3" borderId="0" xfId="3" applyNumberFormat="1" applyFont="1" applyFill="1" applyAlignment="1">
      <alignment horizontal="center"/>
    </xf>
    <xf numFmtId="40" fontId="3" fillId="3" borderId="0" xfId="3" applyNumberFormat="1" applyFont="1" applyFill="1"/>
    <xf numFmtId="0" fontId="19" fillId="3" borderId="0" xfId="0" applyFont="1" applyFill="1"/>
    <xf numFmtId="0" fontId="3" fillId="0" borderId="5" xfId="3" applyFont="1" applyBorder="1" applyAlignment="1">
      <alignment horizontal="center"/>
    </xf>
    <xf numFmtId="49" fontId="3" fillId="0" borderId="5" xfId="3" applyNumberFormat="1" applyFont="1" applyBorder="1" applyAlignment="1">
      <alignment horizontal="center"/>
    </xf>
    <xf numFmtId="0" fontId="5" fillId="0" borderId="5" xfId="3" applyFont="1" applyBorder="1"/>
    <xf numFmtId="40" fontId="3" fillId="0" borderId="5" xfId="3" applyNumberFormat="1" applyFont="1" applyBorder="1" applyAlignment="1">
      <alignment horizontal="center"/>
    </xf>
    <xf numFmtId="40" fontId="23" fillId="0" borderId="5" xfId="3" applyNumberFormat="1" applyFont="1" applyBorder="1" applyAlignment="1">
      <alignment horizontal="center" vertical="center"/>
    </xf>
    <xf numFmtId="40" fontId="23" fillId="0" borderId="5" xfId="3" applyNumberFormat="1" applyFont="1" applyBorder="1" applyAlignment="1">
      <alignment horizontal="center" wrapText="1"/>
    </xf>
    <xf numFmtId="49" fontId="3" fillId="0" borderId="5" xfId="0" applyNumberFormat="1" applyFont="1" applyBorder="1" applyAlignment="1">
      <alignment horizontal="center" vertical="center" wrapText="1"/>
    </xf>
    <xf numFmtId="40" fontId="3" fillId="0" borderId="5" xfId="3" applyNumberFormat="1" applyFont="1" applyBorder="1" applyAlignment="1">
      <alignment horizontal="center" vertical="center"/>
    </xf>
    <xf numFmtId="0" fontId="3" fillId="0" borderId="5" xfId="3" applyFont="1" applyBorder="1"/>
    <xf numFmtId="49" fontId="3" fillId="0" borderId="7" xfId="3" applyNumberFormat="1" applyFont="1" applyBorder="1" applyAlignment="1">
      <alignment horizontal="center"/>
    </xf>
    <xf numFmtId="40" fontId="5" fillId="0" borderId="5" xfId="3" applyNumberFormat="1" applyFont="1" applyBorder="1"/>
    <xf numFmtId="40" fontId="3" fillId="0" borderId="5" xfId="3" applyNumberFormat="1" applyFont="1" applyBorder="1"/>
    <xf numFmtId="0" fontId="24" fillId="0" borderId="5" xfId="0" applyFont="1" applyBorder="1"/>
    <xf numFmtId="40" fontId="3" fillId="0" borderId="2" xfId="3" applyNumberFormat="1" applyFont="1" applyBorder="1" applyAlignment="1">
      <alignment horizontal="center"/>
    </xf>
    <xf numFmtId="40" fontId="5" fillId="0" borderId="8" xfId="0" applyNumberFormat="1" applyFont="1" applyBorder="1"/>
    <xf numFmtId="40" fontId="21" fillId="0" borderId="9" xfId="0" applyNumberFormat="1" applyFont="1" applyBorder="1" applyAlignment="1">
      <alignment horizontal="center"/>
    </xf>
    <xf numFmtId="8" fontId="5" fillId="0" borderId="9" xfId="3" applyNumberFormat="1" applyFont="1" applyBorder="1" applyAlignment="1">
      <alignment horizontal="center"/>
    </xf>
    <xf numFmtId="0" fontId="3" fillId="0" borderId="3" xfId="3" applyFont="1" applyBorder="1" applyAlignment="1">
      <alignment horizontal="center"/>
    </xf>
    <xf numFmtId="49" fontId="3" fillId="0" borderId="3" xfId="3" applyNumberFormat="1" applyFont="1" applyBorder="1" applyAlignment="1">
      <alignment horizontal="center"/>
    </xf>
    <xf numFmtId="0" fontId="3" fillId="0" borderId="3" xfId="3" applyFont="1" applyBorder="1"/>
    <xf numFmtId="40" fontId="3" fillId="0" borderId="3" xfId="3" applyNumberFormat="1" applyFont="1" applyBorder="1" applyAlignment="1">
      <alignment horizontal="center"/>
    </xf>
    <xf numFmtId="8" fontId="3" fillId="0" borderId="3" xfId="3" applyNumberFormat="1" applyFont="1" applyBorder="1" applyAlignment="1">
      <alignment horizontal="center"/>
    </xf>
    <xf numFmtId="8" fontId="19" fillId="0" borderId="3" xfId="0" applyNumberFormat="1" applyFont="1" applyBorder="1" applyAlignment="1">
      <alignment horizontal="center"/>
    </xf>
    <xf numFmtId="8" fontId="3" fillId="0" borderId="0" xfId="3" applyNumberFormat="1" applyFont="1" applyAlignment="1">
      <alignment horizontal="center"/>
    </xf>
    <xf numFmtId="8" fontId="19" fillId="0" borderId="0" xfId="0" applyNumberFormat="1" applyFont="1" applyAlignment="1">
      <alignment horizontal="center"/>
    </xf>
    <xf numFmtId="49" fontId="5" fillId="0" borderId="0" xfId="3" applyNumberFormat="1" applyFont="1" applyAlignment="1">
      <alignment horizontal="center"/>
    </xf>
    <xf numFmtId="8" fontId="21" fillId="0" borderId="2" xfId="0" applyNumberFormat="1" applyFont="1" applyBorder="1" applyAlignment="1">
      <alignment horizontal="center"/>
    </xf>
    <xf numFmtId="0" fontId="5" fillId="0" borderId="0" xfId="4" applyFont="1"/>
    <xf numFmtId="0" fontId="7" fillId="0" borderId="0" xfId="4" applyFont="1"/>
    <xf numFmtId="0" fontId="8" fillId="0" borderId="0" xfId="4" applyFont="1"/>
    <xf numFmtId="0" fontId="3" fillId="0" borderId="0" xfId="4" applyFont="1"/>
    <xf numFmtId="164" fontId="10" fillId="0" borderId="0" xfId="5" applyNumberFormat="1" applyFont="1"/>
    <xf numFmtId="1" fontId="25" fillId="0" borderId="0" xfId="5" applyNumberFormat="1" applyFont="1" applyAlignment="1">
      <alignment horizontal="left"/>
    </xf>
    <xf numFmtId="4" fontId="26" fillId="0" borderId="0" xfId="4" applyNumberFormat="1" applyFont="1"/>
    <xf numFmtId="40" fontId="11" fillId="0" borderId="0" xfId="5" applyNumberFormat="1" applyFont="1"/>
    <xf numFmtId="164" fontId="8" fillId="0" borderId="0" xfId="4" applyNumberFormat="1" applyFont="1"/>
    <xf numFmtId="164" fontId="8" fillId="0" borderId="0" xfId="5" applyNumberFormat="1" applyFont="1"/>
    <xf numFmtId="0" fontId="8" fillId="0" borderId="0" xfId="4" applyFont="1" applyAlignment="1">
      <alignment wrapText="1"/>
    </xf>
    <xf numFmtId="4" fontId="5" fillId="0" borderId="0" xfId="4" applyNumberFormat="1" applyFont="1"/>
    <xf numFmtId="0" fontId="5" fillId="0" borderId="3" xfId="4" applyFont="1" applyBorder="1"/>
    <xf numFmtId="0" fontId="5" fillId="0" borderId="3" xfId="4" applyFont="1" applyBorder="1" applyAlignment="1">
      <alignment horizontal="center" wrapText="1"/>
    </xf>
    <xf numFmtId="40" fontId="5" fillId="0" borderId="3" xfId="4" applyNumberFormat="1" applyFont="1" applyBorder="1"/>
    <xf numFmtId="40" fontId="5" fillId="0" borderId="3" xfId="4" applyNumberFormat="1" applyFont="1" applyBorder="1" applyAlignment="1">
      <alignment horizontal="center"/>
    </xf>
    <xf numFmtId="40" fontId="5" fillId="0" borderId="3" xfId="4" applyNumberFormat="1" applyFont="1" applyBorder="1" applyAlignment="1">
      <alignment horizontal="center" wrapText="1"/>
    </xf>
    <xf numFmtId="4" fontId="5" fillId="0" borderId="0" xfId="4" applyNumberFormat="1" applyFont="1" applyAlignment="1">
      <alignment horizontal="center"/>
    </xf>
    <xf numFmtId="40" fontId="3" fillId="0" borderId="0" xfId="4" applyNumberFormat="1" applyFont="1" applyAlignment="1">
      <alignment horizontal="center"/>
    </xf>
    <xf numFmtId="40" fontId="3" fillId="0" borderId="0" xfId="4" applyNumberFormat="1" applyFont="1"/>
    <xf numFmtId="0" fontId="3" fillId="0" borderId="0" xfId="4" applyFont="1" applyAlignment="1">
      <alignment horizontal="center"/>
    </xf>
    <xf numFmtId="4" fontId="3" fillId="0" borderId="0" xfId="4" applyNumberFormat="1" applyFont="1" applyAlignment="1">
      <alignment horizontal="center"/>
    </xf>
    <xf numFmtId="40" fontId="3" fillId="0" borderId="0" xfId="5" applyNumberFormat="1" applyAlignment="1">
      <alignment horizontal="center"/>
    </xf>
    <xf numFmtId="0" fontId="27" fillId="0" borderId="0" xfId="4" applyFont="1"/>
    <xf numFmtId="0" fontId="27" fillId="0" borderId="2" xfId="4" applyFont="1" applyBorder="1" applyAlignment="1">
      <alignment horizontal="left"/>
    </xf>
    <xf numFmtId="40" fontId="27" fillId="0" borderId="2" xfId="4" applyNumberFormat="1" applyFont="1" applyBorder="1"/>
    <xf numFmtId="0" fontId="2" fillId="0" borderId="0" xfId="4"/>
    <xf numFmtId="0" fontId="28" fillId="0" borderId="0" xfId="0" applyFont="1"/>
    <xf numFmtId="0" fontId="29" fillId="0" borderId="0" xfId="3" applyFont="1"/>
    <xf numFmtId="40" fontId="5" fillId="0" borderId="0" xfId="0" applyNumberFormat="1" applyFont="1"/>
    <xf numFmtId="1" fontId="29" fillId="0" borderId="0" xfId="3" applyNumberFormat="1" applyFont="1"/>
    <xf numFmtId="40" fontId="28" fillId="0" borderId="0" xfId="3" applyNumberFormat="1" applyFont="1"/>
    <xf numFmtId="0" fontId="30" fillId="0" borderId="0" xfId="4" applyFont="1"/>
    <xf numFmtId="40" fontId="3" fillId="0" borderId="0" xfId="1" applyNumberFormat="1" applyFont="1" applyAlignment="1">
      <alignment horizontal="center"/>
    </xf>
    <xf numFmtId="4" fontId="1" fillId="0" borderId="0" xfId="2" applyNumberFormat="1" applyFont="1"/>
    <xf numFmtId="164" fontId="31" fillId="0" borderId="0" xfId="0" applyNumberFormat="1" applyFont="1"/>
    <xf numFmtId="44" fontId="1" fillId="0" borderId="0" xfId="2" applyFont="1"/>
    <xf numFmtId="0" fontId="5" fillId="0" borderId="3" xfId="0" applyFont="1" applyBorder="1" applyAlignment="1">
      <alignment horizontal="center"/>
    </xf>
    <xf numFmtId="49" fontId="5" fillId="0" borderId="3" xfId="0" applyNumberFormat="1" applyFont="1" applyBorder="1" applyAlignment="1">
      <alignment horizontal="center" wrapText="1"/>
    </xf>
    <xf numFmtId="44" fontId="5" fillId="0" borderId="3" xfId="2" applyFont="1" applyBorder="1" applyAlignment="1">
      <alignment horizontal="center"/>
    </xf>
    <xf numFmtId="0" fontId="5" fillId="0" borderId="3" xfId="0" applyFont="1" applyBorder="1" applyAlignment="1">
      <alignment horizontal="center" wrapText="1"/>
    </xf>
    <xf numFmtId="44" fontId="5" fillId="0" borderId="3" xfId="2" applyFont="1" applyBorder="1" applyAlignment="1">
      <alignment horizontal="center" wrapText="1"/>
    </xf>
    <xf numFmtId="0" fontId="24" fillId="0" borderId="0" xfId="0" applyFont="1"/>
    <xf numFmtId="165" fontId="3" fillId="0" borderId="0" xfId="2" applyNumberFormat="1" applyFont="1" applyAlignment="1">
      <alignment horizontal="center"/>
    </xf>
    <xf numFmtId="4" fontId="32" fillId="0" borderId="0" xfId="0" applyNumberFormat="1" applyFont="1" applyAlignment="1">
      <alignment horizontal="right"/>
    </xf>
    <xf numFmtId="39" fontId="32" fillId="0" borderId="0" xfId="2" applyNumberFormat="1" applyFont="1" applyAlignment="1">
      <alignment horizontal="right"/>
    </xf>
    <xf numFmtId="165" fontId="0" fillId="0" borderId="0" xfId="0" applyNumberFormat="1" applyAlignment="1">
      <alignment horizontal="center"/>
    </xf>
    <xf numFmtId="44" fontId="5" fillId="0" borderId="2" xfId="2" applyFont="1" applyBorder="1"/>
    <xf numFmtId="40" fontId="7" fillId="0" borderId="0" xfId="5" applyNumberFormat="1" applyFont="1"/>
    <xf numFmtId="0" fontId="7" fillId="0" borderId="0" xfId="5" applyFont="1"/>
    <xf numFmtId="164" fontId="30" fillId="0" borderId="0" xfId="5" applyNumberFormat="1" applyFont="1"/>
    <xf numFmtId="0" fontId="11" fillId="0" borderId="0" xfId="5" applyFont="1"/>
    <xf numFmtId="49" fontId="11" fillId="0" borderId="0" xfId="5" applyNumberFormat="1" applyFont="1" applyAlignment="1">
      <alignment horizontal="left"/>
    </xf>
    <xf numFmtId="164" fontId="27" fillId="0" borderId="0" xfId="0" applyNumberFormat="1" applyFont="1"/>
    <xf numFmtId="0" fontId="8" fillId="0" borderId="0" xfId="5" applyFont="1"/>
    <xf numFmtId="0" fontId="27" fillId="0" borderId="0" xfId="5" applyFont="1"/>
    <xf numFmtId="0" fontId="20" fillId="0" borderId="0" xfId="5" applyFont="1"/>
    <xf numFmtId="0" fontId="3" fillId="0" borderId="0" xfId="5"/>
    <xf numFmtId="40" fontId="8" fillId="0" borderId="0" xfId="5" applyNumberFormat="1" applyFont="1"/>
    <xf numFmtId="0" fontId="8" fillId="0" borderId="0" xfId="5" applyFont="1" applyAlignment="1">
      <alignment horizontal="right"/>
    </xf>
    <xf numFmtId="40" fontId="33" fillId="0" borderId="0" xfId="5" applyNumberFormat="1" applyFont="1"/>
    <xf numFmtId="0" fontId="22" fillId="0" borderId="0" xfId="5" applyFont="1"/>
    <xf numFmtId="40" fontId="20" fillId="0" borderId="0" xfId="5" applyNumberFormat="1" applyFont="1"/>
    <xf numFmtId="164" fontId="8" fillId="0" borderId="0" xfId="5" applyNumberFormat="1" applyFont="1" applyAlignment="1">
      <alignment horizontal="left"/>
    </xf>
    <xf numFmtId="49" fontId="8" fillId="0" borderId="3" xfId="5" applyNumberFormat="1" applyFont="1" applyBorder="1" applyAlignment="1">
      <alignment horizontal="center" wrapText="1"/>
    </xf>
    <xf numFmtId="164" fontId="8" fillId="0" borderId="3" xfId="5" applyNumberFormat="1" applyFont="1" applyBorder="1" applyAlignment="1">
      <alignment horizontal="center"/>
    </xf>
    <xf numFmtId="0" fontId="8" fillId="0" borderId="3" xfId="5" applyFont="1" applyBorder="1" applyAlignment="1">
      <alignment horizontal="center"/>
    </xf>
    <xf numFmtId="40" fontId="8" fillId="0" borderId="3" xfId="5" applyNumberFormat="1" applyFont="1" applyBorder="1" applyAlignment="1">
      <alignment horizontal="center" wrapText="1"/>
    </xf>
    <xf numFmtId="49" fontId="3" fillId="0" borderId="0" xfId="5" applyNumberFormat="1"/>
    <xf numFmtId="164" fontId="3" fillId="0" borderId="0" xfId="5" applyNumberFormat="1" applyAlignment="1">
      <alignment horizontal="center"/>
    </xf>
    <xf numFmtId="164" fontId="3" fillId="0" borderId="0" xfId="5" applyNumberFormat="1" applyAlignment="1">
      <alignment horizontal="left"/>
    </xf>
    <xf numFmtId="4" fontId="3" fillId="0" borderId="0" xfId="5" applyNumberFormat="1" applyAlignment="1">
      <alignment horizontal="center"/>
    </xf>
    <xf numFmtId="4" fontId="3" fillId="0" borderId="0" xfId="5" applyNumberFormat="1"/>
    <xf numFmtId="0" fontId="34" fillId="0" borderId="0" xfId="5" applyFont="1"/>
    <xf numFmtId="4" fontId="5" fillId="0" borderId="0" xfId="5" applyNumberFormat="1" applyFont="1"/>
    <xf numFmtId="0" fontId="3" fillId="0" borderId="0" xfId="5" applyAlignment="1">
      <alignment horizontal="left"/>
    </xf>
    <xf numFmtId="164" fontId="3" fillId="0" borderId="0" xfId="5" applyNumberFormat="1"/>
    <xf numFmtId="164" fontId="5" fillId="0" borderId="0" xfId="5" applyNumberFormat="1" applyFont="1" applyAlignment="1">
      <alignment horizontal="left"/>
    </xf>
    <xf numFmtId="40" fontId="3" fillId="0" borderId="0" xfId="5" applyNumberFormat="1"/>
    <xf numFmtId="164" fontId="8" fillId="0" borderId="3" xfId="5" applyNumberFormat="1" applyFont="1" applyBorder="1" applyAlignment="1">
      <alignment horizontal="center" wrapText="1"/>
    </xf>
    <xf numFmtId="0" fontId="8" fillId="0" borderId="3" xfId="5" applyFont="1" applyBorder="1" applyAlignment="1">
      <alignment horizontal="center" wrapText="1"/>
    </xf>
    <xf numFmtId="49" fontId="3" fillId="0" borderId="0" xfId="5" applyNumberFormat="1" applyAlignment="1">
      <alignment horizontal="center"/>
    </xf>
    <xf numFmtId="4" fontId="32" fillId="0" borderId="0" xfId="5" applyNumberFormat="1" applyFont="1" applyAlignment="1">
      <alignment horizontal="center"/>
    </xf>
    <xf numFmtId="4" fontId="32" fillId="0" borderId="0" xfId="5" applyNumberFormat="1" applyFont="1"/>
    <xf numFmtId="49" fontId="11" fillId="0" borderId="0" xfId="5" applyNumberFormat="1" applyFont="1"/>
    <xf numFmtId="164" fontId="11" fillId="0" borderId="0" xfId="5" applyNumberFormat="1" applyFont="1"/>
    <xf numFmtId="0" fontId="35" fillId="0" borderId="0" xfId="5" applyFont="1"/>
    <xf numFmtId="49" fontId="3" fillId="0" borderId="0" xfId="5" applyNumberFormat="1" applyAlignment="1">
      <alignment horizontal="left"/>
    </xf>
    <xf numFmtId="40" fontId="3" fillId="0" borderId="0" xfId="5" quotePrefix="1" applyNumberFormat="1"/>
    <xf numFmtId="0" fontId="5" fillId="0" borderId="0" xfId="5" applyFont="1"/>
    <xf numFmtId="49" fontId="5" fillId="0" borderId="0" xfId="5" applyNumberFormat="1" applyFont="1"/>
    <xf numFmtId="164" fontId="5" fillId="0" borderId="0" xfId="5" applyNumberFormat="1" applyFont="1"/>
    <xf numFmtId="0" fontId="5" fillId="0" borderId="2" xfId="5" applyFont="1" applyBorder="1"/>
    <xf numFmtId="40" fontId="5" fillId="0" borderId="2" xfId="5" applyNumberFormat="1" applyFont="1" applyBorder="1"/>
    <xf numFmtId="44" fontId="5" fillId="0" borderId="3" xfId="2" applyFont="1" applyBorder="1"/>
    <xf numFmtId="44" fontId="5" fillId="0" borderId="3" xfId="2" applyFont="1" applyBorder="1" applyAlignment="1">
      <alignment wrapText="1"/>
    </xf>
    <xf numFmtId="1" fontId="3" fillId="0" borderId="0" xfId="5" applyNumberFormat="1" applyAlignment="1">
      <alignment horizontal="center"/>
    </xf>
    <xf numFmtId="0" fontId="3" fillId="0" borderId="0" xfId="0" applyFont="1"/>
    <xf numFmtId="40" fontId="5" fillId="0" borderId="0" xfId="5" applyNumberFormat="1" applyFont="1"/>
    <xf numFmtId="40" fontId="3" fillId="0" borderId="0" xfId="5" applyNumberFormat="1" applyAlignment="1">
      <alignment horizontal="left"/>
    </xf>
    <xf numFmtId="44" fontId="5" fillId="0" borderId="2" xfId="2" applyFont="1" applyBorder="1" applyAlignment="1">
      <alignment vertical="center"/>
    </xf>
    <xf numFmtId="44" fontId="5" fillId="0" borderId="0" xfId="2" applyFont="1" applyBorder="1" applyAlignment="1">
      <alignment vertical="center"/>
    </xf>
    <xf numFmtId="4" fontId="32" fillId="0" borderId="0" xfId="5" applyNumberFormat="1" applyFont="1" applyAlignment="1">
      <alignment horizontal="center" vertical="center"/>
    </xf>
    <xf numFmtId="44" fontId="5" fillId="0" borderId="0" xfId="2" applyFont="1" applyBorder="1"/>
    <xf numFmtId="40" fontId="5" fillId="0" borderId="0" xfId="1" applyNumberFormat="1" applyFont="1" applyAlignment="1">
      <alignment horizontal="center"/>
    </xf>
    <xf numFmtId="44" fontId="32" fillId="0" borderId="0" xfId="2" applyFont="1"/>
    <xf numFmtId="164" fontId="22" fillId="0" borderId="0" xfId="5" applyNumberFormat="1" applyFont="1"/>
    <xf numFmtId="43" fontId="32" fillId="0" borderId="0" xfId="2" applyNumberFormat="1" applyFont="1"/>
    <xf numFmtId="40" fontId="30" fillId="0" borderId="3" xfId="5" applyNumberFormat="1" applyFont="1" applyBorder="1" applyAlignment="1">
      <alignment horizontal="center" wrapText="1"/>
    </xf>
    <xf numFmtId="4" fontId="22" fillId="0" borderId="0" xfId="4" applyNumberFormat="1" applyFont="1"/>
    <xf numFmtId="40" fontId="30" fillId="0" borderId="0" xfId="5" applyNumberFormat="1" applyFont="1"/>
    <xf numFmtId="0" fontId="30" fillId="0" borderId="0" xfId="5" applyFont="1"/>
    <xf numFmtId="0" fontId="22" fillId="0" borderId="0" xfId="4" applyFont="1"/>
    <xf numFmtId="1" fontId="30" fillId="0" borderId="0" xfId="5" applyNumberFormat="1" applyFont="1" applyAlignment="1">
      <alignment horizontal="left"/>
    </xf>
    <xf numFmtId="4" fontId="30" fillId="0" borderId="0" xfId="4" applyNumberFormat="1" applyFont="1"/>
    <xf numFmtId="49" fontId="30" fillId="0" borderId="0" xfId="5" applyNumberFormat="1" applyFont="1" applyAlignment="1">
      <alignment horizontal="left"/>
    </xf>
    <xf numFmtId="164" fontId="42" fillId="0" borderId="0" xfId="0" applyNumberFormat="1" applyFont="1"/>
    <xf numFmtId="0" fontId="42" fillId="0" borderId="0" xfId="5" applyFont="1"/>
    <xf numFmtId="0" fontId="30" fillId="0" borderId="0" xfId="5" applyFont="1" applyAlignment="1">
      <alignment horizontal="right"/>
    </xf>
    <xf numFmtId="164" fontId="30" fillId="0" borderId="0" xfId="5" applyNumberFormat="1" applyFont="1" applyAlignment="1">
      <alignment horizontal="left"/>
    </xf>
    <xf numFmtId="49" fontId="30" fillId="0" borderId="3" xfId="5" applyNumberFormat="1" applyFont="1" applyBorder="1" applyAlignment="1">
      <alignment horizontal="center" wrapText="1"/>
    </xf>
    <xf numFmtId="164" fontId="30" fillId="0" borderId="3" xfId="5" applyNumberFormat="1" applyFont="1" applyBorder="1" applyAlignment="1">
      <alignment horizontal="center"/>
    </xf>
    <xf numFmtId="164" fontId="30" fillId="0" borderId="3" xfId="5" applyNumberFormat="1" applyFont="1" applyBorder="1" applyAlignment="1">
      <alignment horizontal="center" wrapText="1"/>
    </xf>
    <xf numFmtId="0" fontId="30" fillId="0" borderId="3" xfId="5" applyFont="1" applyBorder="1" applyAlignment="1">
      <alignment horizontal="center" wrapText="1"/>
    </xf>
    <xf numFmtId="49" fontId="22" fillId="0" borderId="0" xfId="5" applyNumberFormat="1" applyFont="1" applyAlignment="1">
      <alignment horizontal="center"/>
    </xf>
    <xf numFmtId="164" fontId="22" fillId="0" borderId="0" xfId="5" applyNumberFormat="1" applyFont="1" applyAlignment="1">
      <alignment horizontal="center"/>
    </xf>
    <xf numFmtId="4" fontId="20" fillId="0" borderId="0" xfId="5" applyNumberFormat="1" applyFont="1" applyAlignment="1">
      <alignment horizontal="center"/>
    </xf>
    <xf numFmtId="4" fontId="22" fillId="0" borderId="0" xfId="5" applyNumberFormat="1" applyFont="1" applyAlignment="1">
      <alignment horizontal="center"/>
    </xf>
    <xf numFmtId="4" fontId="22" fillId="0" borderId="0" xfId="5" applyNumberFormat="1" applyFont="1"/>
    <xf numFmtId="49" fontId="22" fillId="0" borderId="0" xfId="5" applyNumberFormat="1" applyFont="1" applyAlignment="1">
      <alignment horizontal="left"/>
    </xf>
    <xf numFmtId="1" fontId="22" fillId="0" borderId="0" xfId="5" applyNumberFormat="1" applyFont="1" applyAlignment="1">
      <alignment horizontal="center"/>
    </xf>
    <xf numFmtId="0" fontId="22" fillId="0" borderId="0" xfId="0" applyFont="1"/>
    <xf numFmtId="4" fontId="20" fillId="0" borderId="0" xfId="5" applyNumberFormat="1" applyFont="1"/>
    <xf numFmtId="0" fontId="41" fillId="0" borderId="0" xfId="0" applyFont="1" applyAlignment="1">
      <alignment horizontal="center"/>
    </xf>
    <xf numFmtId="164" fontId="22" fillId="0" borderId="0" xfId="5" applyNumberFormat="1" applyFont="1" applyAlignment="1">
      <alignment horizontal="left"/>
    </xf>
    <xf numFmtId="164" fontId="20" fillId="0" borderId="0" xfId="5" applyNumberFormat="1" applyFont="1" applyAlignment="1">
      <alignment horizontal="left"/>
    </xf>
    <xf numFmtId="164" fontId="20" fillId="0" borderId="2" xfId="5" applyNumberFormat="1" applyFont="1" applyBorder="1"/>
    <xf numFmtId="44" fontId="20" fillId="0" borderId="2" xfId="2" applyFont="1" applyBorder="1"/>
    <xf numFmtId="2" fontId="20" fillId="0" borderId="2" xfId="2" applyNumberFormat="1" applyFont="1" applyBorder="1"/>
    <xf numFmtId="49" fontId="22" fillId="0" borderId="0" xfId="5" applyNumberFormat="1" applyFont="1"/>
    <xf numFmtId="40" fontId="22" fillId="0" borderId="0" xfId="5" applyNumberFormat="1" applyFont="1"/>
    <xf numFmtId="49" fontId="30" fillId="0" borderId="0" xfId="5" applyNumberFormat="1" applyFont="1"/>
    <xf numFmtId="0" fontId="30" fillId="0" borderId="3" xfId="5" applyFont="1" applyBorder="1" applyAlignment="1">
      <alignment horizontal="center"/>
    </xf>
    <xf numFmtId="0" fontId="22" fillId="0" borderId="0" xfId="5" applyFont="1" applyAlignment="1">
      <alignment horizontal="left"/>
    </xf>
    <xf numFmtId="40" fontId="22" fillId="0" borderId="0" xfId="5" quotePrefix="1" applyNumberFormat="1" applyFont="1"/>
    <xf numFmtId="40" fontId="22" fillId="0" borderId="0" xfId="5" applyNumberFormat="1" applyFont="1" applyAlignment="1">
      <alignment horizontal="center"/>
    </xf>
    <xf numFmtId="49" fontId="20" fillId="0" borderId="0" xfId="5" applyNumberFormat="1" applyFont="1"/>
    <xf numFmtId="164" fontId="20" fillId="0" borderId="0" xfId="5" applyNumberFormat="1" applyFont="1"/>
    <xf numFmtId="0" fontId="20" fillId="0" borderId="2" xfId="5" applyFont="1" applyBorder="1"/>
    <xf numFmtId="40" fontId="20" fillId="0" borderId="2" xfId="5" applyNumberFormat="1" applyFont="1" applyBorder="1"/>
    <xf numFmtId="0" fontId="20" fillId="0" borderId="0" xfId="4" applyFont="1"/>
    <xf numFmtId="164" fontId="30" fillId="0" borderId="0" xfId="4" applyNumberFormat="1" applyFont="1"/>
    <xf numFmtId="0" fontId="30" fillId="0" borderId="0" xfId="4" applyFont="1" applyAlignment="1">
      <alignment wrapText="1"/>
    </xf>
    <xf numFmtId="4" fontId="20" fillId="0" borderId="0" xfId="4" applyNumberFormat="1" applyFont="1"/>
    <xf numFmtId="0" fontId="20" fillId="0" borderId="3" xfId="4" applyFont="1" applyBorder="1"/>
    <xf numFmtId="0" fontId="20" fillId="0" borderId="3" xfId="4" applyFont="1" applyBorder="1" applyAlignment="1">
      <alignment horizontal="center" wrapText="1"/>
    </xf>
    <xf numFmtId="40" fontId="20" fillId="0" borderId="3" xfId="4" applyNumberFormat="1" applyFont="1" applyBorder="1"/>
    <xf numFmtId="40" fontId="20" fillId="0" borderId="3" xfId="4" applyNumberFormat="1" applyFont="1" applyBorder="1" applyAlignment="1">
      <alignment horizontal="center"/>
    </xf>
    <xf numFmtId="40" fontId="20" fillId="0" borderId="3" xfId="4" applyNumberFormat="1" applyFont="1" applyBorder="1" applyAlignment="1">
      <alignment horizontal="center" wrapText="1"/>
    </xf>
    <xf numFmtId="4" fontId="20" fillId="0" borderId="0" xfId="4" applyNumberFormat="1" applyFont="1" applyAlignment="1">
      <alignment horizontal="center"/>
    </xf>
    <xf numFmtId="40" fontId="22" fillId="0" borderId="0" xfId="4" applyNumberFormat="1" applyFont="1" applyAlignment="1">
      <alignment horizontal="center"/>
    </xf>
    <xf numFmtId="40" fontId="22" fillId="0" borderId="0" xfId="4" applyNumberFormat="1" applyFont="1"/>
    <xf numFmtId="0" fontId="22" fillId="0" borderId="0" xfId="4" applyFont="1" applyAlignment="1">
      <alignment horizontal="center"/>
    </xf>
    <xf numFmtId="4" fontId="22" fillId="0" borderId="0" xfId="4" applyNumberFormat="1" applyFont="1" applyAlignment="1">
      <alignment horizontal="center"/>
    </xf>
    <xf numFmtId="2" fontId="22" fillId="0" borderId="0" xfId="4" applyNumberFormat="1" applyFont="1" applyAlignment="1">
      <alignment horizontal="center"/>
    </xf>
    <xf numFmtId="0" fontId="42" fillId="0" borderId="0" xfId="4" applyFont="1"/>
    <xf numFmtId="0" fontId="42" fillId="0" borderId="2" xfId="4" applyFont="1" applyBorder="1" applyAlignment="1">
      <alignment horizontal="left"/>
    </xf>
    <xf numFmtId="40" fontId="42" fillId="0" borderId="2" xfId="4" applyNumberFormat="1" applyFont="1" applyBorder="1"/>
    <xf numFmtId="0" fontId="43" fillId="0" borderId="0" xfId="4" applyFont="1"/>
    <xf numFmtId="0" fontId="42" fillId="0" borderId="0" xfId="0" applyFont="1"/>
    <xf numFmtId="0" fontId="44" fillId="0" borderId="0" xfId="0" applyFont="1"/>
    <xf numFmtId="40" fontId="22" fillId="0" borderId="0" xfId="3" applyNumberFormat="1" applyFont="1" applyAlignment="1">
      <alignment horizontal="right"/>
    </xf>
    <xf numFmtId="40" fontId="22" fillId="0" borderId="0" xfId="3" applyNumberFormat="1" applyFont="1"/>
    <xf numFmtId="0" fontId="42" fillId="0" borderId="0" xfId="3" applyFont="1"/>
    <xf numFmtId="40" fontId="20" fillId="0" borderId="0" xfId="0" applyNumberFormat="1" applyFont="1"/>
    <xf numFmtId="0" fontId="22" fillId="0" borderId="0" xfId="3" applyFont="1"/>
    <xf numFmtId="1" fontId="42" fillId="0" borderId="0" xfId="3" applyNumberFormat="1" applyFont="1"/>
    <xf numFmtId="40" fontId="42" fillId="0" borderId="0" xfId="3" applyNumberFormat="1" applyFont="1"/>
    <xf numFmtId="40" fontId="22" fillId="0" borderId="0" xfId="1" applyNumberFormat="1" applyFont="1" applyAlignment="1">
      <alignment horizontal="center"/>
    </xf>
    <xf numFmtId="49" fontId="41" fillId="0" borderId="0" xfId="0" applyNumberFormat="1" applyFont="1" applyAlignment="1">
      <alignment horizontal="center"/>
    </xf>
    <xf numFmtId="4" fontId="41" fillId="0" borderId="0" xfId="2" applyNumberFormat="1" applyFont="1"/>
    <xf numFmtId="164" fontId="20" fillId="0" borderId="0" xfId="0" applyNumberFormat="1" applyFont="1"/>
    <xf numFmtId="44" fontId="41" fillId="0" borderId="0" xfId="2" applyFont="1"/>
    <xf numFmtId="0" fontId="41" fillId="0" borderId="0" xfId="0" applyFont="1"/>
    <xf numFmtId="49" fontId="45" fillId="0" borderId="0" xfId="0" applyNumberFormat="1" applyFont="1" applyAlignment="1">
      <alignment horizontal="center"/>
    </xf>
    <xf numFmtId="44" fontId="45" fillId="0" borderId="0" xfId="2" applyFont="1"/>
    <xf numFmtId="0" fontId="45" fillId="0" borderId="0" xfId="0" applyFont="1" applyAlignment="1">
      <alignment horizontal="center"/>
    </xf>
    <xf numFmtId="0" fontId="20" fillId="0" borderId="3" xfId="0" applyFont="1" applyBorder="1" applyAlignment="1">
      <alignment horizontal="center"/>
    </xf>
    <xf numFmtId="49" fontId="20" fillId="0" borderId="3" xfId="0" applyNumberFormat="1" applyFont="1" applyBorder="1" applyAlignment="1">
      <alignment horizontal="center" wrapText="1"/>
    </xf>
    <xf numFmtId="44" fontId="20" fillId="0" borderId="3" xfId="2" applyFont="1" applyBorder="1" applyAlignment="1">
      <alignment horizontal="center"/>
    </xf>
    <xf numFmtId="0" fontId="20" fillId="0" borderId="3" xfId="0" applyFont="1" applyBorder="1" applyAlignment="1">
      <alignment horizontal="center" wrapText="1"/>
    </xf>
    <xf numFmtId="44" fontId="20" fillId="0" borderId="3" xfId="2" applyFont="1" applyBorder="1" applyAlignment="1">
      <alignment horizontal="center" wrapText="1"/>
    </xf>
    <xf numFmtId="165" fontId="22" fillId="0" borderId="0" xfId="0" applyNumberFormat="1" applyFont="1" applyAlignment="1">
      <alignment horizontal="center"/>
    </xf>
    <xf numFmtId="44" fontId="22" fillId="0" borderId="0" xfId="2" applyFont="1" applyAlignment="1">
      <alignment horizontal="right"/>
    </xf>
    <xf numFmtId="0" fontId="22" fillId="0" borderId="0" xfId="0" applyFont="1" applyAlignment="1">
      <alignment horizontal="center" wrapText="1"/>
    </xf>
    <xf numFmtId="165" fontId="22" fillId="0" borderId="0" xfId="2" applyNumberFormat="1" applyFont="1" applyAlignment="1">
      <alignment horizontal="center"/>
    </xf>
    <xf numFmtId="44" fontId="20" fillId="0" borderId="0" xfId="5" applyNumberFormat="1" applyFont="1" applyAlignment="1">
      <alignment horizontal="center"/>
    </xf>
    <xf numFmtId="0" fontId="22" fillId="0" borderId="0" xfId="0" applyFont="1" applyAlignment="1">
      <alignment horizontal="center"/>
    </xf>
    <xf numFmtId="40" fontId="20" fillId="0" borderId="0" xfId="1" applyNumberFormat="1" applyFont="1" applyAlignment="1">
      <alignment horizontal="center"/>
    </xf>
    <xf numFmtId="164" fontId="41" fillId="0" borderId="0" xfId="0" applyNumberFormat="1" applyFont="1" applyAlignment="1">
      <alignment horizontal="center"/>
    </xf>
    <xf numFmtId="39" fontId="22" fillId="0" borderId="0" xfId="2" applyNumberFormat="1" applyFont="1" applyAlignment="1"/>
    <xf numFmtId="4" fontId="20" fillId="0" borderId="0" xfId="0" applyNumberFormat="1" applyFont="1"/>
    <xf numFmtId="39" fontId="20" fillId="0" borderId="0" xfId="2" applyNumberFormat="1" applyFont="1" applyAlignment="1">
      <alignment horizontal="right"/>
    </xf>
    <xf numFmtId="4" fontId="22" fillId="0" borderId="0" xfId="0" applyNumberFormat="1" applyFont="1" applyAlignment="1">
      <alignment horizontal="right"/>
    </xf>
    <xf numFmtId="164" fontId="22" fillId="0" borderId="0" xfId="0" applyNumberFormat="1" applyFont="1" applyAlignment="1">
      <alignment horizontal="center"/>
    </xf>
    <xf numFmtId="49" fontId="22" fillId="0" borderId="0" xfId="0" applyNumberFormat="1" applyFont="1" applyAlignment="1">
      <alignment horizontal="center"/>
    </xf>
    <xf numFmtId="4" fontId="20" fillId="0" borderId="0" xfId="0" applyNumberFormat="1" applyFont="1" applyAlignment="1">
      <alignment horizontal="right"/>
    </xf>
    <xf numFmtId="165" fontId="41" fillId="0" borderId="0" xfId="0" applyNumberFormat="1" applyFont="1" applyAlignment="1">
      <alignment horizontal="center"/>
    </xf>
    <xf numFmtId="4" fontId="20" fillId="0" borderId="0" xfId="2" applyNumberFormat="1" applyFont="1"/>
    <xf numFmtId="4" fontId="22" fillId="0" borderId="0" xfId="2" applyNumberFormat="1" applyFont="1"/>
    <xf numFmtId="0" fontId="41" fillId="0" borderId="2" xfId="0" applyFont="1" applyBorder="1" applyAlignment="1">
      <alignment horizontal="center"/>
    </xf>
    <xf numFmtId="49" fontId="20" fillId="0" borderId="2" xfId="0" applyNumberFormat="1" applyFont="1" applyBorder="1" applyAlignment="1">
      <alignment horizontal="center"/>
    </xf>
    <xf numFmtId="4" fontId="20" fillId="0" borderId="2" xfId="2" applyNumberFormat="1" applyFont="1" applyBorder="1"/>
    <xf numFmtId="0" fontId="20" fillId="0" borderId="2" xfId="0" applyFont="1" applyBorder="1" applyAlignment="1">
      <alignment horizontal="center"/>
    </xf>
    <xf numFmtId="49" fontId="41" fillId="0" borderId="2" xfId="0" applyNumberFormat="1" applyFont="1" applyBorder="1" applyAlignment="1">
      <alignment horizontal="center"/>
    </xf>
    <xf numFmtId="164" fontId="41" fillId="0" borderId="2" xfId="0" applyNumberFormat="1" applyFont="1" applyBorder="1" applyAlignment="1">
      <alignment horizontal="center"/>
    </xf>
    <xf numFmtId="40" fontId="46" fillId="0" borderId="0" xfId="5" applyNumberFormat="1" applyFont="1"/>
    <xf numFmtId="4" fontId="30" fillId="0" borderId="3" xfId="5" applyNumberFormat="1" applyFont="1" applyBorder="1" applyAlignment="1">
      <alignment horizontal="center" wrapText="1"/>
    </xf>
    <xf numFmtId="0" fontId="3" fillId="0" borderId="5" xfId="3" applyFont="1" applyBorder="1" applyAlignment="1">
      <alignment horizontal="center" vertical="center"/>
    </xf>
    <xf numFmtId="49" fontId="3" fillId="0" borderId="5" xfId="3" applyNumberFormat="1" applyFont="1" applyBorder="1" applyAlignment="1">
      <alignment horizontal="center" vertical="center"/>
    </xf>
    <xf numFmtId="0" fontId="16" fillId="4" borderId="10" xfId="0" applyFont="1" applyFill="1" applyBorder="1" applyAlignment="1">
      <alignment vertical="center" wrapText="1"/>
    </xf>
    <xf numFmtId="0" fontId="3" fillId="0" borderId="5" xfId="0" applyFont="1" applyBorder="1" applyAlignment="1">
      <alignment horizontal="center" vertical="center"/>
    </xf>
    <xf numFmtId="8" fontId="5" fillId="0" borderId="5" xfId="2" applyNumberFormat="1" applyFont="1" applyFill="1" applyBorder="1" applyAlignment="1">
      <alignment horizontal="center" vertical="center"/>
    </xf>
    <xf numFmtId="40" fontId="3" fillId="0" borderId="6" xfId="3" applyNumberFormat="1" applyFont="1" applyBorder="1" applyAlignment="1">
      <alignment horizontal="center" vertical="center"/>
    </xf>
    <xf numFmtId="0" fontId="0" fillId="0" borderId="0" xfId="0" applyAlignment="1">
      <alignment vertical="center"/>
    </xf>
    <xf numFmtId="0" fontId="3" fillId="0" borderId="5" xfId="3" applyFont="1" applyBorder="1" applyAlignment="1">
      <alignment vertical="center"/>
    </xf>
    <xf numFmtId="0" fontId="22" fillId="0" borderId="5" xfId="3" applyFont="1" applyBorder="1" applyAlignment="1">
      <alignment horizontal="center" vertical="center"/>
    </xf>
    <xf numFmtId="0" fontId="20" fillId="0" borderId="5" xfId="3" applyFont="1" applyBorder="1" applyAlignment="1">
      <alignment horizontal="center" vertical="center"/>
    </xf>
    <xf numFmtId="0" fontId="3" fillId="0" borderId="5" xfId="4" applyFont="1" applyBorder="1" applyAlignment="1">
      <alignment vertical="center"/>
    </xf>
    <xf numFmtId="49" fontId="3" fillId="0" borderId="6" xfId="3" applyNumberFormat="1" applyFont="1" applyBorder="1" applyAlignment="1">
      <alignment horizontal="center" vertical="center"/>
    </xf>
    <xf numFmtId="0" fontId="20" fillId="0" borderId="5" xfId="0" applyFont="1" applyBorder="1" applyAlignment="1">
      <alignment horizontal="center" vertical="center"/>
    </xf>
    <xf numFmtId="2" fontId="3" fillId="0" borderId="6" xfId="3" applyNumberFormat="1" applyFont="1" applyBorder="1" applyAlignment="1">
      <alignment horizontal="center" vertical="center"/>
    </xf>
    <xf numFmtId="49" fontId="3" fillId="0" borderId="7" xfId="3" applyNumberFormat="1" applyFont="1" applyBorder="1" applyAlignment="1">
      <alignment horizontal="center" vertical="center"/>
    </xf>
    <xf numFmtId="49" fontId="3" fillId="0" borderId="0" xfId="5" applyNumberFormat="1" applyAlignment="1">
      <alignment vertical="center"/>
    </xf>
    <xf numFmtId="164" fontId="3" fillId="0" borderId="0" xfId="5" applyNumberFormat="1" applyAlignment="1">
      <alignment horizontal="center" vertical="center"/>
    </xf>
    <xf numFmtId="40" fontId="32" fillId="0" borderId="0" xfId="5" applyNumberFormat="1" applyFont="1" applyAlignment="1">
      <alignment horizontal="center" vertical="center"/>
    </xf>
    <xf numFmtId="4" fontId="3" fillId="0" borderId="0" xfId="5" applyNumberFormat="1" applyAlignment="1">
      <alignment horizontal="center" vertical="center"/>
    </xf>
    <xf numFmtId="4" fontId="3" fillId="0" borderId="0" xfId="5" applyNumberFormat="1" applyAlignment="1">
      <alignment vertical="center"/>
    </xf>
    <xf numFmtId="0" fontId="34" fillId="0" borderId="0" xfId="5" applyFont="1" applyAlignment="1">
      <alignment vertical="center"/>
    </xf>
    <xf numFmtId="164" fontId="3" fillId="0" borderId="0" xfId="0" applyNumberFormat="1" applyFont="1" applyAlignment="1">
      <alignment horizontal="center" vertical="center"/>
    </xf>
    <xf numFmtId="164" fontId="3" fillId="0" borderId="0" xfId="5" applyNumberFormat="1" applyAlignment="1">
      <alignment horizontal="left" vertical="center"/>
    </xf>
    <xf numFmtId="4" fontId="32" fillId="0" borderId="0" xfId="5" applyNumberFormat="1" applyFont="1" applyAlignment="1">
      <alignment vertical="center"/>
    </xf>
    <xf numFmtId="4" fontId="5" fillId="0" borderId="0" xfId="5" applyNumberFormat="1" applyFont="1" applyAlignment="1">
      <alignment vertical="center"/>
    </xf>
    <xf numFmtId="0" fontId="3" fillId="0" borderId="0" xfId="5" applyAlignment="1">
      <alignment horizontal="left" vertical="center"/>
    </xf>
    <xf numFmtId="164" fontId="3" fillId="0" borderId="0" xfId="5" applyNumberFormat="1" applyAlignment="1">
      <alignment vertical="center"/>
    </xf>
    <xf numFmtId="164" fontId="5" fillId="0" borderId="0" xfId="5" applyNumberFormat="1" applyFont="1" applyAlignment="1">
      <alignment horizontal="left" vertical="center"/>
    </xf>
    <xf numFmtId="164" fontId="5" fillId="0" borderId="2" xfId="5" applyNumberFormat="1" applyFont="1" applyBorder="1" applyAlignment="1">
      <alignment vertical="center"/>
    </xf>
    <xf numFmtId="165" fontId="3" fillId="0" borderId="0" xfId="0" applyNumberFormat="1" applyFont="1" applyAlignment="1">
      <alignment horizontal="center" vertical="center"/>
    </xf>
    <xf numFmtId="0" fontId="24" fillId="0" borderId="0" xfId="0" applyFont="1" applyAlignment="1">
      <alignment vertical="center"/>
    </xf>
    <xf numFmtId="44" fontId="3" fillId="0" borderId="0" xfId="2" applyFont="1" applyAlignment="1">
      <alignment horizontal="right" vertical="center"/>
    </xf>
    <xf numFmtId="0" fontId="3" fillId="0" borderId="0" xfId="0" applyFont="1" applyAlignment="1">
      <alignment horizontal="center" vertical="center" wrapText="1"/>
    </xf>
    <xf numFmtId="165" fontId="3" fillId="0" borderId="0" xfId="2" applyNumberFormat="1" applyFont="1" applyAlignment="1">
      <alignment horizontal="center" vertical="center"/>
    </xf>
    <xf numFmtId="0" fontId="3" fillId="0" borderId="0" xfId="0" applyFont="1" applyAlignment="1">
      <alignment horizontal="center" vertical="center"/>
    </xf>
    <xf numFmtId="43" fontId="3" fillId="0" borderId="0" xfId="1" applyFont="1" applyAlignment="1">
      <alignment horizontal="center" vertical="center"/>
    </xf>
    <xf numFmtId="164" fontId="0" fillId="0" borderId="0" xfId="0" applyNumberFormat="1" applyAlignment="1">
      <alignment horizontal="center" vertical="center"/>
    </xf>
    <xf numFmtId="39" fontId="3" fillId="0" borderId="0" xfId="2" applyNumberFormat="1" applyFont="1" applyAlignment="1">
      <alignment vertical="center"/>
    </xf>
    <xf numFmtId="4" fontId="14" fillId="0" borderId="0" xfId="0" applyNumberFormat="1" applyFont="1" applyAlignment="1">
      <alignment vertical="center"/>
    </xf>
    <xf numFmtId="39" fontId="14" fillId="0" borderId="0" xfId="2" applyNumberFormat="1" applyFont="1" applyAlignment="1">
      <alignment horizontal="right" vertical="center"/>
    </xf>
    <xf numFmtId="4" fontId="3" fillId="0" borderId="0" xfId="0" applyNumberFormat="1" applyFont="1" applyAlignment="1">
      <alignment horizontal="right" vertical="center"/>
    </xf>
    <xf numFmtId="49" fontId="3" fillId="0" borderId="0" xfId="0" applyNumberFormat="1" applyFont="1" applyAlignment="1">
      <alignment horizontal="center" vertical="center"/>
    </xf>
    <xf numFmtId="4" fontId="32" fillId="0" borderId="0" xfId="0" applyNumberFormat="1" applyFont="1" applyAlignment="1">
      <alignment horizontal="right" vertical="center"/>
    </xf>
    <xf numFmtId="39" fontId="32" fillId="0" borderId="0" xfId="2" applyNumberFormat="1" applyFont="1" applyAlignment="1">
      <alignment horizontal="right" vertical="center"/>
    </xf>
    <xf numFmtId="49" fontId="0" fillId="0" borderId="0" xfId="0" applyNumberFormat="1" applyAlignment="1">
      <alignment horizontal="center" vertical="center"/>
    </xf>
    <xf numFmtId="4" fontId="1" fillId="0" borderId="0" xfId="2" applyNumberFormat="1" applyFont="1" applyAlignment="1">
      <alignment vertical="center"/>
    </xf>
    <xf numFmtId="0" fontId="0" fillId="0" borderId="0" xfId="0" applyAlignment="1">
      <alignment horizontal="center" vertical="center"/>
    </xf>
    <xf numFmtId="165" fontId="0" fillId="0" borderId="0" xfId="0" applyNumberFormat="1" applyAlignment="1">
      <alignment horizontal="center" vertical="center"/>
    </xf>
    <xf numFmtId="4" fontId="4" fillId="0" borderId="0" xfId="2" applyNumberFormat="1" applyFont="1" applyAlignment="1">
      <alignment vertical="center"/>
    </xf>
    <xf numFmtId="4" fontId="3" fillId="0" borderId="0" xfId="2" applyNumberFormat="1" applyFont="1" applyAlignment="1">
      <alignment vertical="center"/>
    </xf>
    <xf numFmtId="0" fontId="2" fillId="0" borderId="0" xfId="4" applyAlignment="1">
      <alignment vertical="center"/>
    </xf>
    <xf numFmtId="0" fontId="0" fillId="0" borderId="2" xfId="0" applyBorder="1" applyAlignment="1">
      <alignment horizontal="center" vertical="center"/>
    </xf>
    <xf numFmtId="49" fontId="5" fillId="0" borderId="2" xfId="0" applyNumberFormat="1" applyFont="1" applyBorder="1" applyAlignment="1">
      <alignment horizontal="center" vertical="center"/>
    </xf>
    <xf numFmtId="4" fontId="5" fillId="0" borderId="2" xfId="2" applyNumberFormat="1" applyFont="1" applyBorder="1" applyAlignment="1">
      <alignment vertical="center"/>
    </xf>
    <xf numFmtId="0" fontId="5" fillId="0" borderId="2" xfId="0" applyFont="1" applyBorder="1" applyAlignment="1">
      <alignment horizontal="center" vertical="center"/>
    </xf>
    <xf numFmtId="49" fontId="0" fillId="0" borderId="2" xfId="0" applyNumberFormat="1" applyBorder="1" applyAlignment="1">
      <alignment horizontal="center" vertical="center"/>
    </xf>
    <xf numFmtId="164" fontId="0" fillId="0" borderId="2" xfId="0" applyNumberFormat="1" applyBorder="1" applyAlignment="1">
      <alignment horizontal="center" vertical="center"/>
    </xf>
    <xf numFmtId="164" fontId="5" fillId="0" borderId="0" xfId="5" applyNumberFormat="1" applyFont="1" applyAlignment="1">
      <alignment vertical="center"/>
    </xf>
    <xf numFmtId="44" fontId="5" fillId="0" borderId="2" xfId="5" applyNumberFormat="1" applyFont="1" applyBorder="1" applyAlignment="1">
      <alignment vertical="center"/>
    </xf>
    <xf numFmtId="49" fontId="3" fillId="0" borderId="0" xfId="5" applyNumberFormat="1" applyAlignment="1">
      <alignment horizontal="center" vertical="center"/>
    </xf>
    <xf numFmtId="0" fontId="16" fillId="0" borderId="0" xfId="0" applyFont="1" applyAlignment="1">
      <alignment vertical="center"/>
    </xf>
    <xf numFmtId="0" fontId="3" fillId="0" borderId="0" xfId="5" applyAlignment="1">
      <alignment vertical="center"/>
    </xf>
    <xf numFmtId="49" fontId="3" fillId="0" borderId="0" xfId="5" applyNumberFormat="1" applyAlignment="1">
      <alignment horizontal="left" vertical="center"/>
    </xf>
    <xf numFmtId="40" fontId="3" fillId="0" borderId="0" xfId="5" quotePrefix="1" applyNumberFormat="1" applyAlignment="1">
      <alignment vertical="center"/>
    </xf>
    <xf numFmtId="40" fontId="3" fillId="0" borderId="0" xfId="5" applyNumberFormat="1" applyAlignment="1">
      <alignment vertical="center"/>
    </xf>
    <xf numFmtId="40" fontId="3" fillId="0" borderId="0" xfId="5" applyNumberFormat="1" applyAlignment="1">
      <alignment horizontal="center" vertical="center"/>
    </xf>
    <xf numFmtId="0" fontId="5" fillId="0" borderId="0" xfId="5" applyFont="1" applyAlignment="1">
      <alignment vertical="center"/>
    </xf>
    <xf numFmtId="49" fontId="5" fillId="0" borderId="0" xfId="5" applyNumberFormat="1" applyFont="1" applyAlignment="1">
      <alignment vertical="center"/>
    </xf>
    <xf numFmtId="0" fontId="5" fillId="0" borderId="2" xfId="5" applyFont="1" applyBorder="1" applyAlignment="1">
      <alignment vertical="center"/>
    </xf>
    <xf numFmtId="40" fontId="5" fillId="0" borderId="2" xfId="5" applyNumberFormat="1" applyFont="1" applyBorder="1" applyAlignment="1">
      <alignment vertical="center"/>
    </xf>
    <xf numFmtId="164" fontId="22" fillId="0" borderId="0" xfId="5" applyNumberFormat="1" applyFont="1" applyAlignment="1">
      <alignment vertical="center"/>
    </xf>
    <xf numFmtId="40" fontId="5" fillId="0" borderId="0" xfId="5" applyNumberFormat="1" applyFont="1" applyAlignment="1">
      <alignment vertical="center"/>
    </xf>
    <xf numFmtId="0" fontId="5" fillId="0" borderId="0" xfId="4" applyFont="1" applyAlignment="1">
      <alignment vertical="center"/>
    </xf>
    <xf numFmtId="0" fontId="3" fillId="0" borderId="0" xfId="4" applyFont="1" applyAlignment="1">
      <alignment vertical="center"/>
    </xf>
    <xf numFmtId="0" fontId="3" fillId="0" borderId="0" xfId="4" applyFont="1" applyAlignment="1">
      <alignment horizontal="center" vertical="center"/>
    </xf>
    <xf numFmtId="4" fontId="3" fillId="0" borderId="0" xfId="4" applyNumberFormat="1" applyFont="1" applyAlignment="1">
      <alignment horizontal="center" vertical="center"/>
    </xf>
    <xf numFmtId="40" fontId="3" fillId="0" borderId="0" xfId="4" applyNumberFormat="1" applyFont="1" applyAlignment="1">
      <alignment vertical="center"/>
    </xf>
    <xf numFmtId="40" fontId="3" fillId="0" borderId="0" xfId="4" applyNumberFormat="1" applyFont="1" applyAlignment="1">
      <alignment horizontal="center" vertical="center"/>
    </xf>
    <xf numFmtId="44" fontId="32" fillId="0" borderId="0" xfId="2" applyFont="1" applyAlignment="1">
      <alignment vertical="center"/>
    </xf>
    <xf numFmtId="0" fontId="20" fillId="0" borderId="0" xfId="4" applyFont="1" applyAlignment="1">
      <alignment vertical="center"/>
    </xf>
    <xf numFmtId="49" fontId="22" fillId="0" borderId="0" xfId="5" applyNumberFormat="1" applyFont="1" applyAlignment="1">
      <alignment vertical="center"/>
    </xf>
    <xf numFmtId="164" fontId="22" fillId="0" borderId="0" xfId="5" applyNumberFormat="1" applyFont="1" applyAlignment="1">
      <alignment horizontal="center" vertical="center"/>
    </xf>
    <xf numFmtId="4" fontId="22" fillId="0" borderId="0" xfId="5" applyNumberFormat="1" applyFont="1" applyAlignment="1">
      <alignment horizontal="left" vertical="center"/>
    </xf>
    <xf numFmtId="40" fontId="20" fillId="0" borderId="0" xfId="5" applyNumberFormat="1" applyFont="1" applyAlignment="1">
      <alignment horizontal="center" vertical="center"/>
    </xf>
    <xf numFmtId="4" fontId="22" fillId="0" borderId="0" xfId="5" applyNumberFormat="1" applyFont="1" applyAlignment="1">
      <alignment horizontal="center" vertical="center"/>
    </xf>
    <xf numFmtId="4" fontId="22" fillId="0" borderId="0" xfId="5" applyNumberFormat="1" applyFont="1" applyAlignment="1">
      <alignment vertical="center"/>
    </xf>
    <xf numFmtId="0" fontId="22" fillId="0" borderId="0" xfId="5" applyFont="1" applyAlignment="1">
      <alignment vertical="center"/>
    </xf>
    <xf numFmtId="0" fontId="41" fillId="0" borderId="0" xfId="0" applyFont="1" applyAlignment="1">
      <alignment vertical="center"/>
    </xf>
    <xf numFmtId="164" fontId="22" fillId="0" borderId="0" xfId="0" applyNumberFormat="1" applyFont="1" applyAlignment="1">
      <alignment horizontal="center" vertical="center"/>
    </xf>
    <xf numFmtId="164" fontId="22" fillId="0" borderId="0" xfId="5" applyNumberFormat="1" applyFont="1" applyAlignment="1">
      <alignment horizontal="left" vertical="center"/>
    </xf>
    <xf numFmtId="4" fontId="20" fillId="0" borderId="0" xfId="5" applyNumberFormat="1" applyFont="1" applyAlignment="1">
      <alignment vertical="center"/>
    </xf>
    <xf numFmtId="0" fontId="22" fillId="0" borderId="0" xfId="5" applyFont="1" applyAlignment="1">
      <alignment horizontal="left" vertical="center"/>
    </xf>
    <xf numFmtId="164" fontId="20" fillId="0" borderId="0" xfId="5" applyNumberFormat="1" applyFont="1" applyAlignment="1">
      <alignment horizontal="left" vertical="center"/>
    </xf>
    <xf numFmtId="164" fontId="20" fillId="0" borderId="2" xfId="5" applyNumberFormat="1" applyFont="1" applyBorder="1" applyAlignment="1">
      <alignment vertical="center"/>
    </xf>
    <xf numFmtId="44" fontId="20" fillId="0" borderId="2" xfId="2" applyFont="1" applyBorder="1" applyAlignment="1">
      <alignment vertical="center"/>
    </xf>
    <xf numFmtId="0" fontId="20" fillId="0" borderId="0" xfId="5" applyFont="1" applyAlignment="1">
      <alignment vertical="center"/>
    </xf>
    <xf numFmtId="44" fontId="20" fillId="0" borderId="0" xfId="2" applyFont="1" applyBorder="1" applyAlignment="1">
      <alignment vertical="center"/>
    </xf>
    <xf numFmtId="164" fontId="20" fillId="0" borderId="0" xfId="5" applyNumberFormat="1" applyFont="1" applyAlignment="1">
      <alignment vertical="center"/>
    </xf>
    <xf numFmtId="44" fontId="20" fillId="0" borderId="2" xfId="5" applyNumberFormat="1" applyFont="1" applyBorder="1" applyAlignment="1">
      <alignment vertical="center"/>
    </xf>
    <xf numFmtId="0" fontId="3" fillId="0" borderId="0" xfId="5" applyAlignment="1">
      <alignment horizontal="center"/>
    </xf>
    <xf numFmtId="0" fontId="3" fillId="0" borderId="0" xfId="0" applyFont="1" applyAlignment="1">
      <alignment vertical="center"/>
    </xf>
    <xf numFmtId="0" fontId="3" fillId="0" borderId="0" xfId="5" applyAlignment="1">
      <alignment horizontal="center" vertical="center"/>
    </xf>
    <xf numFmtId="1" fontId="3" fillId="0" borderId="0" xfId="5" applyNumberFormat="1" applyAlignment="1">
      <alignment horizontal="center" vertical="center"/>
    </xf>
    <xf numFmtId="44" fontId="32" fillId="0" borderId="0" xfId="5" applyNumberFormat="1" applyFont="1" applyAlignment="1">
      <alignment horizontal="center" vertical="center"/>
    </xf>
    <xf numFmtId="2" fontId="3" fillId="0" borderId="0" xfId="0" applyNumberFormat="1" applyFont="1" applyAlignment="1">
      <alignment horizontal="center" vertical="center" wrapText="1"/>
    </xf>
    <xf numFmtId="40" fontId="3" fillId="0" borderId="0" xfId="5" applyNumberFormat="1" applyAlignment="1">
      <alignment horizontal="left" vertical="center"/>
    </xf>
    <xf numFmtId="40" fontId="32" fillId="0" borderId="0" xfId="5" applyNumberFormat="1" applyFont="1" applyAlignment="1">
      <alignment vertical="center"/>
    </xf>
    <xf numFmtId="0" fontId="38" fillId="0" borderId="0" xfId="5" applyFont="1" applyAlignment="1">
      <alignment vertical="center"/>
    </xf>
    <xf numFmtId="43" fontId="32" fillId="0" borderId="0" xfId="2" applyNumberFormat="1" applyFont="1" applyAlignment="1">
      <alignment vertical="center"/>
    </xf>
    <xf numFmtId="44" fontId="5" fillId="0" borderId="0" xfId="5" applyNumberFormat="1" applyFont="1" applyAlignment="1">
      <alignment vertical="center"/>
    </xf>
    <xf numFmtId="4" fontId="30" fillId="0" borderId="0" xfId="5" applyNumberFormat="1" applyFont="1"/>
    <xf numFmtId="4" fontId="38" fillId="0" borderId="0" xfId="5" applyNumberFormat="1" applyFont="1" applyAlignment="1">
      <alignment vertical="center"/>
    </xf>
    <xf numFmtId="2" fontId="20" fillId="0" borderId="0" xfId="5" applyNumberFormat="1" applyFont="1" applyAlignment="1">
      <alignment vertical="center"/>
    </xf>
    <xf numFmtId="4" fontId="32" fillId="0" borderId="0" xfId="5" applyNumberFormat="1" applyFont="1" applyAlignment="1">
      <alignment horizontal="right"/>
    </xf>
    <xf numFmtId="44" fontId="5" fillId="0" borderId="0" xfId="5" applyNumberFormat="1" applyFont="1"/>
    <xf numFmtId="43" fontId="32" fillId="0" borderId="0" xfId="5" applyNumberFormat="1" applyFont="1" applyAlignment="1">
      <alignment horizontal="center" vertical="center"/>
    </xf>
    <xf numFmtId="43" fontId="32" fillId="0" borderId="0" xfId="5" applyNumberFormat="1" applyFont="1" applyAlignment="1">
      <alignment horizontal="right"/>
    </xf>
    <xf numFmtId="4" fontId="20" fillId="0" borderId="0" xfId="5" applyNumberFormat="1" applyFont="1" applyAlignment="1">
      <alignment horizontal="center" vertical="center"/>
    </xf>
    <xf numFmtId="164" fontId="22" fillId="0" borderId="0" xfId="5" applyNumberFormat="1" applyFont="1" applyAlignment="1">
      <alignment vertical="center" wrapText="1"/>
    </xf>
    <xf numFmtId="44" fontId="20" fillId="0" borderId="0" xfId="2" applyFont="1" applyAlignment="1">
      <alignment vertical="center"/>
    </xf>
    <xf numFmtId="40" fontId="20" fillId="0" borderId="0" xfId="5" applyNumberFormat="1" applyFont="1" applyAlignment="1">
      <alignment vertical="center"/>
    </xf>
    <xf numFmtId="164" fontId="49" fillId="0" borderId="0" xfId="7" applyNumberFormat="1" applyFont="1" applyAlignment="1">
      <alignment vertical="center"/>
    </xf>
    <xf numFmtId="0" fontId="47" fillId="0" borderId="0" xfId="0" applyFont="1" applyAlignment="1">
      <alignment vertical="center"/>
    </xf>
    <xf numFmtId="0" fontId="50" fillId="0" borderId="0" xfId="0" applyFont="1"/>
    <xf numFmtId="0" fontId="22" fillId="0" borderId="0" xfId="4" applyFont="1" applyAlignment="1">
      <alignment vertical="center"/>
    </xf>
    <xf numFmtId="0" fontId="22" fillId="0" borderId="0" xfId="4" applyFont="1" applyAlignment="1">
      <alignment horizontal="center" vertical="center"/>
    </xf>
    <xf numFmtId="4" fontId="22" fillId="0" borderId="0" xfId="4" applyNumberFormat="1" applyFont="1" applyAlignment="1">
      <alignment horizontal="center" vertical="center"/>
    </xf>
    <xf numFmtId="40" fontId="22" fillId="0" borderId="0" xfId="4" applyNumberFormat="1" applyFont="1" applyAlignment="1">
      <alignment vertical="center"/>
    </xf>
    <xf numFmtId="40" fontId="22" fillId="0" borderId="0" xfId="4" applyNumberFormat="1" applyFont="1" applyAlignment="1">
      <alignment horizontal="center" vertical="center"/>
    </xf>
    <xf numFmtId="40" fontId="22" fillId="0" borderId="0" xfId="5" applyNumberFormat="1" applyFont="1" applyAlignment="1">
      <alignment horizontal="center" vertical="center"/>
    </xf>
    <xf numFmtId="49" fontId="22" fillId="0" borderId="0" xfId="5" applyNumberFormat="1" applyFont="1" applyAlignment="1">
      <alignment horizontal="center" vertical="center"/>
    </xf>
    <xf numFmtId="40" fontId="22" fillId="0" borderId="0" xfId="5" quotePrefix="1" applyNumberFormat="1" applyFont="1" applyAlignment="1">
      <alignment vertical="center"/>
    </xf>
    <xf numFmtId="40" fontId="22" fillId="0" borderId="0" xfId="5" applyNumberFormat="1" applyFont="1" applyAlignment="1">
      <alignment vertical="center"/>
    </xf>
    <xf numFmtId="49" fontId="22" fillId="0" borderId="0" xfId="5" applyNumberFormat="1" applyFont="1" applyAlignment="1">
      <alignment horizontal="left" vertical="center"/>
    </xf>
    <xf numFmtId="40" fontId="22" fillId="0" borderId="0" xfId="5" applyNumberFormat="1" applyFont="1" applyAlignment="1">
      <alignment horizontal="left" vertical="center"/>
    </xf>
    <xf numFmtId="49" fontId="20" fillId="0" borderId="0" xfId="5" applyNumberFormat="1" applyFont="1" applyAlignment="1">
      <alignment vertical="center"/>
    </xf>
    <xf numFmtId="0" fontId="20" fillId="0" borderId="2" xfId="5" applyFont="1" applyBorder="1" applyAlignment="1">
      <alignment vertical="center"/>
    </xf>
    <xf numFmtId="40" fontId="20" fillId="0" borderId="2" xfId="5" applyNumberFormat="1" applyFont="1" applyBorder="1" applyAlignment="1">
      <alignment vertical="center"/>
    </xf>
    <xf numFmtId="0" fontId="22" fillId="0" borderId="0" xfId="5" applyFont="1" applyAlignment="1">
      <alignment horizontal="center"/>
    </xf>
    <xf numFmtId="0" fontId="22" fillId="0" borderId="0" xfId="0" applyFont="1" applyAlignment="1">
      <alignment vertical="center"/>
    </xf>
    <xf numFmtId="165" fontId="22" fillId="0" borderId="0" xfId="0" applyNumberFormat="1" applyFont="1" applyAlignment="1">
      <alignment horizontal="center" vertical="center"/>
    </xf>
    <xf numFmtId="44" fontId="22" fillId="0" borderId="0" xfId="2" applyFont="1" applyAlignment="1">
      <alignment horizontal="right" vertical="center"/>
    </xf>
    <xf numFmtId="0" fontId="22" fillId="0" borderId="0" xfId="0" applyFont="1" applyAlignment="1">
      <alignment horizontal="center" vertical="center" wrapText="1"/>
    </xf>
    <xf numFmtId="165" fontId="22" fillId="0" borderId="0" xfId="2" applyNumberFormat="1" applyFont="1" applyAlignment="1">
      <alignment horizontal="center" vertical="center"/>
    </xf>
    <xf numFmtId="0" fontId="22" fillId="0" borderId="0" xfId="0" applyFont="1" applyAlignment="1">
      <alignment horizontal="center" vertical="center"/>
    </xf>
    <xf numFmtId="166" fontId="20" fillId="0" borderId="0" xfId="1" applyNumberFormat="1" applyFont="1" applyAlignment="1">
      <alignment horizontal="center" vertical="center"/>
    </xf>
    <xf numFmtId="164" fontId="41" fillId="0" borderId="0" xfId="0" applyNumberFormat="1" applyFont="1" applyAlignment="1">
      <alignment horizontal="center" vertical="center"/>
    </xf>
    <xf numFmtId="39" fontId="22" fillId="0" borderId="0" xfId="2" applyNumberFormat="1" applyFont="1" applyAlignment="1">
      <alignment vertical="center"/>
    </xf>
    <xf numFmtId="4" fontId="20" fillId="0" borderId="0" xfId="0" applyNumberFormat="1" applyFont="1" applyAlignment="1">
      <alignment vertical="center"/>
    </xf>
    <xf numFmtId="39" fontId="20" fillId="0" borderId="0" xfId="2" applyNumberFormat="1" applyFont="1" applyAlignment="1">
      <alignment horizontal="right" vertical="center"/>
    </xf>
    <xf numFmtId="4" fontId="22" fillId="0" borderId="0" xfId="0" applyNumberFormat="1" applyFont="1" applyAlignment="1">
      <alignment horizontal="right" vertical="center"/>
    </xf>
    <xf numFmtId="49" fontId="22" fillId="0" borderId="0" xfId="0" applyNumberFormat="1" applyFont="1" applyAlignment="1">
      <alignment horizontal="center" vertical="center"/>
    </xf>
    <xf numFmtId="4" fontId="20" fillId="0" borderId="0" xfId="0" applyNumberFormat="1" applyFont="1" applyAlignment="1">
      <alignment horizontal="right" vertical="center"/>
    </xf>
    <xf numFmtId="49" fontId="41" fillId="0" borderId="0" xfId="0" applyNumberFormat="1" applyFont="1" applyAlignment="1">
      <alignment horizontal="center" vertical="center"/>
    </xf>
    <xf numFmtId="4" fontId="41" fillId="0" borderId="0" xfId="2" applyNumberFormat="1" applyFont="1" applyAlignment="1">
      <alignment vertical="center"/>
    </xf>
    <xf numFmtId="0" fontId="41" fillId="0" borderId="0" xfId="0" applyFont="1" applyAlignment="1">
      <alignment horizontal="center" vertical="center"/>
    </xf>
    <xf numFmtId="165" fontId="41" fillId="0" borderId="0" xfId="0" applyNumberFormat="1" applyFont="1" applyAlignment="1">
      <alignment horizontal="center" vertical="center"/>
    </xf>
    <xf numFmtId="4" fontId="20" fillId="0" borderId="0" xfId="2" applyNumberFormat="1" applyFont="1" applyAlignment="1">
      <alignment vertical="center"/>
    </xf>
    <xf numFmtId="4" fontId="22" fillId="0" borderId="0" xfId="2" applyNumberFormat="1" applyFont="1" applyAlignment="1">
      <alignment vertical="center"/>
    </xf>
    <xf numFmtId="0" fontId="43" fillId="0" borderId="0" xfId="4" applyFont="1" applyAlignment="1">
      <alignment vertical="center"/>
    </xf>
    <xf numFmtId="0" fontId="41" fillId="0" borderId="2" xfId="0" applyFont="1" applyBorder="1" applyAlignment="1">
      <alignment horizontal="center" vertical="center"/>
    </xf>
    <xf numFmtId="49" fontId="20" fillId="0" borderId="2" xfId="0" applyNumberFormat="1" applyFont="1" applyBorder="1" applyAlignment="1">
      <alignment horizontal="center" vertical="center"/>
    </xf>
    <xf numFmtId="4" fontId="20" fillId="0" borderId="2" xfId="2" applyNumberFormat="1" applyFont="1" applyBorder="1" applyAlignment="1">
      <alignment vertical="center"/>
    </xf>
    <xf numFmtId="0" fontId="20" fillId="0" borderId="2" xfId="0" applyFont="1" applyBorder="1" applyAlignment="1">
      <alignment horizontal="center" vertical="center"/>
    </xf>
    <xf numFmtId="49" fontId="41" fillId="0" borderId="2" xfId="0" applyNumberFormat="1" applyFont="1" applyBorder="1" applyAlignment="1">
      <alignment horizontal="center" vertical="center"/>
    </xf>
    <xf numFmtId="164" fontId="41" fillId="0" borderId="2" xfId="0" applyNumberFormat="1" applyFont="1" applyBorder="1" applyAlignment="1">
      <alignment horizontal="center" vertical="center"/>
    </xf>
    <xf numFmtId="40" fontId="32" fillId="0" borderId="0" xfId="5" applyNumberFormat="1" applyFont="1" applyAlignment="1">
      <alignment horizontal="right" vertical="center"/>
    </xf>
    <xf numFmtId="4" fontId="32" fillId="0" borderId="0" xfId="2" applyNumberFormat="1" applyFont="1" applyAlignment="1">
      <alignment vertical="center"/>
    </xf>
    <xf numFmtId="44" fontId="20" fillId="0" borderId="0" xfId="5" applyNumberFormat="1" applyFont="1" applyAlignment="1">
      <alignment vertical="center"/>
    </xf>
    <xf numFmtId="43" fontId="32" fillId="0" borderId="0" xfId="2" applyNumberFormat="1" applyFont="1" applyAlignment="1"/>
    <xf numFmtId="164" fontId="49" fillId="0" borderId="0" xfId="7" applyNumberFormat="1" applyFont="1" applyBorder="1" applyAlignment="1">
      <alignment vertical="center"/>
    </xf>
    <xf numFmtId="40" fontId="5" fillId="0" borderId="2" xfId="2" applyNumberFormat="1" applyFont="1" applyBorder="1" applyAlignment="1">
      <alignment vertical="center"/>
    </xf>
    <xf numFmtId="1" fontId="22" fillId="0" borderId="0" xfId="5" applyNumberFormat="1" applyFont="1" applyAlignment="1">
      <alignment horizontal="center" vertical="center"/>
    </xf>
    <xf numFmtId="40" fontId="14" fillId="0" borderId="0" xfId="0" applyNumberFormat="1" applyFont="1" applyAlignment="1">
      <alignment vertical="center"/>
    </xf>
    <xf numFmtId="0" fontId="22" fillId="0" borderId="0" xfId="5" applyFont="1" applyAlignment="1">
      <alignment horizontal="center" vertical="center"/>
    </xf>
    <xf numFmtId="44" fontId="20" fillId="0" borderId="0" xfId="5" applyNumberFormat="1" applyFont="1" applyAlignment="1">
      <alignment horizontal="center" vertical="center"/>
    </xf>
    <xf numFmtId="40" fontId="20" fillId="0" borderId="0" xfId="1" applyNumberFormat="1" applyFont="1" applyAlignment="1">
      <alignment horizontal="center" vertical="center"/>
    </xf>
    <xf numFmtId="44" fontId="0" fillId="0" borderId="0" xfId="0" applyNumberFormat="1" applyAlignment="1">
      <alignment vertical="center"/>
    </xf>
    <xf numFmtId="40" fontId="5" fillId="0" borderId="0" xfId="5" applyNumberFormat="1" applyFont="1" applyAlignment="1">
      <alignment horizontal="center" vertical="center"/>
    </xf>
    <xf numFmtId="49" fontId="16" fillId="5" borderId="11" xfId="0" applyNumberFormat="1" applyFont="1" applyFill="1" applyBorder="1" applyAlignment="1">
      <alignment horizontal="center"/>
    </xf>
    <xf numFmtId="0" fontId="47" fillId="0" borderId="0" xfId="0" applyFont="1" applyAlignment="1">
      <alignment horizontal="right" vertical="center"/>
    </xf>
    <xf numFmtId="164" fontId="41" fillId="0" borderId="0" xfId="7" applyNumberFormat="1" applyFont="1" applyAlignment="1">
      <alignment vertical="center"/>
    </xf>
    <xf numFmtId="0" fontId="50" fillId="0" borderId="0" xfId="0" applyFont="1" applyAlignment="1">
      <alignment vertical="center"/>
    </xf>
    <xf numFmtId="164" fontId="41" fillId="0" borderId="0" xfId="7" applyNumberFormat="1" applyFont="1" applyBorder="1" applyAlignment="1">
      <alignment vertical="center"/>
    </xf>
    <xf numFmtId="39" fontId="20" fillId="0" borderId="0" xfId="1" applyNumberFormat="1" applyFont="1" applyAlignment="1">
      <alignment horizontal="center" vertical="center"/>
    </xf>
    <xf numFmtId="0" fontId="47" fillId="0" borderId="0" xfId="0" applyFont="1" applyAlignment="1">
      <alignment horizontal="right"/>
    </xf>
    <xf numFmtId="14" fontId="5" fillId="0" borderId="0" xfId="4" applyNumberFormat="1" applyFont="1"/>
    <xf numFmtId="14" fontId="20" fillId="0" borderId="0" xfId="4" applyNumberFormat="1" applyFont="1"/>
    <xf numFmtId="43" fontId="20" fillId="0" borderId="0" xfId="2" applyNumberFormat="1" applyFont="1" applyAlignment="1">
      <alignment vertical="center"/>
    </xf>
    <xf numFmtId="40" fontId="20" fillId="0" borderId="0" xfId="0" applyNumberFormat="1" applyFont="1" applyAlignment="1">
      <alignment vertical="center"/>
    </xf>
    <xf numFmtId="43" fontId="0" fillId="0" borderId="0" xfId="0" applyNumberFormat="1"/>
    <xf numFmtId="40" fontId="0" fillId="0" borderId="0" xfId="0" applyNumberFormat="1"/>
  </cellXfs>
  <cellStyles count="8">
    <cellStyle name="Comma" xfId="1" builtinId="3"/>
    <cellStyle name="Currency" xfId="2" builtinId="4"/>
    <cellStyle name="Currency 2" xfId="6" xr:uid="{63B4C8F2-C09F-40C1-AE44-FC7453732B0E}"/>
    <cellStyle name="Hyperlink" xfId="7" builtinId="8"/>
    <cellStyle name="Normal" xfId="0" builtinId="0"/>
    <cellStyle name="Normal 2" xfId="5" xr:uid="{07E64D65-3A56-4FA2-B0C8-08C273F08C98}"/>
    <cellStyle name="Normal_CLARINDA" xfId="3" xr:uid="{00000000-0005-0000-0000-000003000000}"/>
    <cellStyle name="Normal_LUCAS REMODEL FOR Dept of Comm." xfId="4" xr:uid="{00000000-0005-0000-0000-000004000000}"/>
  </cellStyles>
  <dxfs count="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externalLink" Target="externalLinks/externalLink1.xml"/><Relationship Id="rId16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microsoft.com/office/2017/10/relationships/person" Target="persons/perso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externalLink" Target="externalLinks/externalLink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styles" Target="style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OU%20Project%20Improvements%20(DA25)%200506/MOU%20Project%20Improvements%20DA25.xlsx" TargetMode="External"/><Relationship Id="rId2" Type="http://schemas.openxmlformats.org/officeDocument/2006/relationships/externalLinkPath" Target="file:///N:\DAS%20Shared%20Perm\GSE%20Infrastructure\MOU%20Project%20Improvements%20(DA25)%200506\MOU%20Project%20Improvements%20DA25.xlsx" TargetMode="External"/><Relationship Id="rId1" Type="http://schemas.openxmlformats.org/officeDocument/2006/relationships/externalLinkPath" Target="/DAS%20Shared%20Perm/GSE%20Infrastructure/MOU%20Project%20Improvements%20(DA25)%200506/MOU%20Project%20Improvements%20DA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MM%20FY23%200017-MM23/Major%20Maintenance%20FY23%20MM23.xls" TargetMode="External"/><Relationship Id="rId2" Type="http://schemas.openxmlformats.org/officeDocument/2006/relationships/externalLinkPath" Target="file:///N:\DAS%20Shared%20Perm\GSE%20Infrastructure\MM%20FY23%200017-MM23\Major%20Maintenance%20FY23%20MM23.xls" TargetMode="External"/><Relationship Id="rId1" Type="http://schemas.openxmlformats.org/officeDocument/2006/relationships/externalLinkPath" Target="/DAS%20Shared%20Perm/GSE%20Infrastructure/MM%20FY23%200017-MM23/Major%20Maintenance%20FY23%20MM23.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MM%20FY24%200017-MM24/Major%20Maintenance%20FY24%20MM24.xls" TargetMode="External"/><Relationship Id="rId2" Type="http://schemas.openxmlformats.org/officeDocument/2006/relationships/externalLinkPath" Target="file:///N:\DAS%20Shared%20Perm\GSE%20Infrastructure\MM%20FY24%200017-MM24\Major%20Maintenance%20FY24%20MM24.xls" TargetMode="External"/><Relationship Id="rId1" Type="http://schemas.openxmlformats.org/officeDocument/2006/relationships/externalLinkPath" Target="/DAS%20Shared%20Perm/GSE%20Infrastructure/MM%20FY24%200017-MM24/Major%20Maintenance%20FY24%20MM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INANCIAL"/>
      <sheetName val="RECAP #9239.02"/>
      <sheetName val="#9239.02 Funds Recv'd"/>
      <sheetName val="#9239.02 Samuels Group"/>
      <sheetName val="#9239.02 PM TIME "/>
      <sheetName val="#9239.02 Misc"/>
      <sheetName val="#9239.02 FarnsworthGroup"/>
      <sheetName val="#9239.02 FarnsworthGroup (2)"/>
      <sheetName val="#9239.02 Samuels Group (2)"/>
      <sheetName val="#9239.02 Accurate Commercial"/>
      <sheetName val="#9239.02 Proctor Mechanical"/>
      <sheetName val="#9239.02 Con-Struct Inc"/>
      <sheetName val="#9239.02 Samuels Group (3)"/>
      <sheetName val="#9239.02 Terracon Consultants"/>
      <sheetName val="#9239.02 Interstate Power"/>
      <sheetName val="RECAP #9239.03"/>
      <sheetName val="#9239.03 Funds Rec'd "/>
      <sheetName val="#9239.03 Farnsworth Group"/>
      <sheetName val="#9239.03 PM TIME "/>
      <sheetName val="#9239.03 Misc "/>
      <sheetName val="#9239.03 Samuels Group"/>
      <sheetName val="#9239.03 Proctor Mechanical"/>
      <sheetName val="#9239.03 Con-Struct Inc"/>
      <sheetName val="#9239.03 Samuels Group (2)"/>
      <sheetName val="#9239.03 Terracon Consultants"/>
      <sheetName val="RECAP #9279.40"/>
      <sheetName val="#9279.40 Funds Rec'd "/>
      <sheetName val="#9279.40 Shive Hattery"/>
      <sheetName val="#9279.40 PM TIME "/>
      <sheetName val="#9279.40 Misc"/>
      <sheetName val="#9279.40 Story Construction"/>
      <sheetName val="#9279.40 ATC Group Services"/>
      <sheetName val="#9279.40 Shive Hattery (2)"/>
      <sheetName val="#9279.40 SystemWorks"/>
      <sheetName val="#9279.40 ATC Group Services (2)"/>
      <sheetName val="#9279.40 Shive Hattery (3)"/>
      <sheetName val="#9279.40 Shive Hattery (4)"/>
      <sheetName val="#9279.40 ATC Group Services (3)"/>
      <sheetName val="#9279.40 Story Construction (2)"/>
      <sheetName val="#9279.40 Advanced Environmental"/>
      <sheetName val="#9279.40 VanMaanen Electric"/>
      <sheetName val="#9279.40 Pleva Plumbing"/>
      <sheetName val="#9279.40 SystemWorks (2)"/>
      <sheetName val="#9279.40 Kline Electrical"/>
      <sheetName val="#9279.40 Shive Hattery (5)"/>
      <sheetName val="#9279.40 Story Construction (3)"/>
      <sheetName val="#9279.40 ATC Group Services (4)"/>
      <sheetName val="#9279.40 ATC Group Services (5)"/>
      <sheetName val="#9279.40 Controlled Asbestos"/>
      <sheetName val="#9279.40 Story Construction (4)"/>
      <sheetName val="#9279.40 VanMaanen Electric (2)"/>
      <sheetName val="#9279.40 Controlled Asbesto (2)"/>
      <sheetName val="#9279.40 Story Construction (5)"/>
      <sheetName val="#9279.40 Brockway Mechanical"/>
      <sheetName val="RECAP #9279.41"/>
      <sheetName val="#9279.41 Funds Rec'd "/>
      <sheetName val="#9279.41 Shive Hattery"/>
      <sheetName val="#9279.41 PM TIME"/>
      <sheetName val="#9279.41 Misc"/>
      <sheetName val="#9279.41 Story Construction"/>
      <sheetName val="#9279.41 Elte Fire Sprinkler "/>
      <sheetName val="#9279.41 Story Construction (2)"/>
      <sheetName val="#9279.41 Breiholz Construction"/>
      <sheetName val="#9279.41 VanMaanen"/>
      <sheetName val="RECAP #9294.00"/>
      <sheetName val="#9294.00 Funds Recv'd "/>
      <sheetName val="#9294.00 Van Maanen"/>
      <sheetName val="#9294.00 PM TIME "/>
      <sheetName val="#9294.00 Misc"/>
      <sheetName val="RECAP #9358.01"/>
      <sheetName val="#9358.01 Funds Recv'd"/>
      <sheetName val="#9358.01 Commonwealth Electric"/>
      <sheetName val="#9358.01 PM TIME"/>
      <sheetName val="#9358.01 Misc"/>
      <sheetName val="#9358.01 Central IA Mechanical"/>
      <sheetName val="#9358.01 DCI Group"/>
      <sheetName val="RECAP #9360.01"/>
      <sheetName val="#9360.01 Funds Recv'd"/>
      <sheetName val="#9360.01 Air-Con Electric"/>
      <sheetName val="#9360.01 PM TIME"/>
      <sheetName val="#9360.01 Misc"/>
      <sheetName val="#9360.01 McGough Construction"/>
      <sheetName val="#9360.01 McGough Constr (2)"/>
      <sheetName val="#9360.01 KCL Engineering"/>
      <sheetName val="RECAP #9366.00"/>
      <sheetName val="#9366.00 Funds Rec'd"/>
      <sheetName val="#9366.00 Jensen Builders"/>
      <sheetName val="#9366.00 PM TIME"/>
      <sheetName val="#9366.00 Misc"/>
      <sheetName val="RECAP #9424.00"/>
      <sheetName val="#9424.00 Funds Rec'd  "/>
      <sheetName val="#9424.00 IMEG Corporation"/>
      <sheetName val="#9424.00 PM TIME "/>
      <sheetName val="#9424.00 Misc"/>
      <sheetName val="#9424.00 McGough Construction"/>
      <sheetName val="#9424.00 K&amp;W Electric"/>
      <sheetName val="RECAP #9425.01"/>
      <sheetName val="#9425.01 Funds Recv'd "/>
      <sheetName val="#9425.01 McGough Construction"/>
      <sheetName val="#9425.01 PM TIME "/>
      <sheetName val="#9425.01 Misc "/>
      <sheetName val="#9425.01 ATC Group"/>
      <sheetName val="#9425.01 JamcoAbatement Service"/>
      <sheetName val="#9425.01 McGough Constructi (2)"/>
      <sheetName val="RECAP #9429.00 "/>
      <sheetName val="#9429.00 Funds Recv'd"/>
      <sheetName val="#9429.00 OPN Architects"/>
      <sheetName val="#9429.00 PM TIME"/>
      <sheetName val="#9429.00 Misc"/>
      <sheetName val="#9429.00 OPN Architects (2)"/>
      <sheetName val="#9429.00 Weitz Company"/>
      <sheetName val="#9429.00 Terracon Consultants"/>
      <sheetName val="#9429.00 Terracon Consultan (2)"/>
      <sheetName val="#9429.00 Jaeger Corporation "/>
      <sheetName val="#9429.00 SystemWorks"/>
      <sheetName val="#9429.00 OPN Architects (3)"/>
      <sheetName val="#9429.00 Core Construction"/>
      <sheetName val="#9429.00 Core Construction (2)"/>
      <sheetName val="#9429.00 Seedorff Masonry"/>
      <sheetName val="#9429.00 US Erectors"/>
      <sheetName val="#9429.00 Breiholz Construction"/>
      <sheetName val="#9429.00 Bailey Roofing"/>
      <sheetName val="#9429.00 Elite Glass and Metal"/>
      <sheetName val="#9429.00 VanMaanen Electric"/>
      <sheetName val="#9429.00 SGH Concepts"/>
      <sheetName val="#9429.00 Veit &amp; Company"/>
      <sheetName val="#9429.00 Grazzini Brothers"/>
      <sheetName val="#9429.00 JF Ahern"/>
      <sheetName val="#9429.00 Andersen Construction "/>
      <sheetName val="#9429.00 Conference Technologie"/>
      <sheetName val="#9429.00 Weitz Company (2)"/>
      <sheetName val="#9429.00 Terracon Consultants 3"/>
      <sheetName val="#9429.00 All Makes-Furniture"/>
      <sheetName val="#9429.00 MidAmerican Energy"/>
      <sheetName val="RECAP #9433.00"/>
      <sheetName val="#9433.00 Funds Recv'd "/>
      <sheetName val="#9433.00 Story Construction"/>
      <sheetName val="#9433.00 PM TIME "/>
      <sheetName val="#9433.00 Misc"/>
      <sheetName val="#9433.00 Genesis Architectural"/>
      <sheetName val="#9433.00 Falke Construction"/>
      <sheetName val="#9433.00 Story Construction (2)"/>
      <sheetName val="RECAP #9466.00"/>
      <sheetName val="#9466.00 Funds Rec'd "/>
      <sheetName val="#9466.00 Boyd Jones"/>
      <sheetName val="#9466.00 PM TIME"/>
      <sheetName val="#9466.00 Misc "/>
      <sheetName val="#9466.00 KCL Engineering"/>
      <sheetName val="#9466.00 Thompson Solutions"/>
      <sheetName val="#9466.00 Boyd Jones (2)"/>
      <sheetName val="RECAP #9467.00"/>
      <sheetName val="#9467.00 Funds Rec'd"/>
      <sheetName val="#9467.00 Vendor A"/>
      <sheetName val="#9467.00 PM TIME"/>
      <sheetName val="#9467.00 Misc"/>
      <sheetName val="RECAP #9468.00"/>
      <sheetName val="#9468.00 Funds Rec'd "/>
      <sheetName val="#9468.00 Vendor A "/>
      <sheetName val="#9468.00 PM TIME "/>
      <sheetName val="#9468.00 Misc "/>
      <sheetName val="RECAP #9470.00"/>
      <sheetName val="#9470.00 Funds Rec'd"/>
      <sheetName val="#9470.00 Horizon Architecture"/>
      <sheetName val="#9470.00 PM TIME"/>
      <sheetName val="#9470.00 Misc"/>
      <sheetName val="RECAP #9472.00"/>
      <sheetName val="#9472.00 Funds Rec'd"/>
      <sheetName val="#9472.00 Vendor A"/>
      <sheetName val="#9472.00 PM TIME"/>
      <sheetName val="#9472.00 Misc"/>
      <sheetName val="RECAP #9473.00"/>
      <sheetName val="#9473.00 Funds Rec'd"/>
      <sheetName val="#9473.00 Vendor A "/>
      <sheetName val="#9473.00 PM TIME "/>
      <sheetName val="#9473.00 Misc"/>
      <sheetName val="RECAP #9475.00"/>
      <sheetName val="#9475.00 Funds Rec'd"/>
      <sheetName val="#9475.00 Genesis Architectural"/>
      <sheetName val="#9475.00 PM TIME"/>
      <sheetName val="#9475.00 Misc"/>
      <sheetName val="#9475.00 DCI Group"/>
      <sheetName val="#9475.00 Christiansen Contr"/>
      <sheetName val="#9475.00 CW Suter"/>
      <sheetName val="#9475.00 DCI Group (2)"/>
      <sheetName val="RECAP #9476.00"/>
      <sheetName val="#9476.00 Funds Rec'd"/>
      <sheetName val="#9476.00 McGough Construction"/>
      <sheetName val="#9476.00 PM TIME"/>
      <sheetName val="#9476.00 Misc "/>
      <sheetName val="#9476.00 HGM Associates Inc"/>
      <sheetName val="RECAP #9480.00"/>
      <sheetName val="#9480.00 Funds Rec'd"/>
      <sheetName val="#9480.00 McGough Construction"/>
      <sheetName val="#9480.00 PM Time"/>
      <sheetName val="#9480.00 Misc"/>
      <sheetName val="#9480.00 Genesis Architectural"/>
      <sheetName val="#XXXX.XX Funds Recv'd Incorrect"/>
      <sheetName val="RECAP #XXXX.XX"/>
      <sheetName val="#XXXX.XX Funds Rec'd"/>
      <sheetName val="#XXXX.XX Vendor A "/>
      <sheetName val="#XXXX.XX PM TIME "/>
      <sheetName val="#XXXX.XX Misc "/>
    </sheetNames>
    <sheetDataSet>
      <sheetData sheetId="0">
        <row r="3">
          <cell r="D3">
            <v>57798201.169999994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23">
          <cell r="D23">
            <v>191969</v>
          </cell>
          <cell r="F23">
            <v>0</v>
          </cell>
        </row>
      </sheetData>
      <sheetData sheetId="63">
        <row r="23">
          <cell r="D23">
            <v>11800</v>
          </cell>
          <cell r="F23">
            <v>0</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row r="23">
          <cell r="D23">
            <v>10750</v>
          </cell>
          <cell r="F23">
            <v>10750</v>
          </cell>
          <cell r="H23">
            <v>0</v>
          </cell>
        </row>
      </sheetData>
      <sheetData sheetId="196"/>
      <sheetData sheetId="197"/>
      <sheetData sheetId="198"/>
      <sheetData sheetId="199"/>
      <sheetData sheetId="200"/>
      <sheetData sheetId="20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nguage "/>
      <sheetName val="FINANCIAL"/>
      <sheetName val="MM23 Funds Rec'd"/>
      <sheetName val="RECAP #9997.23"/>
      <sheetName val="#9997.23 PM TIME"/>
      <sheetName val="RECAP #9051.01"/>
      <sheetName val="#9051.01 DCI Group"/>
      <sheetName val="#9051.01 PM TIME"/>
      <sheetName val="#9051.01 Misc"/>
      <sheetName val="#9051.01 Bergstrom Construction"/>
      <sheetName val="RECAP #9224.00"/>
      <sheetName val="#9224.00 OPN Architects"/>
      <sheetName val="#9224.00 PM TIME "/>
      <sheetName val="#9224.00 Misc "/>
      <sheetName val="#9224.00 Esco Electric Co"/>
      <sheetName val="#9224.00 Schumacher Elevator"/>
      <sheetName val="#9224.00 Total Construction"/>
      <sheetName val="#9224.00 Samuels Group"/>
      <sheetName val="#9224.00 Controlled Asbestos"/>
      <sheetName val="RECAP #9249.00"/>
      <sheetName val="#9249.00 Vendor A"/>
      <sheetName val="#9249.00 PM TIME  "/>
      <sheetName val="#9249.00 Misc"/>
      <sheetName val="RECAP #9250.00"/>
      <sheetName val="#9250.00 Tricon General"/>
      <sheetName val="#9250.00 PM TIME "/>
      <sheetName val="#9250.00 Misc "/>
      <sheetName val="#9250.00 REW Services"/>
      <sheetName val="#9250.00 McGough Construction"/>
      <sheetName val="RECAP #9253.00"/>
      <sheetName val="#9253.00 McGough Construction"/>
      <sheetName val="#9253.00 PM TIME "/>
      <sheetName val="#9253.00 Misc "/>
      <sheetName val="#9253.00 Genesis Architectural "/>
      <sheetName val="#9253.00 Black Hawk Roof Co"/>
      <sheetName val="#9253.00 McGough Constructi (2)"/>
      <sheetName val="RECAP #9255.00"/>
      <sheetName val="#9255.00 Boyd Jones"/>
      <sheetName val="#9255.00 PM TIME "/>
      <sheetName val="#9255.00 Misc "/>
      <sheetName val="#9255.00 Genesis Architectural"/>
      <sheetName val="#9255.00 Boyd Jones (2)"/>
      <sheetName val="#9255.00 Academy Roofing"/>
      <sheetName val="RECAP #9268.01"/>
      <sheetName val="#9268.01 DCI Group"/>
      <sheetName val="#9268.01 PM TIME "/>
      <sheetName val="#9268.01 Misc"/>
      <sheetName val="#9268.01 Shive Hattery"/>
      <sheetName val="#9268.01 Terracon Consultants"/>
      <sheetName val="#9268.01 DCI Group #22-009 CA"/>
      <sheetName val="#9268.01 Pullman SST"/>
      <sheetName val="#9268.01 Iowa Contracting"/>
      <sheetName val="#9268.01 DCI Group #22-009.1 CA"/>
      <sheetName val="#9268.01 DCI Group #22-009.2 PC"/>
      <sheetName val="#9268.01 Neumann Brothers"/>
      <sheetName val="#9268.01 DCI Group #22-009.2 CA"/>
      <sheetName val="RECAP #9270.00"/>
      <sheetName val="#9270.00 Story Construction"/>
      <sheetName val="#9270.00 PM TIME"/>
      <sheetName val="#9270.00 Misc"/>
      <sheetName val="#9270.00 BiState Masonry"/>
      <sheetName val="#9270.00 RDG Planning"/>
      <sheetName val="RECAP #9276.00"/>
      <sheetName val="#9276.00 Vendor A "/>
      <sheetName val="#9276.00 PM TIME "/>
      <sheetName val="#9276.00 Misc"/>
      <sheetName val="RECAP #9279.20"/>
      <sheetName val="#9279.20 Shive Hattery"/>
      <sheetName val="#9279.20 PM TIME "/>
      <sheetName val="#9279.20 Misc "/>
      <sheetName val="#9279.20 Grainger"/>
      <sheetName val="#9279.20 Story Construction"/>
      <sheetName val="#9279.20 Van Maanen"/>
      <sheetName val="#9279.20 Pleva"/>
      <sheetName val="#9279.20 Hilsabeck Schacht"/>
      <sheetName val="#9279.20 Controlled Asbestos"/>
      <sheetName val="#9279.20 Controlled Asbestos(2)"/>
      <sheetName val="#9279.20 Black Hills Energy"/>
      <sheetName val="#9279.20 Tri-City Fire"/>
      <sheetName val="#9279.20 Controlled Asbesto (3)"/>
      <sheetName val="#9279.20 System Works"/>
      <sheetName val="RECAP #9294.00"/>
      <sheetName val="#9294.00 Story Construction PC"/>
      <sheetName val="#9294.00 PM TIME"/>
      <sheetName val="#9294.00 Misc"/>
      <sheetName val="#9294.00 Shive Hattery"/>
      <sheetName val="#9294.00 Story Construction (2)"/>
      <sheetName val="#9294.00 Van Maanen"/>
      <sheetName val="#9294.00 Hilsabeck Schacht Inc"/>
      <sheetName val="#9294.00 Controlled Asbestos"/>
      <sheetName val="#9294.00 Controlled Asbestos 2"/>
      <sheetName val="RECAP #9294.01"/>
      <sheetName val="#9294.01 Van Maanen Electric"/>
      <sheetName val="#9294.01 PM TIME"/>
      <sheetName val="#9294.01 Misc"/>
      <sheetName val="#9294.01 Shive Hattery"/>
      <sheetName val="#9294.01 Story Construction"/>
      <sheetName val="#9294.01 Earth Services"/>
      <sheetName val="#9294.01 Hilsabeck Schacht"/>
      <sheetName val="#9294.01 Schumacher Elevator"/>
      <sheetName val="RECAP #9304.00"/>
      <sheetName val="#9304.00 DCI Group #22-028 PC"/>
      <sheetName val="#9304.00 PM TIME"/>
      <sheetName val="#9304.00 Misc"/>
      <sheetName val="#9304.00 Shive Hattery"/>
      <sheetName val="#9304.00 Western Waterproofing"/>
      <sheetName val="#9304.00 DCI Group #22-028 CA"/>
      <sheetName val="#9304.00 Proctor Mechanical"/>
      <sheetName val="RECAP #9305.00"/>
      <sheetName val="#9305.00 Samuels Group"/>
      <sheetName val="#9305.00 PM TIME "/>
      <sheetName val="#9305.00 Misc "/>
      <sheetName val="#9305.00 OPN Architects"/>
      <sheetName val="#9305.00 Samuels Group (2)"/>
      <sheetName val="#9305.00 Neumann Brothers Inc"/>
      <sheetName val="#9305.00 Waldinger Electric"/>
      <sheetName val="#9305.00 MTS Contracting"/>
      <sheetName val="RECAP #9306.00"/>
      <sheetName val="#9306.00 Samuels Group"/>
      <sheetName val="#9306.00 PM Time"/>
      <sheetName val="#9306.00 Misc "/>
      <sheetName val="#9306.00 Genesis Architectural "/>
      <sheetName val="#9306.00 Septagon Construction"/>
      <sheetName val="RECAP #9307.00"/>
      <sheetName val="#9307.00 Samuels Group #123PC"/>
      <sheetName val="#9307.00 PM TIME"/>
      <sheetName val="#9307.00 Misc "/>
      <sheetName val="#9307.00 West Plains Engineerin"/>
      <sheetName val="#9307.00 Cummins"/>
      <sheetName val="#9307.00 Samuels Group #143CA"/>
      <sheetName val="RECAP #9308.00"/>
      <sheetName val="#9308.00 Story Construction"/>
      <sheetName val="#9308.00 PM TIME"/>
      <sheetName val="#9308.00 Misc  "/>
      <sheetName val="#9308.00 Innovative Engineers"/>
      <sheetName val="#9308.00 Cummins Inc."/>
      <sheetName val="#9308.00 Story Construction 2"/>
      <sheetName val="RECAP #9309.00"/>
      <sheetName val="#9309.00 Story Construction"/>
      <sheetName val="#9309.00 PM TIME "/>
      <sheetName val="#9309.00 Misc"/>
      <sheetName val="#9309.00 Genesis Architectural "/>
      <sheetName val="#9309.00 Story Construction (2)"/>
      <sheetName val="#9309.00 For Sure Roofing"/>
      <sheetName val="RECAP #9310.00"/>
      <sheetName val="#9310.00 DCI Group"/>
      <sheetName val="#9310.00 PM TIME "/>
      <sheetName val="#9310.00 Misc   "/>
      <sheetName val="#9310.00 Farnsworth Group"/>
      <sheetName val="#9310.00 BlackHawk Roofing"/>
      <sheetName val="#9310.00 DCI Group #22-031 CA"/>
      <sheetName val="#9310.00 Proctor Mechanical"/>
      <sheetName val="RECAP #9317.00"/>
      <sheetName val="#9317.00 McGough Construction"/>
      <sheetName val="#9317.00 Misc"/>
      <sheetName val="#9317.00 PM TIME"/>
      <sheetName val="#9317.00 Horizon Architecture"/>
      <sheetName val="#9317.00 Earth Services"/>
      <sheetName val="#9317.00 SG Construction"/>
      <sheetName val="#9317.00 McGough Construction 2"/>
      <sheetName val="RECAP #9319.00 "/>
      <sheetName val="#9319.00 Samuels Group"/>
      <sheetName val="#9319.00 PM TIME "/>
      <sheetName val="#9319.00 Misc"/>
      <sheetName val="#9319.00 Shive Hattery"/>
      <sheetName val="#9319.00 Proctor Mechanical"/>
      <sheetName val="#9319.00 Samuels Group 131CA"/>
      <sheetName val="RECAP #9320.00"/>
      <sheetName val="#9320.00 McGough Construction"/>
      <sheetName val="#9320.00 PM TIME "/>
      <sheetName val="#9320.00 Misc "/>
      <sheetName val="#9320.00 MA Architecture"/>
      <sheetName val="#9320.00 McGough Constructi (2)"/>
      <sheetName val="#9320.00 Boone Glass Co"/>
      <sheetName val="RECAP #9321.00"/>
      <sheetName val="#9321.00 DCI Group"/>
      <sheetName val="#9321.00 PM TIME"/>
      <sheetName val="#9321.00 Misc "/>
      <sheetName val="#9321.00 Bolton &amp; Menk, Inc"/>
      <sheetName val="#9321.00 Des Moines Asphalt"/>
      <sheetName val="#9321.00 DCI Group (2)"/>
      <sheetName val="RECAP #9322.00"/>
      <sheetName val="#9322.00 Samuels Group"/>
      <sheetName val="#9322.00 PM TIME "/>
      <sheetName val="#9322.00 Misc "/>
      <sheetName val="#9322.00 Genesis Architectural"/>
      <sheetName val="#9322.00 Samuels Group 140 CA"/>
      <sheetName val="#9322.00 Black Hawk Roof Co"/>
      <sheetName val="#9322.00 Controlled Asbestos"/>
      <sheetName val="RECAP #9324.00"/>
      <sheetName val="#9324.00 Boyd Jones"/>
      <sheetName val="#9324.00 PM TIME "/>
      <sheetName val="#9324.00 Misc "/>
      <sheetName val="#9324.00 Innovative Engineers"/>
      <sheetName val="#9324.00 Cummins Inc."/>
      <sheetName val="#9324.00 Boyd Jones 004CA"/>
      <sheetName val="RECAP #9327.00"/>
      <sheetName val="#9327.00 Samuels Group"/>
      <sheetName val="#9327.00 PM TIME "/>
      <sheetName val="#9327.00 Misc "/>
      <sheetName val="RECAP #9330.00"/>
      <sheetName val="#9330.00 DCI Group "/>
      <sheetName val="#9330.00 PM TIME "/>
      <sheetName val="#9330.00 Misc "/>
      <sheetName val="#9330.00 OPN Architects"/>
      <sheetName val="#9330.00 Bergstrom"/>
      <sheetName val="#9330.00 Waldinger Corp"/>
      <sheetName val="#9330.00 DCI Group #23-001 CA"/>
      <sheetName val="RECAP #9331.00"/>
      <sheetName val="#9331.00 Funds Rec'd "/>
      <sheetName val="#9331.00 McGough Construction"/>
      <sheetName val="#9331.00 PM TIME "/>
      <sheetName val="#9331.00 Misc "/>
      <sheetName val="#9331.00 Shive Hattery"/>
      <sheetName val="#9331.00 Midstate Plmg &amp; Htg"/>
      <sheetName val="#9331.00 McGough Constructi (2)"/>
      <sheetName val="#9331.00 Controlled Asbestos"/>
      <sheetName val="RECAP #9332.00"/>
      <sheetName val="#9332.00 Funds Rec'd"/>
      <sheetName val="#9332.00 McGough Construction "/>
      <sheetName val="#9332.00 PM TIME "/>
      <sheetName val="#9332.00 Misc "/>
      <sheetName val="#9332.00 Shive Hattery"/>
      <sheetName val="#9332.00 Midstate Plg &amp; Htg"/>
      <sheetName val="#9332.00 McGough Constructi (2)"/>
      <sheetName val="RECAP #9339.00"/>
      <sheetName val="#9339.00 Shive Hattery"/>
      <sheetName val="#9339.00 PM TIME"/>
      <sheetName val="#9339.00 Misc"/>
      <sheetName val="#9339.00 Samuels Group"/>
      <sheetName val="#9339.00 S &amp; S Plumbing"/>
      <sheetName val="RECAP #9370.00"/>
      <sheetName val="9370.00 Funds Rec'd"/>
      <sheetName val="#9370.00 Boyd Jones"/>
      <sheetName val="#9370.00 PM TIME"/>
      <sheetName val="#9370.00 Misc"/>
      <sheetName val="#9370.00 Innovative Engineers"/>
      <sheetName val="#9370.00 Florida Detention"/>
      <sheetName val="#9370.00 Boyd Jones (2)"/>
      <sheetName val="RECAP #9371.00"/>
      <sheetName val="#9371.00 Boyd Jones"/>
      <sheetName val="#9371.00 PM TIME"/>
      <sheetName val="#9371.00 Misc"/>
      <sheetName val="#9371.00 Samuels Group"/>
      <sheetName val="#9371.00 Snyder &amp; Associates"/>
      <sheetName val="#9371.00 Metro Driveway Co"/>
      <sheetName val="RECAP #9373.00"/>
      <sheetName val="#9373.00 DCI Group"/>
      <sheetName val="#9373.00 PM TIME"/>
      <sheetName val="#9373.00 Misc "/>
      <sheetName val="#9373.00 Shive Hattery"/>
      <sheetName val="#9373.00 Core Contruction"/>
      <sheetName val="#9373.00 DCI Group (2)"/>
      <sheetName val="RECAP #9388.00"/>
      <sheetName val="#9388.00 Boyd Jones"/>
      <sheetName val="#9388.00 PM TIME"/>
      <sheetName val="#9388.00 Misc"/>
      <sheetName val="#9388.00 DCI Group"/>
      <sheetName val="#9388.00 Cannon Moss Brygger"/>
      <sheetName val="#9388.00 Trinity Construction"/>
      <sheetName val="#9388.00 DCI Group (2)"/>
      <sheetName val="RECAP #9389.00"/>
      <sheetName val="#9389.00 Boyd Jones"/>
      <sheetName val="#9389.00 PM TIME"/>
      <sheetName val="#9389.00 Misc"/>
      <sheetName val="#9389.00 DCI Group"/>
      <sheetName val="#9389.00 Innovative Engineers"/>
      <sheetName val="#9389.00 Baker Group"/>
      <sheetName val="#9389.00 DCI Group (2)"/>
      <sheetName val="RECAP #9404.00"/>
      <sheetName val="#9404.00 Boyd Jones"/>
      <sheetName val="#9404.00 PM TIME"/>
      <sheetName val="#9404.00 Misc"/>
      <sheetName val="#9404.00 Innovative Engineers"/>
      <sheetName val="#9404.00 S &amp; S Plumbing"/>
      <sheetName val="#9404.00 Boyd Jones (2)"/>
      <sheetName val="RECAP #9437.00"/>
      <sheetName val="#9437.00 Shive Hattery"/>
      <sheetName val="#9437.00 PM TIME"/>
      <sheetName val="#9437.00 Misc"/>
      <sheetName val="#9437.00 DCI Group"/>
      <sheetName val="#9437.00 Shive Hattery (2)"/>
      <sheetName val="#9437.00 DCI Group (2)"/>
      <sheetName val="#9437.00 Waldinger Corp"/>
      <sheetName val="RECAP #9438.00"/>
      <sheetName val="#9438.00 McGough Construction"/>
      <sheetName val="#9438.00 PM TIME"/>
      <sheetName val="#9438.00 Misc "/>
      <sheetName val="#9438.00 Genesis Architectural"/>
      <sheetName val="#9438.00 JasperConstruction "/>
      <sheetName val="#9438.00 McGough Construction 2"/>
      <sheetName val="RECAP #9439.00"/>
      <sheetName val="#9439.00 McGough Construction"/>
      <sheetName val="#9439.00 PM TIME"/>
      <sheetName val="#9439.00 Misc "/>
      <sheetName val="#9439.00 Genesis Architectural"/>
      <sheetName val="#9439.00 MTS Contracting"/>
      <sheetName val="#9439.00 McGough Constructi (2)"/>
      <sheetName val="RECAP #9443.00"/>
      <sheetName val="#9443.00 Bi-State Contracting"/>
      <sheetName val="RECAP #9450.00"/>
      <sheetName val="#9450.00 McGough Construction"/>
      <sheetName val="#9450.00 PM TIME"/>
      <sheetName val="#9450.00 Misc "/>
      <sheetName val="#9450.00 Bolton &amp; Menk"/>
      <sheetName val="#9450.00 Jones Contracting"/>
      <sheetName val="#9450.00 McGough Constructi (2)"/>
      <sheetName val="RECAP #9465.00"/>
      <sheetName val="#9465.00 Horizon Architecture"/>
      <sheetName val="#9465.00 PM TIME"/>
      <sheetName val="#9465.00 Misc"/>
      <sheetName val="#9465.00 Samuels Group"/>
      <sheetName val="#9465.00 Horizon Architectu (2)"/>
      <sheetName val="#9465.00 Spectra Build LLC"/>
      <sheetName val="RECAP #9533.00"/>
      <sheetName val="#9533.00 Baker Group"/>
      <sheetName val="#9533.00 PM TIME"/>
      <sheetName val="#9533.00 Misc"/>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row r="23">
          <cell r="D23">
            <v>48451.25</v>
          </cell>
          <cell r="F23">
            <v>48451.25</v>
          </cell>
        </row>
      </sheetData>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nguage "/>
      <sheetName val="FINANCIAL"/>
      <sheetName val="MM24 Funds Rec'd"/>
      <sheetName val="RECAP #9997.24"/>
      <sheetName val="#9997.24 PM TIME"/>
      <sheetName val="RECAP #9226.00"/>
      <sheetName val="#9226.00 DCI Group"/>
      <sheetName val="#9226.00 PM Time "/>
      <sheetName val="#9226.00 Misc "/>
      <sheetName val="#9226.00 Genesis Architectural"/>
      <sheetName val="#9226.00 Steege Construction"/>
      <sheetName val="#9226.00 DCI Group (2)"/>
      <sheetName val="RECAP #9277.00"/>
      <sheetName val="#9277.00 DCI Group"/>
      <sheetName val="#9277.00 PM TIME"/>
      <sheetName val="#9277.00 Misc"/>
      <sheetName val="#9277.00 Siemens"/>
      <sheetName val="#9277.00 Cummins Inc"/>
      <sheetName val="RECAP #9279.30"/>
      <sheetName val="#9729.30 Funds Recv'd"/>
      <sheetName val="#9279.30 Van Maanen Electric"/>
      <sheetName val="#9279.30 PM TIME"/>
      <sheetName val="#9279.30 Misc"/>
      <sheetName val="#9279.30 Shive Hattery"/>
      <sheetName val="#9279.30 Pleva Plumbing"/>
      <sheetName val="#9279.30 Story Construction"/>
      <sheetName val="#9279.30 Earth Services &amp; Abate"/>
      <sheetName val="#9279.30 Hilsabeck Schacht"/>
      <sheetName val="#9279.30 Black Hills Energy"/>
      <sheetName val="#9279.30 System Works"/>
      <sheetName val="#9279.30 Van Maanen Electri (2)"/>
      <sheetName val="RECAP #9282.00"/>
      <sheetName val="#9282.00 Core Construction"/>
      <sheetName val="#9282.00 PM TIME"/>
      <sheetName val="#9282.00 Misc"/>
      <sheetName val="#9282.00 Van Maanen"/>
      <sheetName val="#9282.00 DCI Group"/>
      <sheetName val="RECAP #9306.00"/>
      <sheetName val="#9306.00 Funds Recv'd"/>
      <sheetName val="#9306.00 Samuels Group"/>
      <sheetName val="#9306.00 PM TIME"/>
      <sheetName val="#9306.00 Misc"/>
      <sheetName val="#9306.00 Modern Builders"/>
      <sheetName val="RECAP #9342.00"/>
      <sheetName val="#9342.00 Vendor"/>
      <sheetName val="#9342.00 PM Time"/>
      <sheetName val="#9342.00 Misc"/>
      <sheetName val="RECAP #9354.00"/>
      <sheetName val="#9354.00 Foreman Construction"/>
      <sheetName val="#9354.00 PM TIME"/>
      <sheetName val="#9354.00 Misc"/>
      <sheetName val="#9354.00 McGough Construction"/>
      <sheetName val="RECAP #9357.00"/>
      <sheetName val="#9357.00 Samuels Group"/>
      <sheetName val="#9357.00 PM TIME"/>
      <sheetName val="#9357.00 Misc"/>
      <sheetName val="#9357.00 Genesis Architectural "/>
      <sheetName val="#9357.00 S.G Construction"/>
      <sheetName val="#9357.00 Samuels Group 2"/>
      <sheetName val="RECAP #9361.00"/>
      <sheetName val="#9361.00 Samuels Group"/>
      <sheetName val="#9361.00 PM TIME"/>
      <sheetName val="#9361.00 Misc"/>
      <sheetName val="#9361.00 Shive Hattery"/>
      <sheetName val="#9361.00 Schumacher Elevator"/>
      <sheetName val="#9361.00 Tricon General"/>
      <sheetName val="#9361.00 Samuels Group (2)"/>
      <sheetName val="RECAP #9362.00"/>
      <sheetName val="#9362.00 Baker Group"/>
      <sheetName val="#9362.00 PM TIME "/>
      <sheetName val="#9362.00 Misc "/>
      <sheetName val="#9362.00 Van Maanen"/>
      <sheetName val="#9362.00 DCI Group"/>
      <sheetName val="RECAP #9364.00"/>
      <sheetName val="#9364.00 Samuels Group"/>
      <sheetName val="#9364.00 PM Time "/>
      <sheetName val="#9364.00 Misc"/>
      <sheetName val="#9364.00 Genesis Architectural"/>
      <sheetName val="#9364.00 Terracon Consultants"/>
      <sheetName val="#9364.00 Hildreth Construction"/>
      <sheetName val="#9364.00 Samuels Group(2)"/>
      <sheetName val="RECAP #9366.00"/>
      <sheetName val="#9366.00 Shive Hattery"/>
      <sheetName val="#9366.00 PM Time "/>
      <sheetName val="#9366.00 Misc "/>
      <sheetName val="#9366.00 McGough Construction"/>
      <sheetName val="#9366.00 Jensen Builders"/>
      <sheetName val="RECAP #9372.00"/>
      <sheetName val="#9372.00 Samuels Group"/>
      <sheetName val="#9372.00 PM TIME"/>
      <sheetName val="#9372.00 Misc"/>
      <sheetName val="#9372.00 Shive Hattery"/>
      <sheetName val="#9372.00 Terracon Consultants"/>
      <sheetName val="#9372.00 Terracon Consultant(2)"/>
      <sheetName val="#9372.00 Tricon General"/>
      <sheetName val=" #9372.00 Samuels Group (2)"/>
      <sheetName val=" #9372.00 Advanced Environment"/>
      <sheetName val="RECAP #9376.00"/>
      <sheetName val="#9376.00 Funds Rec'd "/>
      <sheetName val="#9376.00 DCI Group"/>
      <sheetName val="#9376.00 PM TIME"/>
      <sheetName val="#9376.00 Misc"/>
      <sheetName val="#9376.00 Shive Hattery"/>
      <sheetName val="#9376.00 Central Iowa Tele"/>
      <sheetName val="#9376.00 Van Maanen"/>
      <sheetName val="#9376.00 Core Construction"/>
      <sheetName val=" #9376.00 DCI Group (2)"/>
      <sheetName val="RECAP #9380.00"/>
      <sheetName val="#9380.00 Boyd Jones"/>
      <sheetName val="#9380.00 PM TIME"/>
      <sheetName val="#9380.00 Misc"/>
      <sheetName val="#9380.00 RDG Planning &amp; Design"/>
      <sheetName val="#9380.00 CornerstoneCommercial"/>
      <sheetName val="#9380.00 Boyd Jones (2)"/>
      <sheetName val="RECAP #9386.01"/>
      <sheetName val="#9386.01 McGough Construction"/>
      <sheetName val="#9386.01 PM TIME"/>
      <sheetName val="#9386.01 Misc"/>
      <sheetName val="#9386.01 Shive Hattery"/>
      <sheetName val="#9386.01 Tricon General"/>
      <sheetName val="#9386.01 McGough Constr (2)"/>
      <sheetName val="#9386.01 McGough Constr (3)"/>
      <sheetName val="#9386.01 Bi-State Masonry"/>
      <sheetName val="#9386.01 McGough Constr (4)"/>
      <sheetName val="RECAP #9390.00"/>
      <sheetName val="#9390.00 Boyd Jones"/>
      <sheetName val="#9390.00 PM TIME"/>
      <sheetName val="#9390.00 Misc"/>
      <sheetName val="#9390.00 Genesis Architectural"/>
      <sheetName val="#9390.00 DCI Group"/>
      <sheetName val="#9390.00 Hawkeye Electric"/>
      <sheetName val="#9390.00 Conlon Construction "/>
      <sheetName val="#9390.00 DCI Group (2)"/>
      <sheetName val="RECAP #9390.01"/>
      <sheetName val="#9390.01 Funds Rec'd"/>
      <sheetName val="#9390.01 Ralph N Smith"/>
      <sheetName val="#9390.01 PM Time "/>
      <sheetName val="#9390.01 Misc "/>
      <sheetName val="#9390.01 DCI Group"/>
      <sheetName val="RECAP #9391.00"/>
      <sheetName val="#9391.00 Boyd Jones"/>
      <sheetName val="#9391.00 PM TIME"/>
      <sheetName val="#9391.00 Misc"/>
      <sheetName val="#9391.00 Genesis Architectural"/>
      <sheetName val="#9391.00 DCI Group"/>
      <sheetName val="#9391.00 DCI Group (2)"/>
      <sheetName val="#9391.00 E &amp; H Restoration"/>
      <sheetName val="#9391.00 R3 Commercial Roofing"/>
      <sheetName val="RECAP #9392.00"/>
      <sheetName val="#9392.00 McGough Construction"/>
      <sheetName val="#9392.00 PM TIME"/>
      <sheetName val="#9392.00 Misc"/>
      <sheetName val="#9392.00 OPN Architects"/>
      <sheetName val="#9392.00 Terracon Consultants"/>
      <sheetName val="#9392.00 Tricon General"/>
      <sheetName val="#9392.00 McGough Construction 2"/>
      <sheetName val="RECAP #9393.00"/>
      <sheetName val="#9393.00 McGough Construction"/>
      <sheetName val="#9393.00 PM TIME"/>
      <sheetName val="#9393.00 Misc"/>
      <sheetName val="#9393.00 Substance Architecture"/>
      <sheetName val="#9393.00 Neumann Brothers"/>
      <sheetName val="#9393.00 Terracon Consultants"/>
      <sheetName val="RECAP #9394.00"/>
      <sheetName val="#9394.00 McGough Construction"/>
      <sheetName val="#9394.00 PM TIME"/>
      <sheetName val="#9394.00 Misc"/>
      <sheetName val="#9394.00 Genesis Architectural"/>
      <sheetName val="RECAP #9395.00"/>
      <sheetName val="#9395.00 McGough Construction"/>
      <sheetName val="#9395.00 PM TIME"/>
      <sheetName val="#9395.00 Misc"/>
      <sheetName val="#9395.00 Genesis Architectural"/>
      <sheetName val="#9395.00 Waldinger - Plumbing"/>
      <sheetName val="#9395.00 Elder Corporation"/>
      <sheetName val="RECAP #9396.00"/>
      <sheetName val="#9396.00 McGough Construction"/>
      <sheetName val="#9396.00 PM TIME"/>
      <sheetName val="#9396.00 Misc"/>
      <sheetName val="#9396.00 Innovative Engineers"/>
      <sheetName val="#9396.00 Cummins Inc"/>
      <sheetName val="#9396.00 McGough Constructi (2)"/>
      <sheetName val="RECAP #9397.00"/>
      <sheetName val="#9397.00 Funds Rec'd"/>
      <sheetName val="#9397.00 PM TIME"/>
      <sheetName val="#9397.00 DCI Group"/>
      <sheetName val="#9397.00 Misc"/>
      <sheetName val="#9397.00 Shive Hattery"/>
      <sheetName val="#9397.00 Shive Hattery (2)"/>
      <sheetName val="#9397.00 DCI Group (2)"/>
      <sheetName val="#9397.00 Edge Commercial"/>
      <sheetName val="#9397.00 Bi-State Masonry"/>
      <sheetName val="#9397.00 DCI Group (3)"/>
      <sheetName val="RECAP #9407.00"/>
      <sheetName val="#9407.00 DCI Group"/>
      <sheetName val="#9407.00 PM TIME"/>
      <sheetName val="#9407.00 Misc "/>
      <sheetName val="#9407.00 Iowa Contracting"/>
      <sheetName val="#9407.00 Waldinger-Electric"/>
      <sheetName val="#9407.00 MA Architecture"/>
      <sheetName val="RECAP #9422.00"/>
      <sheetName val="#9422.00 Vendor A "/>
      <sheetName val="#9422.00 PM TIME"/>
      <sheetName val="#9422.00 Misc "/>
      <sheetName val="RECAP #9437.00"/>
      <sheetName val="#9437.00 Jordison Construction"/>
      <sheetName val="#9437.00 PM Time "/>
      <sheetName val="#9437.00 Misc "/>
      <sheetName val="#9437.00 Waldinger Corp"/>
      <sheetName val="RECAP #9446.00"/>
      <sheetName val="#9446.00 DCI Group"/>
      <sheetName val="#9446.00 PM TIME"/>
      <sheetName val="#9446.00 Misc"/>
      <sheetName val="#9446.00 Horizon Architecture"/>
      <sheetName val="#9446.00 Tricon General"/>
      <sheetName val="#9446.00 DCI Group (2)"/>
      <sheetName val="RECAP #9464.00"/>
      <sheetName val="#9464.00 DCI Group"/>
      <sheetName val="#9464.00 PM Time "/>
      <sheetName val="#9464.00 Misc "/>
      <sheetName val="#9464.00 Shive Hattery"/>
      <sheetName val="#9464.00 Iowa Contracting"/>
      <sheetName val="#9464.00 DCI Group(2)"/>
      <sheetName val="RECAP #9471.00"/>
      <sheetName val="#9471.00 Funds Rec'd"/>
      <sheetName val="#9471.00 Shive Hattery"/>
      <sheetName val="#9471.00 PM Time "/>
      <sheetName val="#9471.00 Misc"/>
      <sheetName val="#9471.00 McGough Construction"/>
      <sheetName val="#9471.00 MidState Plumbing"/>
      <sheetName val="#9471.00 McGough Constructi (2)"/>
      <sheetName val="RECAP #9477.00"/>
      <sheetName val="#9477.00 KCL Engineering"/>
      <sheetName val="#9477.00 PM Time"/>
      <sheetName val="#9477.00 Misc"/>
      <sheetName val="RECAP #9525.00"/>
      <sheetName val="#9525.00 Boyd Jones"/>
      <sheetName val="#9525.00 PM Time "/>
      <sheetName val="#9525.00 Misc "/>
      <sheetName val="#9525.00 KCL Engineering"/>
      <sheetName val="RECAP #9536.00"/>
      <sheetName val="#9536.00 DCI Group"/>
      <sheetName val="#9536.00 PM Time"/>
      <sheetName val="#9536.00 Misc"/>
      <sheetName val="#9536.00 Shive Hattery"/>
      <sheetName val="RECAP #9537.00"/>
      <sheetName val="#9537.00 DCI Group"/>
      <sheetName val="#9537.00 PM Time"/>
      <sheetName val="#9537.00 Misc"/>
      <sheetName val="#9537.00 Shive Hattery"/>
      <sheetName val="RECAP #9541.00"/>
      <sheetName val="#9541.00 Samuels Group"/>
      <sheetName val="#9541.00 PM Time"/>
      <sheetName val="#9541.00 Misc"/>
      <sheetName val="#9541.00 Snyder &amp; Associates"/>
      <sheetName val="RECAP #XXXX.XX"/>
      <sheetName val="#XXXX.XX Vendor A"/>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row r="23">
          <cell r="D23">
            <v>124741</v>
          </cell>
          <cell r="F23">
            <v>124741.00000000001</v>
          </cell>
          <cell r="H23">
            <v>0</v>
          </cell>
        </row>
      </sheetData>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Set>
  </externalBook>
</externalLink>
</file>

<file path=xl/persons/person.xml><?xml version="1.0" encoding="utf-8"?>
<personList xmlns="http://schemas.microsoft.com/office/spreadsheetml/2018/threadedcomments" xmlns:x="http://schemas.openxmlformats.org/spreadsheetml/2006/main">
  <person displayName="Huggins, Joni" id="{75588FB1-852C-4F1E-A72C-8BA3F3B0961B}" userId="S::joni.huggins@das.iowa.gov::98878c84-4296-45b4-ad84-dee99dd88b1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9" dT="2026-05-19T10:57:36.31" personId="{75588FB1-852C-4F1E-A72C-8BA3F3B0961B}" id="{3B0CC226-AF93-40D7-B704-424ABFEB3FB1}">
    <text xml:space="preserve">Tonyan, Brad
​Joni,
Please set up the PM time budget on project 9239.04 as $30,000.
Thank you,
Brad Tonyan, CPM, LEED Green Associate
</text>
  </threadedComment>
</ThreadedComments>
</file>

<file path=xl/threadedComments/threadedComment2.xml><?xml version="1.0" encoding="utf-8"?>
<ThreadedComments xmlns="http://schemas.microsoft.com/office/spreadsheetml/2018/threadedcomments" xmlns:x="http://schemas.openxmlformats.org/spreadsheetml/2006/main">
  <threadedComment ref="E9" dT="2026-05-13T14:16:49.34" personId="{75588FB1-852C-4F1E-A72C-8BA3F3B0961B}" id="{E3580C09-FFE7-4ED9-BAEF-027F3D62FA81}">
    <text xml:space="preserve">Kleene, Jennifer
​Huggins, Joni​
Sorry about that! Please create a DAS Costs budget of $8,000.00 for 9476.01.
Regards,
Jennifer
Jennifer Kleene
Kleene, Jennifer
​Huggins, Joni​
Sorry about that! Please create a DAS Costs budget of $8,000.00 for 9476.01.
Regards,
Jennifer
Jennifer Kleene
</text>
  </threadedComment>
</ThreadedComments>
</file>

<file path=xl/threadedComments/threadedComment3.xml><?xml version="1.0" encoding="utf-8"?>
<ThreadedComments xmlns="http://schemas.microsoft.com/office/spreadsheetml/2018/threadedcomments" xmlns:x="http://schemas.openxmlformats.org/spreadsheetml/2006/main">
  <threadedComment ref="E9" dT="2026-06-15T12:43:48.75" personId="{75588FB1-852C-4F1E-A72C-8BA3F3B0961B}" id="{B882E606-3C58-4CFC-96DB-FC56E632D0FB}">
    <text xml:space="preserve">Elliott, Jennie
Huggins, Joni​
Please increase PM time in each of these project to accommodate May PM time.
DA26 9516.00 increase PM time budget by $621.42
FLEE 9479.00 increase PM time budget by $832.31
PARK 9518.00 increase PM time budget by $1,401.88
Thank you,
Jennie Elliott
</text>
  </threadedComment>
  <threadedComment ref="E9" dT="2026-07-09T18:29:25.48" personId="{75588FB1-852C-4F1E-A72C-8BA3F3B0961B}" id="{9DDAB89D-A93C-4AD0-AF74-053C2D1BB001}" parentId="{B882E606-3C58-4CFC-96DB-FC56E632D0FB}">
    <text xml:space="preserve">Elliott, Jennie
​Huggins, Joni;​DAS Finance Payables Infrastructure​
Thanks Joni, please make updates below: 
Unit DA26  9516.00  (1,975.88) Please increase PM Time by $1,975.88.
                       9534.00  (1,500.56) Please increase PM Time to by $8,499.44 to bring the total PM Contracted to $15,000.
Unit FLEE  9479.00       (884.94) Please increase PM Time by $884.94.
Unit PARK  9518.00  (1,196.51)  Please increase PM time by $1,196.51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21.bin"/><Relationship Id="rId4" Type="http://schemas.microsoft.com/office/2017/10/relationships/threadedComment" Target="../threadedComments/threadedComment3.xml"/></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3" Type="http://schemas.openxmlformats.org/officeDocument/2006/relationships/hyperlink" Target="mailto:Admin2@45" TargetMode="External"/><Relationship Id="rId7" Type="http://schemas.openxmlformats.org/officeDocument/2006/relationships/printerSettings" Target="../printerSettings/printerSettings14.bin"/><Relationship Id="rId2" Type="http://schemas.openxmlformats.org/officeDocument/2006/relationships/hyperlink" Target="mailto:Admin2@45" TargetMode="External"/><Relationship Id="rId1" Type="http://schemas.openxmlformats.org/officeDocument/2006/relationships/hyperlink" Target="mailto:Admin2@45" TargetMode="External"/><Relationship Id="rId6" Type="http://schemas.openxmlformats.org/officeDocument/2006/relationships/hyperlink" Target="mailto:Admin2@45" TargetMode="External"/><Relationship Id="rId5" Type="http://schemas.openxmlformats.org/officeDocument/2006/relationships/hyperlink" Target="mailto:Admin2@45" TargetMode="External"/><Relationship Id="rId4" Type="http://schemas.openxmlformats.org/officeDocument/2006/relationships/hyperlink" Target="mailto:Admin2@45" TargetMode="External"/></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Admin2@45"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7.bin"/><Relationship Id="rId4" Type="http://schemas.microsoft.com/office/2017/10/relationships/threadedComment" Target="../threadedComments/threadedComment2.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9E48-8123-4147-AC0B-7CCCD598F337}">
  <sheetPr codeName="Sheet1">
    <tabColor rgb="FFFF0000"/>
    <pageSetUpPr fitToPage="1"/>
  </sheetPr>
  <dimension ref="A1:K52"/>
  <sheetViews>
    <sheetView tabSelected="1" zoomScaleNormal="100" workbookViewId="0"/>
  </sheetViews>
  <sheetFormatPr defaultColWidth="11.42578125" defaultRowHeight="15" customHeight="1" x14ac:dyDescent="0.25"/>
  <cols>
    <col min="1" max="1" width="5" bestFit="1" customWidth="1"/>
    <col min="2" max="2" width="9.5703125" customWidth="1"/>
    <col min="3" max="3" width="59.42578125" customWidth="1"/>
    <col min="4" max="4" width="14.42578125" customWidth="1"/>
    <col min="5" max="5" width="15.42578125" customWidth="1"/>
    <col min="6" max="6" width="14.42578125" bestFit="1" customWidth="1"/>
    <col min="7" max="7" width="15.5703125" bestFit="1" customWidth="1"/>
    <col min="8" max="8" width="14.5703125" customWidth="1"/>
    <col min="9" max="10" width="14.42578125" customWidth="1"/>
    <col min="11" max="11" width="14.5703125" customWidth="1"/>
    <col min="12" max="21" width="11.42578125" customWidth="1"/>
    <col min="257" max="267" width="11.42578125" customWidth="1"/>
    <col min="513" max="523" width="11.42578125" customWidth="1"/>
    <col min="769" max="779" width="11.42578125" customWidth="1"/>
    <col min="1025" max="1035" width="11.42578125" customWidth="1"/>
    <col min="1281" max="1291" width="11.42578125" customWidth="1"/>
    <col min="1537" max="1547" width="11.42578125" customWidth="1"/>
    <col min="1793" max="1803" width="11.42578125" customWidth="1"/>
    <col min="2049" max="2059" width="11.42578125" customWidth="1"/>
    <col min="2305" max="2315" width="11.42578125" customWidth="1"/>
    <col min="2561" max="2571" width="11.42578125" customWidth="1"/>
    <col min="2817" max="2827" width="11.42578125" customWidth="1"/>
    <col min="3073" max="3083" width="11.42578125" customWidth="1"/>
    <col min="3329" max="3339" width="11.42578125" customWidth="1"/>
    <col min="3585" max="3595" width="11.42578125" customWidth="1"/>
    <col min="3841" max="3851" width="11.42578125" customWidth="1"/>
    <col min="4097" max="4107" width="11.42578125" customWidth="1"/>
    <col min="4353" max="4363" width="11.42578125" customWidth="1"/>
    <col min="4609" max="4619" width="11.42578125" customWidth="1"/>
    <col min="4865" max="4875" width="11.42578125" customWidth="1"/>
    <col min="5121" max="5131" width="11.42578125" customWidth="1"/>
    <col min="5377" max="5387" width="11.42578125" customWidth="1"/>
    <col min="5633" max="5643" width="11.42578125" customWidth="1"/>
    <col min="5889" max="5899" width="11.42578125" customWidth="1"/>
    <col min="6145" max="6155" width="11.42578125" customWidth="1"/>
    <col min="6401" max="6411" width="11.42578125" customWidth="1"/>
    <col min="6657" max="6667" width="11.42578125" customWidth="1"/>
    <col min="6913" max="6923" width="11.42578125" customWidth="1"/>
    <col min="7169" max="7179" width="11.42578125" customWidth="1"/>
    <col min="7425" max="7435" width="11.42578125" customWidth="1"/>
    <col min="7681" max="7691" width="11.42578125" customWidth="1"/>
    <col min="7937" max="7947" width="11.42578125" customWidth="1"/>
    <col min="8193" max="8203" width="11.42578125" customWidth="1"/>
    <col min="8449" max="8459" width="11.42578125" customWidth="1"/>
    <col min="8705" max="8715" width="11.42578125" customWidth="1"/>
    <col min="8961" max="8971" width="11.42578125" customWidth="1"/>
    <col min="9217" max="9227" width="11.42578125" customWidth="1"/>
    <col min="9473" max="9483" width="11.42578125" customWidth="1"/>
    <col min="9729" max="9739" width="11.42578125" customWidth="1"/>
    <col min="9985" max="9995" width="11.42578125" customWidth="1"/>
    <col min="10241" max="10251" width="11.42578125" customWidth="1"/>
    <col min="10497" max="10507" width="11.42578125" customWidth="1"/>
    <col min="10753" max="10763" width="11.42578125" customWidth="1"/>
    <col min="11009" max="11019" width="11.42578125" customWidth="1"/>
    <col min="11265" max="11275" width="11.42578125" customWidth="1"/>
    <col min="11521" max="11531" width="11.42578125" customWidth="1"/>
    <col min="11777" max="11787" width="11.42578125" customWidth="1"/>
    <col min="12033" max="12043" width="11.42578125" customWidth="1"/>
    <col min="12289" max="12299" width="11.42578125" customWidth="1"/>
    <col min="12545" max="12555" width="11.42578125" customWidth="1"/>
    <col min="12801" max="12811" width="11.42578125" customWidth="1"/>
    <col min="13057" max="13067" width="11.42578125" customWidth="1"/>
    <col min="13313" max="13323" width="11.42578125" customWidth="1"/>
    <col min="13569" max="13579" width="11.42578125" customWidth="1"/>
    <col min="13825" max="13835" width="11.42578125" customWidth="1"/>
    <col min="14081" max="14091" width="11.42578125" customWidth="1"/>
    <col min="14337" max="14347" width="11.42578125" customWidth="1"/>
    <col min="14593" max="14603" width="11.42578125" customWidth="1"/>
    <col min="14849" max="14859" width="11.42578125" customWidth="1"/>
    <col min="15105" max="15115" width="11.42578125" customWidth="1"/>
    <col min="15361" max="15371" width="11.42578125" customWidth="1"/>
    <col min="15617" max="15627" width="11.42578125" customWidth="1"/>
    <col min="15873" max="15883" width="11.42578125" customWidth="1"/>
    <col min="16129" max="16139" width="11.42578125" customWidth="1"/>
  </cols>
  <sheetData>
    <row r="1" spans="1:11" x14ac:dyDescent="0.25">
      <c r="A1" s="1" t="s">
        <v>16</v>
      </c>
      <c r="B1" s="35"/>
      <c r="C1" s="36" t="s">
        <v>3</v>
      </c>
      <c r="D1" s="4"/>
      <c r="E1" s="37" t="s">
        <v>3</v>
      </c>
      <c r="F1" s="37"/>
      <c r="G1" s="37"/>
      <c r="H1" s="3"/>
      <c r="I1" s="3"/>
      <c r="J1" s="38"/>
      <c r="K1" s="38"/>
    </row>
    <row r="2" spans="1:11" ht="54" customHeight="1" thickBot="1" x14ac:dyDescent="0.3">
      <c r="A2" s="39" t="s">
        <v>17</v>
      </c>
      <c r="B2" s="40" t="s">
        <v>15</v>
      </c>
      <c r="C2" s="41" t="s">
        <v>18</v>
      </c>
      <c r="D2" s="42" t="s">
        <v>19</v>
      </c>
      <c r="E2" s="42" t="s">
        <v>20</v>
      </c>
      <c r="F2" s="42" t="s">
        <v>21</v>
      </c>
      <c r="G2" s="42" t="s">
        <v>22</v>
      </c>
      <c r="H2" s="42" t="s">
        <v>23</v>
      </c>
      <c r="I2" s="42" t="s">
        <v>24</v>
      </c>
      <c r="J2" s="42" t="s">
        <v>25</v>
      </c>
      <c r="K2" s="42" t="s">
        <v>26</v>
      </c>
    </row>
    <row r="3" spans="1:11" x14ac:dyDescent="0.25">
      <c r="A3" s="43"/>
      <c r="B3" s="44"/>
      <c r="C3" s="45" t="s">
        <v>27</v>
      </c>
      <c r="D3" s="46">
        <f>F48</f>
        <v>32593328.279999997</v>
      </c>
      <c r="E3" s="2"/>
      <c r="F3" s="2"/>
      <c r="G3" s="2"/>
      <c r="H3" s="2"/>
      <c r="I3" s="3"/>
      <c r="J3" s="38"/>
      <c r="K3" s="38"/>
    </row>
    <row r="4" spans="1:11" x14ac:dyDescent="0.25">
      <c r="A4" s="43"/>
      <c r="B4" s="44"/>
      <c r="C4" s="45" t="s">
        <v>28</v>
      </c>
      <c r="D4" s="4"/>
      <c r="E4" s="2"/>
      <c r="F4" s="2"/>
      <c r="G4" s="2"/>
      <c r="H4" s="2"/>
      <c r="I4" s="3"/>
      <c r="J4" s="38"/>
      <c r="K4" s="38"/>
    </row>
    <row r="5" spans="1:11" x14ac:dyDescent="0.25">
      <c r="A5" s="43"/>
      <c r="B5" s="44"/>
      <c r="C5" s="45" t="s">
        <v>29</v>
      </c>
      <c r="D5" s="4"/>
      <c r="E5" s="47">
        <v>0</v>
      </c>
      <c r="F5" s="2"/>
      <c r="G5" s="2"/>
      <c r="H5" s="2"/>
      <c r="I5" s="3"/>
      <c r="J5" s="38"/>
      <c r="K5" s="38"/>
    </row>
    <row r="6" spans="1:11" ht="15.75" thickBot="1" x14ac:dyDescent="0.3">
      <c r="A6" s="43"/>
      <c r="B6" s="44"/>
      <c r="C6" s="45" t="s">
        <v>30</v>
      </c>
      <c r="D6" s="4"/>
      <c r="E6" s="48">
        <f>D3+D4-E5</f>
        <v>32593328.279999997</v>
      </c>
      <c r="F6" s="2"/>
      <c r="G6" s="2"/>
      <c r="H6" s="2"/>
      <c r="I6" s="3"/>
      <c r="J6" s="38"/>
      <c r="K6" s="38"/>
    </row>
    <row r="7" spans="1:11" ht="16.5" thickTop="1" thickBot="1" x14ac:dyDescent="0.3">
      <c r="A7" s="43"/>
      <c r="B7" s="44"/>
      <c r="C7" s="45" t="s">
        <v>31</v>
      </c>
      <c r="D7" s="4"/>
      <c r="E7" s="49">
        <f>H48</f>
        <v>19540330.569999993</v>
      </c>
      <c r="F7" s="2"/>
      <c r="G7" s="2"/>
      <c r="H7" s="2"/>
      <c r="I7" s="3"/>
      <c r="J7" s="38"/>
      <c r="K7" s="38"/>
    </row>
    <row r="8" spans="1:11" ht="15.75" thickBot="1" x14ac:dyDescent="0.3">
      <c r="A8" s="43"/>
      <c r="B8" s="44"/>
      <c r="C8" s="45" t="s">
        <v>32</v>
      </c>
      <c r="D8" s="4"/>
      <c r="E8" s="50">
        <f>E6-E7</f>
        <v>13052997.710000005</v>
      </c>
      <c r="F8" s="2"/>
      <c r="G8" s="2"/>
      <c r="H8" s="2"/>
      <c r="I8" s="3"/>
      <c r="J8" s="38"/>
      <c r="K8" s="38"/>
    </row>
    <row r="9" spans="1:11" x14ac:dyDescent="0.25">
      <c r="A9" s="43"/>
      <c r="B9" s="44"/>
      <c r="C9" s="3"/>
      <c r="D9" s="4"/>
      <c r="E9" s="2"/>
      <c r="F9" s="2"/>
      <c r="G9" s="2"/>
      <c r="H9" s="2"/>
      <c r="I9" s="3"/>
      <c r="J9" s="38"/>
      <c r="K9" s="38"/>
    </row>
    <row r="10" spans="1:11" x14ac:dyDescent="0.25">
      <c r="A10" s="43"/>
      <c r="B10" s="44"/>
      <c r="C10" s="3"/>
      <c r="D10" s="4"/>
      <c r="E10" s="2"/>
      <c r="F10" s="2"/>
      <c r="G10" s="2"/>
      <c r="H10" s="2"/>
      <c r="I10" s="3"/>
      <c r="J10" s="38"/>
      <c r="K10" s="38"/>
    </row>
    <row r="11" spans="1:11" x14ac:dyDescent="0.25">
      <c r="A11" s="43"/>
      <c r="B11" s="44"/>
      <c r="C11" s="3"/>
      <c r="D11" s="4"/>
      <c r="E11" s="2"/>
      <c r="F11" s="2"/>
      <c r="G11" s="2"/>
      <c r="H11" s="2"/>
      <c r="I11" s="3"/>
      <c r="J11" s="38"/>
      <c r="K11" s="38"/>
    </row>
    <row r="12" spans="1:11" x14ac:dyDescent="0.25">
      <c r="A12" s="51"/>
      <c r="B12" s="52"/>
      <c r="C12" s="53" t="s">
        <v>61</v>
      </c>
      <c r="D12" s="54"/>
      <c r="E12" s="55"/>
      <c r="F12" s="55"/>
      <c r="G12" s="55"/>
      <c r="H12" s="55"/>
      <c r="I12" s="55"/>
      <c r="J12" s="56"/>
      <c r="K12" s="56"/>
    </row>
    <row r="13" spans="1:11" ht="23.25" x14ac:dyDescent="0.25">
      <c r="A13" s="57"/>
      <c r="B13" s="58"/>
      <c r="C13" s="59"/>
      <c r="D13" s="60"/>
      <c r="E13" s="61" t="s">
        <v>33</v>
      </c>
      <c r="F13" s="62" t="s">
        <v>34</v>
      </c>
      <c r="G13" s="62" t="s">
        <v>35</v>
      </c>
      <c r="H13" s="62" t="s">
        <v>34</v>
      </c>
      <c r="I13" s="62" t="s">
        <v>34</v>
      </c>
      <c r="J13" s="62" t="s">
        <v>34</v>
      </c>
      <c r="K13" s="62" t="s">
        <v>34</v>
      </c>
    </row>
    <row r="14" spans="1:11" x14ac:dyDescent="0.25">
      <c r="A14" s="57"/>
      <c r="B14" s="58" t="s">
        <v>727</v>
      </c>
      <c r="C14" s="304" t="s">
        <v>728</v>
      </c>
      <c r="D14" s="60" t="s">
        <v>85</v>
      </c>
      <c r="E14" s="306">
        <v>0</v>
      </c>
      <c r="F14" s="307">
        <f>'RECAP #9239.04'!C15</f>
        <v>2550299</v>
      </c>
      <c r="G14" s="307">
        <f>E14+F14</f>
        <v>2550299</v>
      </c>
      <c r="H14" s="307">
        <f>'RECAP #9239.04'!D15</f>
        <v>115581.75999999999</v>
      </c>
      <c r="I14" s="307">
        <f>'RECAP #9239.04'!E15</f>
        <v>67109.56</v>
      </c>
      <c r="J14" s="307">
        <f>'RECAP #9239.04'!F15</f>
        <v>48472.2</v>
      </c>
      <c r="K14" s="307">
        <f>'RECAP #9239.04'!G15</f>
        <v>2434717.2400000002</v>
      </c>
    </row>
    <row r="15" spans="1:11" s="308" customFormat="1" ht="12.75" customHeight="1" x14ac:dyDescent="0.25">
      <c r="A15" s="302"/>
      <c r="B15" s="303" t="s">
        <v>290</v>
      </c>
      <c r="C15" s="304" t="s">
        <v>291</v>
      </c>
      <c r="D15" s="305" t="s">
        <v>72</v>
      </c>
      <c r="E15" s="306">
        <v>0</v>
      </c>
      <c r="F15" s="307">
        <f>'RECAP #9279.50'!C25</f>
        <v>14275000</v>
      </c>
      <c r="G15" s="307">
        <f>E15+F15</f>
        <v>14275000</v>
      </c>
      <c r="H15" s="307">
        <f>'RECAP #9279.50'!D25</f>
        <v>9666696.4399999995</v>
      </c>
      <c r="I15" s="307">
        <f>'RECAP #9279.50'!E25</f>
        <v>510715.54</v>
      </c>
      <c r="J15" s="307">
        <f>'RECAP #9279.50'!F25</f>
        <v>9155980.9000000004</v>
      </c>
      <c r="K15" s="307">
        <f>'RECAP #9279.50'!G25</f>
        <v>4608303.5600000005</v>
      </c>
    </row>
    <row r="16" spans="1:11" s="308" customFormat="1" ht="12.75" customHeight="1" x14ac:dyDescent="0.25">
      <c r="A16" s="311" t="s">
        <v>325</v>
      </c>
      <c r="B16" s="303" t="s">
        <v>172</v>
      </c>
      <c r="C16" s="304" t="s">
        <v>173</v>
      </c>
      <c r="D16" s="64" t="s">
        <v>108</v>
      </c>
      <c r="E16" s="306">
        <v>0</v>
      </c>
      <c r="F16" s="307">
        <f>'RECAP #9438.00'!C14</f>
        <v>15499.2</v>
      </c>
      <c r="G16" s="307">
        <f t="shared" ref="G16:G35" si="0">E16+F16</f>
        <v>15499.2</v>
      </c>
      <c r="H16" s="307">
        <f>'RECAP #9438.00'!D14</f>
        <v>15499.2</v>
      </c>
      <c r="I16" s="307">
        <f>'RECAP #9438.00'!E14</f>
        <v>15499.2</v>
      </c>
      <c r="J16" s="307">
        <f>'RECAP #9438.00'!F14</f>
        <v>0</v>
      </c>
      <c r="K16" s="307">
        <f>'RECAP #9438.00'!G14</f>
        <v>0</v>
      </c>
    </row>
    <row r="17" spans="1:11" s="308" customFormat="1" ht="12.75" customHeight="1" x14ac:dyDescent="0.25">
      <c r="A17" s="311" t="s">
        <v>325</v>
      </c>
      <c r="B17" s="303" t="s">
        <v>126</v>
      </c>
      <c r="C17" s="304" t="s">
        <v>127</v>
      </c>
      <c r="D17" s="64" t="s">
        <v>108</v>
      </c>
      <c r="E17" s="306">
        <v>0</v>
      </c>
      <c r="F17" s="307">
        <f>'RECAP #9471.00'!C14</f>
        <v>24537</v>
      </c>
      <c r="G17" s="307">
        <f t="shared" si="0"/>
        <v>24537</v>
      </c>
      <c r="H17" s="307">
        <f>'RECAP #9471.00'!D14</f>
        <v>24537</v>
      </c>
      <c r="I17" s="307">
        <f>'RECAP #9471.00'!E14</f>
        <v>24537</v>
      </c>
      <c r="J17" s="307">
        <f>'RECAP #9471.00'!F14</f>
        <v>0</v>
      </c>
      <c r="K17" s="307">
        <f>'RECAP #9471.00'!G14</f>
        <v>0</v>
      </c>
    </row>
    <row r="18" spans="1:11" s="308" customFormat="1" ht="12.75" customHeight="1" x14ac:dyDescent="0.25">
      <c r="A18" s="302"/>
      <c r="B18" s="303" t="s">
        <v>588</v>
      </c>
      <c r="C18" s="309" t="s">
        <v>589</v>
      </c>
      <c r="D18" s="305" t="s">
        <v>72</v>
      </c>
      <c r="E18" s="306">
        <v>0</v>
      </c>
      <c r="F18" s="307">
        <f>'RECAP #9476.01'!C15</f>
        <v>270000</v>
      </c>
      <c r="G18" s="307">
        <f t="shared" si="0"/>
        <v>270000</v>
      </c>
      <c r="H18" s="307">
        <f>'RECAP #9476.01'!D15</f>
        <v>62996.65</v>
      </c>
      <c r="I18" s="307">
        <f>'RECAP #9476.01'!E15</f>
        <v>4596.8599999999997</v>
      </c>
      <c r="J18" s="307">
        <f>'RECAP #9476.01'!F15</f>
        <v>58399.79</v>
      </c>
      <c r="K18" s="307">
        <f>'RECAP #9476.01'!G15</f>
        <v>207003.35</v>
      </c>
    </row>
    <row r="19" spans="1:11" s="308" customFormat="1" ht="12.75" customHeight="1" x14ac:dyDescent="0.25">
      <c r="A19" s="311" t="s">
        <v>325</v>
      </c>
      <c r="B19" s="303" t="s">
        <v>67</v>
      </c>
      <c r="C19" s="309" t="s">
        <v>131</v>
      </c>
      <c r="D19" s="305" t="s">
        <v>72</v>
      </c>
      <c r="E19" s="306">
        <v>0</v>
      </c>
      <c r="F19" s="307">
        <f>'RECAP #9480.01'!C19</f>
        <v>242065.68</v>
      </c>
      <c r="G19" s="307">
        <f t="shared" si="0"/>
        <v>242065.68</v>
      </c>
      <c r="H19" s="307">
        <f>'RECAP #9480.01'!D19</f>
        <v>242065.68</v>
      </c>
      <c r="I19" s="307">
        <f>'RECAP #9480.01'!E19</f>
        <v>242065.68</v>
      </c>
      <c r="J19" s="307">
        <f>'RECAP #9480.01'!F19</f>
        <v>0</v>
      </c>
      <c r="K19" s="307">
        <f>'RECAP #9480.01'!G19</f>
        <v>0</v>
      </c>
    </row>
    <row r="20" spans="1:11" s="308" customFormat="1" ht="12.75" customHeight="1" x14ac:dyDescent="0.25">
      <c r="A20" s="302"/>
      <c r="B20" s="303" t="s">
        <v>74</v>
      </c>
      <c r="C20" s="309" t="s">
        <v>94</v>
      </c>
      <c r="D20" s="305" t="s">
        <v>75</v>
      </c>
      <c r="E20" s="306">
        <v>0</v>
      </c>
      <c r="F20" s="307">
        <f>'RECAP #9481.00'!C15</f>
        <v>1400000</v>
      </c>
      <c r="G20" s="307">
        <f t="shared" si="0"/>
        <v>1400000</v>
      </c>
      <c r="H20" s="307">
        <f>'RECAP #9481.00'!D15</f>
        <v>76336.12</v>
      </c>
      <c r="I20" s="307">
        <f>'RECAP #9481.00'!E15</f>
        <v>28639.24</v>
      </c>
      <c r="J20" s="307">
        <f>'RECAP #9481.00'!F15</f>
        <v>47696.87999999999</v>
      </c>
      <c r="K20" s="307">
        <f>'RECAP #9481.00'!G15</f>
        <v>1323663.8799999999</v>
      </c>
    </row>
    <row r="21" spans="1:11" s="308" customFormat="1" ht="12.75" customHeight="1" x14ac:dyDescent="0.25">
      <c r="A21" s="302"/>
      <c r="B21" s="303" t="s">
        <v>118</v>
      </c>
      <c r="C21" s="309" t="s">
        <v>119</v>
      </c>
      <c r="D21" s="305" t="s">
        <v>478</v>
      </c>
      <c r="E21" s="306">
        <v>0</v>
      </c>
      <c r="F21" s="307">
        <f>'RECAP #9482.00'!C18</f>
        <v>559000</v>
      </c>
      <c r="G21" s="307">
        <f t="shared" si="0"/>
        <v>559000</v>
      </c>
      <c r="H21" s="307">
        <f>'RECAP #9482.00'!D18</f>
        <v>537741.36</v>
      </c>
      <c r="I21" s="307">
        <f>'RECAP #9482.00'!E18</f>
        <v>77068.139999999985</v>
      </c>
      <c r="J21" s="307">
        <f>'RECAP #9482.00'!F18</f>
        <v>460673.22</v>
      </c>
      <c r="K21" s="307">
        <f>'RECAP #9482.00'!G18</f>
        <v>21258.640000000014</v>
      </c>
    </row>
    <row r="22" spans="1:11" s="308" customFormat="1" ht="12.75" customHeight="1" x14ac:dyDescent="0.25">
      <c r="A22" s="311" t="s">
        <v>325</v>
      </c>
      <c r="B22" s="303" t="s">
        <v>80</v>
      </c>
      <c r="C22" s="309" t="s">
        <v>82</v>
      </c>
      <c r="D22" s="305" t="s">
        <v>85</v>
      </c>
      <c r="E22" s="306">
        <v>0</v>
      </c>
      <c r="F22" s="307">
        <f>'RECAP #9486.00'!C16</f>
        <v>918852.06</v>
      </c>
      <c r="G22" s="307">
        <f t="shared" si="0"/>
        <v>918852.06</v>
      </c>
      <c r="H22" s="307">
        <f>'RECAP #9486.00'!D16</f>
        <v>918852.06</v>
      </c>
      <c r="I22" s="307">
        <f>'RECAP #9486.00'!E16</f>
        <v>918852.06</v>
      </c>
      <c r="J22" s="307">
        <f>'RECAP #9486.00'!F16</f>
        <v>0</v>
      </c>
      <c r="K22" s="307">
        <f>'RECAP #9486.00'!G16</f>
        <v>0</v>
      </c>
    </row>
    <row r="23" spans="1:11" s="308" customFormat="1" ht="12.75" customHeight="1" x14ac:dyDescent="0.25">
      <c r="A23" s="310"/>
      <c r="B23" s="303" t="s">
        <v>705</v>
      </c>
      <c r="C23" s="309" t="s">
        <v>706</v>
      </c>
      <c r="D23" s="305" t="s">
        <v>85</v>
      </c>
      <c r="E23" s="306">
        <v>0</v>
      </c>
      <c r="F23" s="307">
        <f>'RECAP #9486.01'!C15</f>
        <v>81147.94</v>
      </c>
      <c r="G23" s="307">
        <f t="shared" si="0"/>
        <v>81147.94</v>
      </c>
      <c r="H23" s="307">
        <f>'RECAP #9486.01'!D15</f>
        <v>32621.919999999998</v>
      </c>
      <c r="I23" s="307">
        <f>'RECAP #9486.01'!E15</f>
        <v>10112.900000000001</v>
      </c>
      <c r="J23" s="307">
        <f>'RECAP #9486.01'!F15</f>
        <v>22509.019999999997</v>
      </c>
      <c r="K23" s="307">
        <f>'RECAP #9486.01'!G15</f>
        <v>48526.020000000004</v>
      </c>
    </row>
    <row r="24" spans="1:11" s="308" customFormat="1" ht="12.75" customHeight="1" x14ac:dyDescent="0.25">
      <c r="A24" s="302"/>
      <c r="B24" s="303" t="s">
        <v>81</v>
      </c>
      <c r="C24" s="309" t="s">
        <v>84</v>
      </c>
      <c r="D24" s="64" t="s">
        <v>85</v>
      </c>
      <c r="E24" s="306">
        <v>0</v>
      </c>
      <c r="F24" s="307">
        <f>'RECAP #9487.00'!C19</f>
        <v>1600000</v>
      </c>
      <c r="G24" s="307">
        <f t="shared" si="0"/>
        <v>1600000</v>
      </c>
      <c r="H24" s="307">
        <f>'RECAP #9487.00'!D19</f>
        <v>1459210.76</v>
      </c>
      <c r="I24" s="307">
        <f>'RECAP #9487.00'!E19</f>
        <v>162314.59</v>
      </c>
      <c r="J24" s="307">
        <f>'RECAP #9487.00'!F19</f>
        <v>1296896.17</v>
      </c>
      <c r="K24" s="307">
        <f>'RECAP #9487.00'!G19</f>
        <v>140789.24</v>
      </c>
    </row>
    <row r="25" spans="1:11" s="308" customFormat="1" ht="12.75" customHeight="1" x14ac:dyDescent="0.25">
      <c r="A25" s="302"/>
      <c r="B25" s="303" t="s">
        <v>106</v>
      </c>
      <c r="C25" s="309" t="s">
        <v>107</v>
      </c>
      <c r="D25" s="64" t="s">
        <v>108</v>
      </c>
      <c r="E25" s="306">
        <v>0</v>
      </c>
      <c r="F25" s="307">
        <f>'RECAP #9488.00'!C19</f>
        <v>8412794.2100000009</v>
      </c>
      <c r="G25" s="307">
        <f t="shared" si="0"/>
        <v>8412794.2100000009</v>
      </c>
      <c r="H25" s="307">
        <f>'RECAP #9488.00'!D19</f>
        <v>5532289.7300000004</v>
      </c>
      <c r="I25" s="307">
        <f>'RECAP #9488.00'!E19</f>
        <v>447934.61000000004</v>
      </c>
      <c r="J25" s="307">
        <f>'RECAP #9488.00'!F19</f>
        <v>5084355.12</v>
      </c>
      <c r="K25" s="307">
        <f>'RECAP #9488.00'!G19</f>
        <v>2880504.4800000004</v>
      </c>
    </row>
    <row r="26" spans="1:11" s="308" customFormat="1" ht="12.75" customHeight="1" x14ac:dyDescent="0.25">
      <c r="A26" s="302"/>
      <c r="B26" s="303" t="s">
        <v>117</v>
      </c>
      <c r="C26" s="309" t="s">
        <v>114</v>
      </c>
      <c r="D26" s="305" t="s">
        <v>75</v>
      </c>
      <c r="E26" s="306">
        <v>0</v>
      </c>
      <c r="F26" s="307">
        <f>'RECAP #9489.00'!C14</f>
        <v>50000</v>
      </c>
      <c r="G26" s="307">
        <f t="shared" si="0"/>
        <v>50000</v>
      </c>
      <c r="H26" s="307">
        <f>'RECAP #9489.00'!D14</f>
        <v>26402.42</v>
      </c>
      <c r="I26" s="307">
        <f>'RECAP #9489.00'!E14</f>
        <v>14096.69</v>
      </c>
      <c r="J26" s="307">
        <f>'RECAP #9489.00'!F14</f>
        <v>12305.729999999998</v>
      </c>
      <c r="K26" s="307">
        <f>'RECAP #9489.00'!G14</f>
        <v>23597.58</v>
      </c>
    </row>
    <row r="27" spans="1:11" s="308" customFormat="1" ht="12.75" customHeight="1" x14ac:dyDescent="0.25">
      <c r="A27" s="311" t="s">
        <v>325</v>
      </c>
      <c r="B27" s="303" t="s">
        <v>137</v>
      </c>
      <c r="C27" s="309" t="s">
        <v>168</v>
      </c>
      <c r="D27" s="64" t="s">
        <v>85</v>
      </c>
      <c r="E27" s="306">
        <v>0</v>
      </c>
      <c r="F27" s="307">
        <f>'RECAP #9490.00'!C14</f>
        <v>20787.560000000001</v>
      </c>
      <c r="G27" s="307">
        <f t="shared" si="0"/>
        <v>20787.560000000001</v>
      </c>
      <c r="H27" s="307">
        <f>'RECAP #9490.00'!D14</f>
        <v>20787.560000000001</v>
      </c>
      <c r="I27" s="307">
        <f>'RECAP #9490.00'!E14</f>
        <v>20787.560000000001</v>
      </c>
      <c r="J27" s="307">
        <f>'RECAP #9490.00'!F14</f>
        <v>0</v>
      </c>
      <c r="K27" s="307">
        <f>'RECAP #9490.00'!G14</f>
        <v>0</v>
      </c>
    </row>
    <row r="28" spans="1:11" s="308" customFormat="1" ht="12.75" customHeight="1" x14ac:dyDescent="0.25">
      <c r="A28" s="311" t="s">
        <v>325</v>
      </c>
      <c r="B28" s="303" t="s">
        <v>166</v>
      </c>
      <c r="C28" s="312" t="s">
        <v>167</v>
      </c>
      <c r="D28" s="64" t="s">
        <v>108</v>
      </c>
      <c r="E28" s="306">
        <v>0</v>
      </c>
      <c r="F28" s="307">
        <f>'RECAP #9492.00'!C15</f>
        <v>79014.539999999994</v>
      </c>
      <c r="G28" s="307">
        <f t="shared" si="0"/>
        <v>79014.539999999994</v>
      </c>
      <c r="H28" s="307">
        <f>'RECAP #9492.00'!D15</f>
        <v>79014.540000000008</v>
      </c>
      <c r="I28" s="307">
        <f>'RECAP #9492.00'!E15</f>
        <v>79014.540000000008</v>
      </c>
      <c r="J28" s="307">
        <f>'RECAP #9492.00'!F15</f>
        <v>0</v>
      </c>
      <c r="K28" s="307">
        <f>'RECAP #9492.00'!G15</f>
        <v>0</v>
      </c>
    </row>
    <row r="29" spans="1:11" s="308" customFormat="1" ht="12.75" customHeight="1" x14ac:dyDescent="0.25">
      <c r="A29" s="310"/>
      <c r="B29" s="313" t="s">
        <v>358</v>
      </c>
      <c r="C29" s="309" t="s">
        <v>359</v>
      </c>
      <c r="D29" s="305" t="s">
        <v>75</v>
      </c>
      <c r="E29" s="306">
        <v>0</v>
      </c>
      <c r="F29" s="307">
        <f>'RECAP #9515.00'!C14</f>
        <v>100000</v>
      </c>
      <c r="G29" s="307">
        <f t="shared" si="0"/>
        <v>100000</v>
      </c>
      <c r="H29" s="307">
        <f>'RECAP #9515.00'!D14</f>
        <v>39400</v>
      </c>
      <c r="I29" s="307">
        <f>'RECAP #9515.00'!E14</f>
        <v>29775.9</v>
      </c>
      <c r="J29" s="307">
        <f>'RECAP #9515.00'!F14</f>
        <v>9624.0999999999985</v>
      </c>
      <c r="K29" s="307">
        <f>'RECAP #9515.00'!G14</f>
        <v>60600</v>
      </c>
    </row>
    <row r="30" spans="1:11" s="308" customFormat="1" ht="12.75" customHeight="1" x14ac:dyDescent="0.25">
      <c r="A30" s="310"/>
      <c r="B30" s="313" t="s">
        <v>553</v>
      </c>
      <c r="C30" s="309" t="s">
        <v>554</v>
      </c>
      <c r="D30" s="64" t="s">
        <v>108</v>
      </c>
      <c r="E30" s="306">
        <v>0</v>
      </c>
      <c r="F30" s="307">
        <f>'RECAP #9516.00'!C15</f>
        <v>185000</v>
      </c>
      <c r="G30" s="307">
        <f t="shared" si="0"/>
        <v>185000</v>
      </c>
      <c r="H30" s="307">
        <f>'RECAP #9516.00'!D15</f>
        <v>170511.56</v>
      </c>
      <c r="I30" s="307">
        <f>'RECAP #9516.00'!E15</f>
        <v>50809.42</v>
      </c>
      <c r="J30" s="307">
        <f>'RECAP #9516.00'!F15</f>
        <v>119702.14</v>
      </c>
      <c r="K30" s="307">
        <f>'RECAP #9516.00'!G15</f>
        <v>14488.440000000002</v>
      </c>
    </row>
    <row r="31" spans="1:11" s="308" customFormat="1" ht="12.75" customHeight="1" x14ac:dyDescent="0.25">
      <c r="A31" s="310"/>
      <c r="B31" s="313" t="s">
        <v>376</v>
      </c>
      <c r="C31" s="312" t="s">
        <v>377</v>
      </c>
      <c r="D31" s="64" t="s">
        <v>85</v>
      </c>
      <c r="E31" s="306">
        <v>0</v>
      </c>
      <c r="F31" s="307">
        <f>'RECAP #9517.00'!C15</f>
        <v>300000</v>
      </c>
      <c r="G31" s="307">
        <f t="shared" si="0"/>
        <v>300000</v>
      </c>
      <c r="H31" s="307">
        <f>'RECAP #9517.00'!D15</f>
        <v>204664.54</v>
      </c>
      <c r="I31" s="307">
        <f>'RECAP #9517.00'!E15</f>
        <v>140241.54</v>
      </c>
      <c r="J31" s="307">
        <f>'RECAP #9517.00'!F15</f>
        <v>64423</v>
      </c>
      <c r="K31" s="307">
        <f>'RECAP #9517.00'!G15</f>
        <v>95335.459999999992</v>
      </c>
    </row>
    <row r="32" spans="1:11" s="308" customFormat="1" ht="12.75" customHeight="1" x14ac:dyDescent="0.25">
      <c r="A32" s="314"/>
      <c r="B32" s="63" t="s">
        <v>476</v>
      </c>
      <c r="C32" s="309" t="s">
        <v>477</v>
      </c>
      <c r="D32" s="64" t="s">
        <v>478</v>
      </c>
      <c r="E32" s="306">
        <v>0</v>
      </c>
      <c r="F32" s="307">
        <f>'RECAP #9532.00'!C16</f>
        <v>275000</v>
      </c>
      <c r="G32" s="307">
        <f t="shared" si="0"/>
        <v>275000</v>
      </c>
      <c r="H32" s="307">
        <f>'RECAP #9532.00'!D16</f>
        <v>97604.06</v>
      </c>
      <c r="I32" s="307">
        <f>'RECAP #9532.00'!E16</f>
        <v>34766.019999999997</v>
      </c>
      <c r="J32" s="307">
        <f>'RECAP #9532.00'!F16</f>
        <v>62838.04</v>
      </c>
      <c r="K32" s="307">
        <f>'RECAP #9532.00'!G16</f>
        <v>177395.94</v>
      </c>
    </row>
    <row r="33" spans="1:11" s="308" customFormat="1" ht="12.75" customHeight="1" x14ac:dyDescent="0.25">
      <c r="A33" s="64"/>
      <c r="B33" s="303" t="s">
        <v>497</v>
      </c>
      <c r="C33" s="309" t="s">
        <v>495</v>
      </c>
      <c r="D33" s="64" t="s">
        <v>108</v>
      </c>
      <c r="E33" s="306">
        <v>0</v>
      </c>
      <c r="F33" s="307">
        <f>'RECAP #9534.00'!C15</f>
        <v>274331.09000000003</v>
      </c>
      <c r="G33" s="307">
        <f t="shared" si="0"/>
        <v>274331.09000000003</v>
      </c>
      <c r="H33" s="307">
        <f>'RECAP #9534.00'!D15</f>
        <v>50161.56</v>
      </c>
      <c r="I33" s="307">
        <f>'RECAP #9534.00'!E15</f>
        <v>30268.83</v>
      </c>
      <c r="J33" s="307">
        <f>'RECAP #9534.00'!F15</f>
        <v>19892.729999999996</v>
      </c>
      <c r="K33" s="307">
        <f>'RECAP #9534.00'!G15</f>
        <v>224169.53000000003</v>
      </c>
    </row>
    <row r="34" spans="1:11" s="308" customFormat="1" ht="12.75" customHeight="1" x14ac:dyDescent="0.25">
      <c r="A34" s="311"/>
      <c r="B34" s="303" t="s">
        <v>498</v>
      </c>
      <c r="C34" s="309" t="s">
        <v>496</v>
      </c>
      <c r="D34" s="305" t="s">
        <v>72</v>
      </c>
      <c r="E34" s="306">
        <v>0</v>
      </c>
      <c r="F34" s="307">
        <f>'RECAP #9535.00'!C15</f>
        <v>810000</v>
      </c>
      <c r="G34" s="307">
        <f t="shared" si="0"/>
        <v>810000</v>
      </c>
      <c r="H34" s="307">
        <f>'RECAP #9535.00'!D15</f>
        <v>65855.649999999994</v>
      </c>
      <c r="I34" s="307">
        <f>'RECAP #9535.00'!E15</f>
        <v>24677.919999999998</v>
      </c>
      <c r="J34" s="307">
        <f>'RECAP #9535.00'!F15</f>
        <v>41177.729999999996</v>
      </c>
      <c r="K34" s="307">
        <f>'RECAP #9535.00'!G15</f>
        <v>744144.35</v>
      </c>
    </row>
    <row r="35" spans="1:11" s="308" customFormat="1" ht="12.75" customHeight="1" x14ac:dyDescent="0.25">
      <c r="A35" s="302"/>
      <c r="B35" s="303" t="s">
        <v>540</v>
      </c>
      <c r="C35" s="309" t="s">
        <v>541</v>
      </c>
      <c r="D35" s="64" t="s">
        <v>108</v>
      </c>
      <c r="E35" s="306">
        <v>0</v>
      </c>
      <c r="F35" s="307">
        <f>'RECAP #9540.00'!C14</f>
        <v>150000</v>
      </c>
      <c r="G35" s="307">
        <f t="shared" si="0"/>
        <v>150000</v>
      </c>
      <c r="H35" s="307">
        <f>'RECAP #9540.00'!D14</f>
        <v>101500</v>
      </c>
      <c r="I35" s="307">
        <f>'RECAP #9540.00'!E14</f>
        <v>40161.68</v>
      </c>
      <c r="J35" s="307">
        <f>'RECAP #9540.00'!F14</f>
        <v>61338.32</v>
      </c>
      <c r="K35" s="307">
        <f>'RECAP #9540.00'!G14</f>
        <v>48500</v>
      </c>
    </row>
    <row r="36" spans="1:11" s="308" customFormat="1" ht="12.75" customHeight="1" x14ac:dyDescent="0.25">
      <c r="A36" s="310"/>
      <c r="B36" s="303"/>
      <c r="C36" s="309"/>
      <c r="D36" s="64"/>
      <c r="E36" s="306"/>
      <c r="F36" s="307"/>
      <c r="G36" s="307"/>
      <c r="H36" s="307"/>
      <c r="I36" s="307"/>
      <c r="J36" s="307"/>
      <c r="K36" s="315"/>
    </row>
    <row r="37" spans="1:11" s="308" customFormat="1" ht="12.75" customHeight="1" x14ac:dyDescent="0.25">
      <c r="A37" s="302"/>
      <c r="B37" s="316"/>
      <c r="C37" s="309"/>
      <c r="D37" s="64"/>
      <c r="E37" s="306"/>
      <c r="F37" s="307"/>
      <c r="G37" s="307"/>
      <c r="H37" s="307"/>
      <c r="I37" s="307"/>
      <c r="J37" s="307"/>
      <c r="K37" s="307"/>
    </row>
    <row r="38" spans="1:11" s="308" customFormat="1" ht="12.75" customHeight="1" x14ac:dyDescent="0.25">
      <c r="A38" s="302"/>
      <c r="B38" s="316"/>
      <c r="C38" s="309"/>
      <c r="D38" s="64"/>
      <c r="E38" s="306"/>
      <c r="F38" s="307"/>
      <c r="G38" s="307"/>
      <c r="H38" s="307"/>
      <c r="I38" s="307"/>
      <c r="J38" s="307"/>
      <c r="K38" s="307"/>
    </row>
    <row r="39" spans="1:11" s="308" customFormat="1" ht="12.75" customHeight="1" x14ac:dyDescent="0.25">
      <c r="A39" s="302"/>
      <c r="B39" s="316"/>
      <c r="C39" s="309"/>
      <c r="D39" s="64"/>
      <c r="E39" s="306"/>
      <c r="F39" s="307"/>
      <c r="G39" s="307"/>
      <c r="H39" s="307"/>
      <c r="I39" s="307"/>
      <c r="J39" s="307"/>
      <c r="K39" s="307"/>
    </row>
    <row r="40" spans="1:11" s="308" customFormat="1" ht="12.75" customHeight="1" x14ac:dyDescent="0.25">
      <c r="A40" s="302"/>
      <c r="B40" s="316"/>
      <c r="C40" s="309"/>
      <c r="D40" s="64"/>
      <c r="E40" s="306"/>
      <c r="F40" s="307"/>
      <c r="G40" s="307"/>
      <c r="H40" s="307"/>
      <c r="I40" s="307"/>
      <c r="J40" s="307"/>
      <c r="K40" s="307"/>
    </row>
    <row r="41" spans="1:11" s="308" customFormat="1" ht="12.75" customHeight="1" x14ac:dyDescent="0.25">
      <c r="A41" s="302"/>
      <c r="B41" s="316"/>
      <c r="C41" s="309"/>
      <c r="D41" s="64"/>
      <c r="E41" s="306"/>
      <c r="F41" s="307"/>
      <c r="G41" s="307"/>
      <c r="H41" s="307"/>
      <c r="I41" s="307"/>
      <c r="J41" s="307"/>
      <c r="K41" s="307"/>
    </row>
    <row r="42" spans="1:11" s="308" customFormat="1" ht="12.75" customHeight="1" x14ac:dyDescent="0.25">
      <c r="A42" s="302"/>
      <c r="B42" s="316"/>
      <c r="C42" s="309"/>
      <c r="D42" s="64"/>
      <c r="E42" s="306"/>
      <c r="F42" s="307"/>
      <c r="G42" s="307"/>
      <c r="H42" s="307"/>
      <c r="I42" s="307"/>
      <c r="J42" s="307"/>
      <c r="K42" s="307"/>
    </row>
    <row r="43" spans="1:11" s="308" customFormat="1" ht="12.75" customHeight="1" x14ac:dyDescent="0.25">
      <c r="A43" s="302"/>
      <c r="B43" s="316"/>
      <c r="C43" s="309"/>
      <c r="D43" s="64"/>
      <c r="E43" s="306"/>
      <c r="F43" s="307"/>
      <c r="G43" s="307"/>
      <c r="H43" s="307"/>
      <c r="I43" s="307"/>
      <c r="J43" s="307"/>
      <c r="K43" s="307"/>
    </row>
    <row r="44" spans="1:11" s="308" customFormat="1" ht="12.75" customHeight="1" x14ac:dyDescent="0.25">
      <c r="A44" s="302"/>
      <c r="B44" s="316"/>
      <c r="C44" s="309"/>
      <c r="D44" s="64"/>
      <c r="E44" s="306"/>
      <c r="F44" s="307"/>
      <c r="G44" s="307"/>
      <c r="H44" s="307"/>
      <c r="I44" s="307"/>
      <c r="J44" s="307"/>
      <c r="K44" s="307"/>
    </row>
    <row r="45" spans="1:11" s="308" customFormat="1" ht="12.75" customHeight="1" x14ac:dyDescent="0.25">
      <c r="A45" s="302"/>
      <c r="B45" s="316"/>
      <c r="C45" s="309"/>
      <c r="D45" s="64"/>
      <c r="E45" s="306"/>
      <c r="F45" s="307"/>
      <c r="G45" s="307"/>
      <c r="H45" s="307"/>
      <c r="I45" s="307"/>
      <c r="J45" s="307"/>
      <c r="K45" s="307"/>
    </row>
    <row r="46" spans="1:11" s="308" customFormat="1" ht="12.75" customHeight="1" x14ac:dyDescent="0.25">
      <c r="A46" s="302"/>
      <c r="B46" s="316"/>
      <c r="C46" s="309"/>
      <c r="D46" s="64"/>
      <c r="E46" s="306"/>
      <c r="F46" s="307"/>
      <c r="G46" s="307"/>
      <c r="H46" s="307"/>
      <c r="I46" s="307"/>
      <c r="J46" s="307"/>
      <c r="K46" s="307"/>
    </row>
    <row r="47" spans="1:11" x14ac:dyDescent="0.25">
      <c r="A47" s="57"/>
      <c r="B47" s="66"/>
      <c r="C47" s="65"/>
      <c r="D47" s="60"/>
      <c r="E47" s="67"/>
      <c r="F47" s="68"/>
      <c r="G47" s="68"/>
      <c r="H47" s="68"/>
      <c r="I47" s="68"/>
      <c r="J47" s="69"/>
      <c r="K47" s="69"/>
    </row>
    <row r="48" spans="1:11" ht="15.75" thickBot="1" x14ac:dyDescent="0.3">
      <c r="A48" s="60"/>
      <c r="B48" s="70"/>
      <c r="C48" s="71" t="s">
        <v>62</v>
      </c>
      <c r="D48" s="72"/>
      <c r="E48" s="73">
        <f>SUM(E17:E47)</f>
        <v>0</v>
      </c>
      <c r="F48" s="73">
        <f t="shared" ref="F48:K48" si="1">SUM(F14:F47)</f>
        <v>32593328.279999997</v>
      </c>
      <c r="G48" s="73">
        <f t="shared" si="1"/>
        <v>32593328.279999997</v>
      </c>
      <c r="H48" s="73">
        <f t="shared" si="1"/>
        <v>19540330.569999993</v>
      </c>
      <c r="I48" s="73">
        <f t="shared" si="1"/>
        <v>2974045.48</v>
      </c>
      <c r="J48" s="73">
        <f t="shared" si="1"/>
        <v>16566285.090000002</v>
      </c>
      <c r="K48" s="73">
        <f t="shared" si="1"/>
        <v>13052997.710000001</v>
      </c>
    </row>
    <row r="49" spans="1:11" ht="16.5" thickTop="1" thickBot="1" x14ac:dyDescent="0.3">
      <c r="A49" s="74"/>
      <c r="B49" s="75"/>
      <c r="C49" s="76"/>
      <c r="D49" s="77"/>
      <c r="E49" s="78"/>
      <c r="F49" s="78"/>
      <c r="G49" s="78"/>
      <c r="H49" s="78"/>
      <c r="I49" s="78"/>
      <c r="J49" s="79"/>
      <c r="K49" s="79"/>
    </row>
    <row r="50" spans="1:11" x14ac:dyDescent="0.25">
      <c r="A50" s="43"/>
      <c r="B50" s="35"/>
      <c r="C50" s="1"/>
      <c r="D50" s="4"/>
      <c r="E50" s="80"/>
      <c r="F50" s="80"/>
      <c r="G50" s="80"/>
      <c r="H50" s="80"/>
      <c r="I50" s="80"/>
      <c r="J50" s="81"/>
      <c r="K50" s="81"/>
    </row>
    <row r="51" spans="1:11" ht="15.75" thickBot="1" x14ac:dyDescent="0.3">
      <c r="A51" s="43"/>
      <c r="B51" s="82"/>
      <c r="C51" s="5" t="s">
        <v>3</v>
      </c>
      <c r="D51" s="4"/>
      <c r="E51" s="80"/>
      <c r="F51" s="80"/>
      <c r="G51" s="80"/>
      <c r="H51" s="80"/>
      <c r="I51" s="80"/>
      <c r="J51" s="81"/>
      <c r="K51" s="83">
        <f>J48+K48</f>
        <v>29619282.800000004</v>
      </c>
    </row>
    <row r="52" spans="1:11" ht="15.75" thickTop="1" x14ac:dyDescent="0.25">
      <c r="A52" s="43"/>
      <c r="B52" s="35"/>
      <c r="C52" s="5" t="s">
        <v>3</v>
      </c>
      <c r="D52" s="4"/>
      <c r="E52" s="3"/>
      <c r="F52" s="3"/>
      <c r="G52" s="3"/>
      <c r="H52" s="3"/>
      <c r="I52" s="3"/>
      <c r="J52" s="38"/>
      <c r="K52" s="38"/>
    </row>
  </sheetData>
  <pageMargins left="0.25" right="0.25" top="0.90666666666666662" bottom="0.75" header="0.3" footer="0.3"/>
  <pageSetup scale="62" orientation="landscape" r:id="rId1"/>
  <headerFooter alignWithMargins="0">
    <oddHeader>&amp;CDepartment of Administrative Services
MOU Project Improvements DA26
&amp;A
&amp;D</oddHeader>
    <oddFooter>&amp;LAcct Codes 0506-335-DA26
&amp;C&amp;Z&amp;[File&amp;R&amp;P/&amp;N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79F1A-A23D-455C-B0E9-FF6FD0286BDF}">
  <sheetPr codeName="Sheet4">
    <pageSetUpPr fitToPage="1"/>
  </sheetPr>
  <dimension ref="A1:I62"/>
  <sheetViews>
    <sheetView zoomScaleNormal="100" workbookViewId="0">
      <selection activeCell="A27" sqref="A27"/>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426</v>
      </c>
      <c r="B4" s="134"/>
      <c r="C4" s="135"/>
      <c r="D4" s="136" t="s">
        <v>428</v>
      </c>
      <c r="E4" s="132"/>
      <c r="F4" s="132"/>
      <c r="G4" s="132"/>
      <c r="H4" s="133"/>
      <c r="I4" s="133"/>
    </row>
    <row r="5" spans="1:9" ht="15.75" x14ac:dyDescent="0.25">
      <c r="A5" s="137" t="s">
        <v>182</v>
      </c>
      <c r="B5" s="138"/>
      <c r="C5" s="139"/>
      <c r="D5" s="140" t="s">
        <v>444</v>
      </c>
      <c r="E5" s="141"/>
      <c r="F5" s="142"/>
      <c r="G5" s="142"/>
      <c r="H5" s="138"/>
      <c r="I5" s="133"/>
    </row>
    <row r="6" spans="1:9" ht="15.75" x14ac:dyDescent="0.25">
      <c r="A6" s="93" t="str">
        <f>'RECAP #9279.50'!B6</f>
        <v>Project Manager - Jennifer K.</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445</v>
      </c>
      <c r="B9" s="318">
        <v>46045</v>
      </c>
      <c r="C9" s="324" t="s">
        <v>146</v>
      </c>
      <c r="D9" s="186">
        <v>457993</v>
      </c>
      <c r="E9" s="320">
        <f>D9</f>
        <v>457993</v>
      </c>
      <c r="F9" s="321"/>
      <c r="G9" s="321"/>
      <c r="H9" s="321">
        <f>E9</f>
        <v>457993</v>
      </c>
      <c r="I9" s="322"/>
    </row>
    <row r="10" spans="1:9" s="308" customFormat="1" ht="12.75" customHeight="1" x14ac:dyDescent="0.25">
      <c r="A10" s="317" t="s">
        <v>717</v>
      </c>
      <c r="B10" s="323">
        <v>46141</v>
      </c>
      <c r="C10" s="324" t="s">
        <v>718</v>
      </c>
      <c r="D10" s="320"/>
      <c r="E10" s="320">
        <f t="shared" ref="E10:E21" si="0">E9+D10</f>
        <v>457993</v>
      </c>
      <c r="F10" s="325">
        <v>410376.7</v>
      </c>
      <c r="G10" s="321">
        <f t="shared" ref="G10:G21" si="1">G9+F10</f>
        <v>410376.7</v>
      </c>
      <c r="H10" s="321">
        <f t="shared" ref="H10:H21" si="2">H9-F10+D10</f>
        <v>47616.299999999988</v>
      </c>
      <c r="I10" s="322"/>
    </row>
    <row r="11" spans="1:9" s="308" customFormat="1" ht="12.75" customHeight="1" x14ac:dyDescent="0.25">
      <c r="A11" s="317" t="s">
        <v>819</v>
      </c>
      <c r="B11" s="318">
        <v>46176</v>
      </c>
      <c r="C11" s="324" t="s">
        <v>820</v>
      </c>
      <c r="D11" s="320"/>
      <c r="E11" s="320">
        <f t="shared" si="0"/>
        <v>457993</v>
      </c>
      <c r="F11" s="325">
        <v>44163.3</v>
      </c>
      <c r="G11" s="321">
        <f t="shared" si="1"/>
        <v>454540</v>
      </c>
      <c r="H11" s="321">
        <f t="shared" si="2"/>
        <v>3452.9999999999854</v>
      </c>
      <c r="I11" s="322"/>
    </row>
    <row r="12" spans="1:9" s="308" customFormat="1" ht="12.75" customHeight="1" x14ac:dyDescent="0.25">
      <c r="A12" s="317" t="s">
        <v>445</v>
      </c>
      <c r="B12" s="318">
        <v>46197</v>
      </c>
      <c r="C12" s="324" t="s">
        <v>212</v>
      </c>
      <c r="D12" s="186">
        <v>134789</v>
      </c>
      <c r="E12" s="320">
        <f t="shared" si="0"/>
        <v>592782</v>
      </c>
      <c r="F12" s="326"/>
      <c r="G12" s="321">
        <f t="shared" si="1"/>
        <v>454540</v>
      </c>
      <c r="H12" s="321">
        <f t="shared" si="2"/>
        <v>138242</v>
      </c>
      <c r="I12" s="322"/>
    </row>
    <row r="13" spans="1:9" s="308" customFormat="1" ht="12.75" customHeight="1" x14ac:dyDescent="0.25">
      <c r="A13" s="317" t="s">
        <v>1046</v>
      </c>
      <c r="B13" s="318">
        <v>46223</v>
      </c>
      <c r="C13" s="324" t="s">
        <v>1047</v>
      </c>
      <c r="D13" s="320"/>
      <c r="E13" s="320">
        <f t="shared" si="0"/>
        <v>592782</v>
      </c>
      <c r="F13" s="325">
        <v>5035</v>
      </c>
      <c r="G13" s="321">
        <f t="shared" si="1"/>
        <v>459575</v>
      </c>
      <c r="H13" s="321">
        <f t="shared" si="2"/>
        <v>133207</v>
      </c>
      <c r="I13" s="322"/>
    </row>
    <row r="14" spans="1:9" s="308" customFormat="1" ht="12.75" customHeight="1" x14ac:dyDescent="0.25">
      <c r="A14" s="317"/>
      <c r="B14" s="318"/>
      <c r="C14" s="324"/>
      <c r="D14" s="320"/>
      <c r="E14" s="320">
        <f t="shared" si="0"/>
        <v>592782</v>
      </c>
      <c r="F14" s="321"/>
      <c r="G14" s="321">
        <f t="shared" si="1"/>
        <v>459575</v>
      </c>
      <c r="H14" s="321">
        <f t="shared" si="2"/>
        <v>133207</v>
      </c>
      <c r="I14" s="322"/>
    </row>
    <row r="15" spans="1:9" s="308" customFormat="1" ht="12.75" customHeight="1" x14ac:dyDescent="0.25">
      <c r="A15" s="317"/>
      <c r="B15" s="318"/>
      <c r="C15" s="324"/>
      <c r="D15" s="320"/>
      <c r="E15" s="320">
        <f t="shared" si="0"/>
        <v>592782</v>
      </c>
      <c r="F15" s="326"/>
      <c r="G15" s="321">
        <f t="shared" si="1"/>
        <v>459575</v>
      </c>
      <c r="H15" s="321">
        <f t="shared" si="2"/>
        <v>133207</v>
      </c>
      <c r="I15" s="322"/>
    </row>
    <row r="16" spans="1:9" s="308" customFormat="1" ht="12.75" customHeight="1" x14ac:dyDescent="0.25">
      <c r="A16" s="317"/>
      <c r="B16" s="318"/>
      <c r="C16" s="324"/>
      <c r="D16" s="320"/>
      <c r="E16" s="320">
        <f t="shared" si="0"/>
        <v>592782</v>
      </c>
      <c r="F16" s="326"/>
      <c r="G16" s="321">
        <f t="shared" si="1"/>
        <v>459575</v>
      </c>
      <c r="H16" s="321">
        <f t="shared" si="2"/>
        <v>133207</v>
      </c>
      <c r="I16" s="322"/>
    </row>
    <row r="17" spans="1:9" s="308" customFormat="1" ht="12.75" customHeight="1" x14ac:dyDescent="0.25">
      <c r="A17" s="317"/>
      <c r="B17" s="318"/>
      <c r="C17" s="324"/>
      <c r="D17" s="320"/>
      <c r="E17" s="320">
        <f t="shared" si="0"/>
        <v>592782</v>
      </c>
      <c r="F17" s="326"/>
      <c r="G17" s="321">
        <f t="shared" si="1"/>
        <v>459575</v>
      </c>
      <c r="H17" s="321">
        <f t="shared" si="2"/>
        <v>133207</v>
      </c>
      <c r="I17" s="322"/>
    </row>
    <row r="18" spans="1:9" s="308" customFormat="1" ht="12.75" customHeight="1" x14ac:dyDescent="0.25">
      <c r="A18" s="317"/>
      <c r="B18" s="318"/>
      <c r="C18" s="324"/>
      <c r="D18" s="320"/>
      <c r="E18" s="320">
        <f t="shared" si="0"/>
        <v>592782</v>
      </c>
      <c r="F18" s="326"/>
      <c r="G18" s="321">
        <f t="shared" si="1"/>
        <v>459575</v>
      </c>
      <c r="H18" s="321">
        <f t="shared" si="2"/>
        <v>133207</v>
      </c>
      <c r="I18" s="322"/>
    </row>
    <row r="19" spans="1:9" s="308" customFormat="1" ht="12.75" customHeight="1" x14ac:dyDescent="0.25">
      <c r="A19" s="317"/>
      <c r="B19" s="318"/>
      <c r="C19" s="324"/>
      <c r="D19" s="320"/>
      <c r="E19" s="320">
        <f t="shared" si="0"/>
        <v>592782</v>
      </c>
      <c r="F19" s="321"/>
      <c r="G19" s="321">
        <f t="shared" si="1"/>
        <v>459575</v>
      </c>
      <c r="H19" s="321">
        <f t="shared" si="2"/>
        <v>133207</v>
      </c>
      <c r="I19" s="322"/>
    </row>
    <row r="20" spans="1:9" s="308" customFormat="1" ht="12.75" customHeight="1" x14ac:dyDescent="0.25">
      <c r="A20" s="317"/>
      <c r="B20" s="318"/>
      <c r="C20" s="324"/>
      <c r="D20" s="320"/>
      <c r="E20" s="320">
        <f t="shared" si="0"/>
        <v>592782</v>
      </c>
      <c r="F20" s="321"/>
      <c r="G20" s="321">
        <f t="shared" si="1"/>
        <v>459575</v>
      </c>
      <c r="H20" s="321">
        <f t="shared" si="2"/>
        <v>133207</v>
      </c>
      <c r="I20" s="322"/>
    </row>
    <row r="21" spans="1:9" s="308" customFormat="1" ht="12.75" customHeight="1" x14ac:dyDescent="0.25">
      <c r="A21" s="317"/>
      <c r="B21" s="318"/>
      <c r="C21" s="327"/>
      <c r="D21" s="320"/>
      <c r="E21" s="320">
        <f t="shared" si="0"/>
        <v>592782</v>
      </c>
      <c r="F21" s="321"/>
      <c r="G21" s="321">
        <f t="shared" si="1"/>
        <v>459575</v>
      </c>
      <c r="H21" s="321">
        <f t="shared" si="2"/>
        <v>133207</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592782</v>
      </c>
      <c r="E23" s="184"/>
      <c r="F23" s="184">
        <f>SUM(F9:F22)</f>
        <v>459575</v>
      </c>
      <c r="G23" s="184"/>
      <c r="H23" s="184">
        <f>D23-F23</f>
        <v>133207</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446</v>
      </c>
      <c r="D26" s="321">
        <v>172500</v>
      </c>
      <c r="E26" s="321"/>
      <c r="F26" s="321">
        <f>172500</f>
        <v>172500</v>
      </c>
      <c r="G26" s="321"/>
      <c r="H26" s="321">
        <f>D26-F26</f>
        <v>0</v>
      </c>
      <c r="I26" s="322"/>
    </row>
    <row r="27" spans="1:9" s="308" customFormat="1" ht="12.75" customHeight="1" x14ac:dyDescent="0.25">
      <c r="A27" s="317"/>
      <c r="B27" s="324"/>
      <c r="C27" s="328" t="s">
        <v>447</v>
      </c>
      <c r="D27" s="321">
        <v>159000</v>
      </c>
      <c r="E27" s="321"/>
      <c r="F27" s="321">
        <f>159000+3453</f>
        <v>162453</v>
      </c>
      <c r="G27" s="321"/>
      <c r="H27" s="321">
        <f t="shared" ref="H27:H30" si="3">D27-F27</f>
        <v>-3453</v>
      </c>
      <c r="I27" s="322"/>
    </row>
    <row r="28" spans="1:9" s="308" customFormat="1" ht="12.75" customHeight="1" x14ac:dyDescent="0.25">
      <c r="A28" s="317"/>
      <c r="B28" s="324"/>
      <c r="C28" s="328" t="s">
        <v>304</v>
      </c>
      <c r="D28" s="321">
        <v>112681</v>
      </c>
      <c r="E28" s="321"/>
      <c r="F28" s="321">
        <f>78876.7+33804.3</f>
        <v>112681</v>
      </c>
      <c r="G28" s="321"/>
      <c r="H28" s="321">
        <f t="shared" si="3"/>
        <v>0</v>
      </c>
      <c r="I28" s="322"/>
    </row>
    <row r="29" spans="1:9" s="308" customFormat="1" ht="12.75" customHeight="1" x14ac:dyDescent="0.25">
      <c r="A29" s="317"/>
      <c r="B29" s="324"/>
      <c r="C29" s="328" t="s">
        <v>448</v>
      </c>
      <c r="D29" s="321">
        <v>13812</v>
      </c>
      <c r="E29" s="185"/>
      <c r="F29" s="321">
        <f>10359+1582</f>
        <v>11941</v>
      </c>
      <c r="G29" s="185"/>
      <c r="H29" s="321">
        <f t="shared" si="3"/>
        <v>1871</v>
      </c>
      <c r="I29" s="322"/>
    </row>
    <row r="30" spans="1:9" s="308" customFormat="1" ht="12.75" customHeight="1" x14ac:dyDescent="0.25">
      <c r="A30" s="317"/>
      <c r="B30" s="324"/>
      <c r="C30" s="328" t="s">
        <v>212</v>
      </c>
      <c r="D30" s="321">
        <v>134789</v>
      </c>
      <c r="E30" s="185"/>
      <c r="F30" s="321"/>
      <c r="G30" s="185"/>
      <c r="H30" s="321">
        <f t="shared" si="3"/>
        <v>134789</v>
      </c>
      <c r="I30" s="322"/>
    </row>
    <row r="31" spans="1:9" s="308" customFormat="1" ht="12.75" customHeight="1" thickBot="1" x14ac:dyDescent="0.3">
      <c r="A31" s="317"/>
      <c r="B31" s="324"/>
      <c r="C31" s="359" t="s">
        <v>157</v>
      </c>
      <c r="D31" s="360">
        <f>SUM(D25:D30)</f>
        <v>592782</v>
      </c>
      <c r="E31" s="326"/>
      <c r="F31" s="360">
        <f>SUM(F26:F30)</f>
        <v>459575</v>
      </c>
      <c r="G31" s="326"/>
      <c r="H31" s="360">
        <f>SUM(H26:H30)</f>
        <v>133207</v>
      </c>
      <c r="I31" s="322"/>
    </row>
    <row r="32" spans="1:9" s="308" customFormat="1" ht="12.75" customHeight="1" thickTop="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sheetData>
  <conditionalFormatting sqref="I9:I27">
    <cfRule type="cellIs" dxfId="38"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790D-C380-44A0-9910-A851458006E8}">
  <sheetPr codeName="Sheet71">
    <pageSetUpPr fitToPage="1"/>
  </sheetPr>
  <dimension ref="A1:I34"/>
  <sheetViews>
    <sheetView zoomScaleNormal="100" workbookViewId="0">
      <selection activeCell="C18" sqref="C18"/>
    </sheetView>
  </sheetViews>
  <sheetFormatPr defaultColWidth="11.42578125" defaultRowHeight="15" customHeight="1" x14ac:dyDescent="0.25"/>
  <cols>
    <col min="1" max="1" width="24.5703125" customWidth="1"/>
    <col min="2" max="2" width="9.42578125" customWidth="1"/>
    <col min="3" max="3" width="35.42578125" customWidth="1"/>
    <col min="4" max="4" width="14.42578125" customWidth="1"/>
    <col min="5" max="5" width="13.5703125" customWidth="1"/>
    <col min="6" max="6" width="12.42578125" customWidth="1"/>
    <col min="7" max="7" width="10.5703125" customWidth="1"/>
    <col min="8" max="8"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#9489.00'!B1</f>
        <v>DOC &amp; ASP TWID Repairs</v>
      </c>
      <c r="B1" s="86"/>
      <c r="C1" s="6"/>
      <c r="D1" s="6"/>
      <c r="E1" s="6"/>
      <c r="F1" s="132"/>
      <c r="G1" s="132"/>
      <c r="H1" s="133"/>
      <c r="I1" s="133"/>
    </row>
    <row r="2" spans="1:9" ht="15.75" x14ac:dyDescent="0.25">
      <c r="A2" s="88" t="str">
        <f>'RECAP #9489.00'!B2</f>
        <v>Project # 9489.00</v>
      </c>
      <c r="B2" s="87"/>
      <c r="C2" s="6"/>
      <c r="D2" s="6"/>
      <c r="E2" s="6"/>
      <c r="F2" s="132"/>
      <c r="G2" s="132"/>
      <c r="H2" s="133"/>
      <c r="I2" s="133"/>
    </row>
    <row r="3" spans="1:9" ht="15.75" x14ac:dyDescent="0.25">
      <c r="A3" s="89" t="str">
        <f>'RECAP #9489.00'!B3</f>
        <v>Program code 948900</v>
      </c>
      <c r="B3" s="87"/>
      <c r="C3" s="6"/>
      <c r="D3" s="90" t="str">
        <f>'RECAP #9489.00'!E3</f>
        <v>Major Program 4B01</v>
      </c>
      <c r="E3" s="6"/>
      <c r="F3" s="132"/>
      <c r="G3" s="132"/>
      <c r="H3" s="133"/>
      <c r="I3" s="133"/>
    </row>
    <row r="4" spans="1:9" ht="15.75" x14ac:dyDescent="0.25">
      <c r="A4" s="116" t="s">
        <v>141</v>
      </c>
      <c r="B4" s="134"/>
      <c r="C4" s="135"/>
      <c r="D4" s="136" t="s">
        <v>142</v>
      </c>
      <c r="E4" s="132"/>
      <c r="F4" s="132"/>
      <c r="G4" s="132"/>
      <c r="H4" s="133"/>
      <c r="I4" s="133"/>
    </row>
    <row r="5" spans="1:9" ht="15.75" x14ac:dyDescent="0.25">
      <c r="A5" s="137" t="s">
        <v>147</v>
      </c>
      <c r="B5" s="138"/>
      <c r="C5" s="139"/>
      <c r="D5" s="140" t="s">
        <v>143</v>
      </c>
      <c r="E5" s="141"/>
      <c r="F5" s="142"/>
      <c r="G5" s="142"/>
      <c r="H5" s="138"/>
      <c r="I5" s="133"/>
    </row>
    <row r="6" spans="1:9" ht="15.75" x14ac:dyDescent="0.25">
      <c r="A6" s="93" t="str">
        <f>'RECAP #9489.00'!B6</f>
        <v>Project Manager - Brandon A</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271</v>
      </c>
      <c r="B9" s="318">
        <v>45936</v>
      </c>
      <c r="C9" s="324" t="s">
        <v>146</v>
      </c>
      <c r="D9" s="319">
        <v>16402.419999999998</v>
      </c>
      <c r="E9" s="320">
        <f>D9</f>
        <v>16402.419999999998</v>
      </c>
      <c r="F9" s="321"/>
      <c r="G9" s="321"/>
      <c r="H9" s="321">
        <f>E9</f>
        <v>16402.419999999998</v>
      </c>
      <c r="I9" s="322"/>
    </row>
    <row r="10" spans="1:9" s="308" customFormat="1" ht="12.75" customHeight="1" x14ac:dyDescent="0.2">
      <c r="A10" s="317" t="s">
        <v>510</v>
      </c>
      <c r="B10" s="323">
        <v>46066</v>
      </c>
      <c r="C10" s="324" t="s">
        <v>513</v>
      </c>
      <c r="D10" s="480">
        <v>-11493.8</v>
      </c>
      <c r="E10" s="320">
        <f t="shared" ref="E10:E21" si="0">E9+D10</f>
        <v>4908.619999999999</v>
      </c>
      <c r="F10" s="167">
        <v>4908.62</v>
      </c>
      <c r="G10" s="321">
        <f t="shared" ref="G10:G21" si="1">G9+F10</f>
        <v>4908.62</v>
      </c>
      <c r="H10" s="321">
        <f t="shared" ref="H10:H21" si="2">H9-F10+D10</f>
        <v>0</v>
      </c>
      <c r="I10" s="322"/>
    </row>
    <row r="11" spans="1:9" s="308" customFormat="1" ht="12.75" customHeight="1" x14ac:dyDescent="0.2">
      <c r="A11" s="317" t="s">
        <v>1055</v>
      </c>
      <c r="B11" s="318">
        <v>46205</v>
      </c>
      <c r="C11" s="324" t="s">
        <v>962</v>
      </c>
      <c r="D11" s="319">
        <v>11493.8</v>
      </c>
      <c r="E11" s="320">
        <f t="shared" si="0"/>
        <v>16402.419999999998</v>
      </c>
      <c r="F11" s="167"/>
      <c r="G11" s="321">
        <f t="shared" si="1"/>
        <v>4908.62</v>
      </c>
      <c r="H11" s="321">
        <f t="shared" si="2"/>
        <v>11493.8</v>
      </c>
      <c r="I11" s="322"/>
    </row>
    <row r="12" spans="1:9" s="308" customFormat="1" ht="12.75" customHeight="1" x14ac:dyDescent="0.2">
      <c r="A12" s="317" t="s">
        <v>1056</v>
      </c>
      <c r="B12" s="318">
        <v>46234</v>
      </c>
      <c r="C12" s="324" t="s">
        <v>1054</v>
      </c>
      <c r="D12" s="320"/>
      <c r="E12" s="320">
        <f t="shared" si="0"/>
        <v>16402.419999999998</v>
      </c>
      <c r="F12" s="167">
        <v>2386.6</v>
      </c>
      <c r="G12" s="321">
        <f t="shared" si="1"/>
        <v>7295.2199999999993</v>
      </c>
      <c r="H12" s="321">
        <f t="shared" si="2"/>
        <v>9107.1999999999989</v>
      </c>
      <c r="I12" s="322"/>
    </row>
    <row r="13" spans="1:9" s="308" customFormat="1" ht="12.75" customHeight="1" x14ac:dyDescent="0.2">
      <c r="A13" s="317"/>
      <c r="B13" s="318"/>
      <c r="C13" s="324"/>
      <c r="D13" s="320"/>
      <c r="E13" s="320">
        <f t="shared" si="0"/>
        <v>16402.419999999998</v>
      </c>
      <c r="F13" s="167"/>
      <c r="G13" s="321">
        <f t="shared" si="1"/>
        <v>7295.2199999999993</v>
      </c>
      <c r="H13" s="321">
        <f t="shared" si="2"/>
        <v>9107.1999999999989</v>
      </c>
      <c r="I13" s="322"/>
    </row>
    <row r="14" spans="1:9" s="308" customFormat="1" ht="12.75" customHeight="1" x14ac:dyDescent="0.2">
      <c r="A14" s="317"/>
      <c r="B14" s="318"/>
      <c r="C14" s="324"/>
      <c r="D14" s="320"/>
      <c r="E14" s="320">
        <f t="shared" si="0"/>
        <v>16402.419999999998</v>
      </c>
      <c r="F14" s="167"/>
      <c r="G14" s="321">
        <f t="shared" si="1"/>
        <v>7295.2199999999993</v>
      </c>
      <c r="H14" s="321">
        <f t="shared" si="2"/>
        <v>9107.1999999999989</v>
      </c>
      <c r="I14" s="322"/>
    </row>
    <row r="15" spans="1:9" s="308" customFormat="1" ht="12.75" customHeight="1" x14ac:dyDescent="0.2">
      <c r="A15" s="317"/>
      <c r="B15" s="318"/>
      <c r="C15" s="324"/>
      <c r="D15" s="320"/>
      <c r="E15" s="320">
        <f t="shared" si="0"/>
        <v>16402.419999999998</v>
      </c>
      <c r="F15" s="167"/>
      <c r="G15" s="321">
        <f t="shared" si="1"/>
        <v>7295.2199999999993</v>
      </c>
      <c r="H15" s="321">
        <f t="shared" si="2"/>
        <v>9107.1999999999989</v>
      </c>
      <c r="I15" s="322"/>
    </row>
    <row r="16" spans="1:9" s="308" customFormat="1" ht="12.75" customHeight="1" x14ac:dyDescent="0.25">
      <c r="A16" s="317"/>
      <c r="B16" s="318"/>
      <c r="C16" s="324"/>
      <c r="D16" s="320"/>
      <c r="E16" s="320">
        <f t="shared" si="0"/>
        <v>16402.419999999998</v>
      </c>
      <c r="F16" s="326"/>
      <c r="G16" s="321">
        <f t="shared" si="1"/>
        <v>7295.2199999999993</v>
      </c>
      <c r="H16" s="321">
        <f t="shared" si="2"/>
        <v>9107.1999999999989</v>
      </c>
      <c r="I16" s="322"/>
    </row>
    <row r="17" spans="1:9" s="308" customFormat="1" ht="12.75" customHeight="1" x14ac:dyDescent="0.25">
      <c r="A17" s="317"/>
      <c r="B17" s="318"/>
      <c r="C17" s="324"/>
      <c r="D17" s="320"/>
      <c r="E17" s="320">
        <f t="shared" si="0"/>
        <v>16402.419999999998</v>
      </c>
      <c r="F17" s="326"/>
      <c r="G17" s="321">
        <f t="shared" si="1"/>
        <v>7295.2199999999993</v>
      </c>
      <c r="H17" s="321">
        <f t="shared" si="2"/>
        <v>9107.1999999999989</v>
      </c>
      <c r="I17" s="322"/>
    </row>
    <row r="18" spans="1:9" s="308" customFormat="1" ht="12.75" customHeight="1" x14ac:dyDescent="0.25">
      <c r="A18" s="317"/>
      <c r="B18" s="318"/>
      <c r="C18" s="324"/>
      <c r="D18" s="320"/>
      <c r="E18" s="320">
        <f t="shared" si="0"/>
        <v>16402.419999999998</v>
      </c>
      <c r="F18" s="326"/>
      <c r="G18" s="321">
        <f t="shared" si="1"/>
        <v>7295.2199999999993</v>
      </c>
      <c r="H18" s="321">
        <f t="shared" si="2"/>
        <v>9107.1999999999989</v>
      </c>
      <c r="I18" s="322"/>
    </row>
    <row r="19" spans="1:9" s="308" customFormat="1" ht="12.75" customHeight="1" x14ac:dyDescent="0.25">
      <c r="A19" s="317"/>
      <c r="B19" s="318"/>
      <c r="C19" s="324"/>
      <c r="D19" s="320"/>
      <c r="E19" s="320">
        <f t="shared" si="0"/>
        <v>16402.419999999998</v>
      </c>
      <c r="F19" s="321"/>
      <c r="G19" s="321">
        <f t="shared" si="1"/>
        <v>7295.2199999999993</v>
      </c>
      <c r="H19" s="321">
        <f t="shared" si="2"/>
        <v>9107.1999999999989</v>
      </c>
      <c r="I19" s="322"/>
    </row>
    <row r="20" spans="1:9" s="308" customFormat="1" ht="12.75" customHeight="1" x14ac:dyDescent="0.25">
      <c r="A20" s="317"/>
      <c r="B20" s="318"/>
      <c r="C20" s="324"/>
      <c r="D20" s="320"/>
      <c r="E20" s="320">
        <f t="shared" si="0"/>
        <v>16402.419999999998</v>
      </c>
      <c r="F20" s="321"/>
      <c r="G20" s="321">
        <f t="shared" si="1"/>
        <v>7295.2199999999993</v>
      </c>
      <c r="H20" s="321">
        <f t="shared" si="2"/>
        <v>9107.1999999999989</v>
      </c>
      <c r="I20" s="322"/>
    </row>
    <row r="21" spans="1:9" s="308" customFormat="1" ht="12.75" customHeight="1" x14ac:dyDescent="0.25">
      <c r="A21" s="317"/>
      <c r="B21" s="318"/>
      <c r="C21" s="327"/>
      <c r="D21" s="320"/>
      <c r="E21" s="320">
        <f t="shared" si="0"/>
        <v>16402.419999999998</v>
      </c>
      <c r="F21" s="321"/>
      <c r="G21" s="321">
        <f t="shared" si="1"/>
        <v>7295.2199999999993</v>
      </c>
      <c r="H21" s="321">
        <f t="shared" si="2"/>
        <v>9107.1999999999989</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16402.419999999998</v>
      </c>
      <c r="E23" s="184"/>
      <c r="F23" s="184">
        <f>SUM(F9:F22)</f>
        <v>7295.2199999999993</v>
      </c>
      <c r="G23" s="184"/>
      <c r="H23" s="184">
        <f>D23-F23</f>
        <v>9107.1999999999989</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f>15472.42</f>
        <v>15472.42</v>
      </c>
      <c r="E26" s="321"/>
      <c r="F26" s="321">
        <f>4768.62+2316.6</f>
        <v>7085.2199999999993</v>
      </c>
      <c r="G26" s="321"/>
      <c r="H26" s="321">
        <f>D26-F26</f>
        <v>8387.2000000000007</v>
      </c>
      <c r="I26" s="322"/>
    </row>
    <row r="27" spans="1:9" s="308" customFormat="1" ht="12.75" customHeight="1" x14ac:dyDescent="0.25">
      <c r="A27" s="317"/>
      <c r="B27" s="324"/>
      <c r="C27" s="328" t="s">
        <v>253</v>
      </c>
      <c r="D27" s="321">
        <f>930</f>
        <v>930</v>
      </c>
      <c r="E27" s="185"/>
      <c r="F27" s="321">
        <f>140+70</f>
        <v>210</v>
      </c>
      <c r="G27" s="185"/>
      <c r="H27" s="321">
        <f>D27-F27</f>
        <v>720</v>
      </c>
      <c r="I27" s="322"/>
    </row>
    <row r="28" spans="1:9" s="308" customFormat="1" ht="12.75" customHeight="1" thickBot="1" x14ac:dyDescent="0.3">
      <c r="A28" s="317"/>
      <c r="B28" s="324"/>
      <c r="C28" s="359" t="s">
        <v>157</v>
      </c>
      <c r="D28" s="360">
        <f>SUM(D25:D27)</f>
        <v>16402.419999999998</v>
      </c>
      <c r="E28" s="326"/>
      <c r="F28" s="360">
        <f>SUM(F25:F27)</f>
        <v>7295.2199999999993</v>
      </c>
      <c r="G28" s="326"/>
      <c r="H28" s="360">
        <f>SUM(H25:H27)</f>
        <v>9107.2000000000007</v>
      </c>
      <c r="I28" s="322"/>
    </row>
    <row r="29" spans="1:9" s="308" customFormat="1" ht="12.75" customHeight="1" thickTop="1" x14ac:dyDescent="0.25">
      <c r="A29" s="317"/>
      <c r="B29" s="324"/>
      <c r="C29" s="328"/>
      <c r="D29" s="321"/>
      <c r="E29" s="321"/>
      <c r="F29" s="321"/>
      <c r="G29" s="321"/>
      <c r="H29" s="321"/>
      <c r="I29" s="322"/>
    </row>
    <row r="30" spans="1:9" s="308" customFormat="1" ht="12.75" customHeight="1" x14ac:dyDescent="0.25">
      <c r="A30" s="317"/>
      <c r="B30" s="324"/>
      <c r="C30" s="328"/>
      <c r="D30" s="321"/>
      <c r="E30" s="321"/>
      <c r="F30" s="321"/>
      <c r="G30" s="321"/>
      <c r="H30" s="321"/>
      <c r="I30" s="322"/>
    </row>
    <row r="31" spans="1:9" s="308" customFormat="1" ht="12.75" customHeight="1" x14ac:dyDescent="0.25">
      <c r="A31" s="317"/>
      <c r="B31" s="324"/>
      <c r="C31" s="328"/>
      <c r="D31" s="321"/>
      <c r="E31" s="321"/>
      <c r="F31" s="321"/>
      <c r="G31" s="321"/>
      <c r="H31" s="321"/>
      <c r="I31" s="322"/>
    </row>
    <row r="32" spans="1:9" s="308" customFormat="1" ht="12.75" customHeight="1" x14ac:dyDescent="0.25">
      <c r="A32" s="317"/>
      <c r="B32" s="324"/>
      <c r="C32" s="328"/>
      <c r="D32" s="321"/>
      <c r="E32" s="321"/>
      <c r="F32" s="321"/>
      <c r="G32" s="321"/>
      <c r="H32" s="321"/>
      <c r="I32" s="322"/>
    </row>
    <row r="33" spans="1:9" s="308" customFormat="1" ht="12.75" customHeight="1" x14ac:dyDescent="0.25">
      <c r="A33" s="317"/>
      <c r="B33" s="324"/>
      <c r="C33" s="328"/>
      <c r="D33" s="321"/>
      <c r="E33" s="321"/>
      <c r="F33" s="321"/>
      <c r="G33" s="321"/>
      <c r="H33" s="321"/>
      <c r="I33" s="322"/>
    </row>
    <row r="34" spans="1:9" s="308" customFormat="1" ht="12.75" customHeight="1" x14ac:dyDescent="0.25"/>
  </sheetData>
  <conditionalFormatting sqref="I9:I32">
    <cfRule type="cellIs" dxfId="13" priority="1" operator="greaterThan">
      <formula>$H$23</formula>
    </cfRule>
  </conditionalFormatting>
  <pageMargins left="0.25" right="0.25" top="0.85" bottom="0.75" header="0.08" footer="0.3"/>
  <pageSetup scale="7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B6C52-A501-47DD-9C5B-789DD569D339}">
  <sheetPr codeName="Sheet72">
    <pageSetUpPr fitToPage="1"/>
  </sheetPr>
  <dimension ref="A1:J98"/>
  <sheetViews>
    <sheetView zoomScaleNormal="100" workbookViewId="0">
      <selection activeCell="G28" sqref="G28:G30"/>
    </sheetView>
  </sheetViews>
  <sheetFormatPr defaultColWidth="11.42578125" defaultRowHeight="15" customHeight="1" x14ac:dyDescent="0.25"/>
  <cols>
    <col min="1" max="1" width="24.5703125" customWidth="1"/>
    <col min="2" max="3" width="9.42578125" customWidth="1"/>
    <col min="4" max="4" width="41.85546875" customWidth="1"/>
    <col min="5" max="5" width="15.28515625" customWidth="1"/>
    <col min="6" max="6" width="13.5703125" customWidth="1"/>
    <col min="7" max="7" width="12.42578125" customWidth="1"/>
    <col min="8" max="8" width="10.5703125" customWidth="1"/>
    <col min="9" max="9" width="14.1406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#9489.00'!B1</f>
        <v>DOC &amp; ASP TWID Repairs</v>
      </c>
      <c r="B1" s="86"/>
      <c r="C1" s="86"/>
      <c r="D1" s="6"/>
      <c r="E1" s="6"/>
      <c r="F1" s="6"/>
      <c r="G1" s="132"/>
      <c r="H1" s="132"/>
      <c r="I1" s="133"/>
      <c r="J1" s="133"/>
    </row>
    <row r="2" spans="1:10" ht="15.75" x14ac:dyDescent="0.25">
      <c r="A2" s="88" t="str">
        <f>'RECAP #9489.00'!B2</f>
        <v>Project # 9489.00</v>
      </c>
      <c r="B2" s="87"/>
      <c r="C2" s="87"/>
      <c r="D2" s="6"/>
      <c r="E2" s="6"/>
      <c r="F2" s="6"/>
      <c r="G2" s="132"/>
      <c r="H2" s="132"/>
      <c r="I2" s="133"/>
      <c r="J2" s="133"/>
    </row>
    <row r="3" spans="1:10" ht="15.75" x14ac:dyDescent="0.25">
      <c r="A3" s="89" t="str">
        <f>'RECAP #9489.00'!B3</f>
        <v>Program code 948900</v>
      </c>
      <c r="B3" s="87"/>
      <c r="C3" s="87"/>
      <c r="D3" s="6"/>
      <c r="E3" s="90" t="str">
        <f>'RECAP #9489.00'!E3</f>
        <v>Major Program 4B01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#9489.00'!B6</f>
        <v>Project Manager - Brandon A</v>
      </c>
      <c r="B6" s="93"/>
      <c r="C6" s="93"/>
      <c r="D6" s="143"/>
      <c r="E6" s="140" t="s">
        <v>140</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5000+5000</f>
        <v>10000</v>
      </c>
      <c r="F9" s="320">
        <f>E9</f>
        <v>10000</v>
      </c>
      <c r="G9" s="321"/>
      <c r="H9" s="321"/>
      <c r="I9" s="321">
        <f>F9</f>
        <v>10000</v>
      </c>
      <c r="J9" s="322"/>
    </row>
    <row r="10" spans="1:10" s="308" customFormat="1" ht="12.75" customHeight="1" x14ac:dyDescent="0.25">
      <c r="A10" s="364" t="s">
        <v>213</v>
      </c>
      <c r="B10" s="318">
        <v>45908</v>
      </c>
      <c r="C10" s="404">
        <v>2507</v>
      </c>
      <c r="D10" s="402" t="s">
        <v>216</v>
      </c>
      <c r="E10" s="320"/>
      <c r="F10" s="320">
        <f>E10+F9</f>
        <v>10000</v>
      </c>
      <c r="G10" s="325">
        <v>54.39</v>
      </c>
      <c r="H10" s="321">
        <f t="shared" ref="H10:H30" si="0">H9+G10</f>
        <v>54.39</v>
      </c>
      <c r="I10" s="321">
        <f>I9-G10+E10</f>
        <v>9945.61</v>
      </c>
      <c r="J10" s="322"/>
    </row>
    <row r="11" spans="1:10" s="308" customFormat="1" ht="12.75" customHeight="1" x14ac:dyDescent="0.25">
      <c r="A11" s="364" t="s">
        <v>213</v>
      </c>
      <c r="B11" s="318">
        <v>45908</v>
      </c>
      <c r="C11" s="404">
        <v>9500</v>
      </c>
      <c r="D11" s="332" t="s">
        <v>217</v>
      </c>
      <c r="E11" s="320"/>
      <c r="F11" s="320">
        <f t="shared" ref="F11:F30" si="1">E11+F10</f>
        <v>10000</v>
      </c>
      <c r="G11" s="325">
        <v>415.5</v>
      </c>
      <c r="H11" s="321">
        <f t="shared" si="0"/>
        <v>469.89</v>
      </c>
      <c r="I11" s="321">
        <f t="shared" ref="I11:I30" si="2">I10-G11+E11</f>
        <v>9530.11</v>
      </c>
      <c r="J11" s="322"/>
    </row>
    <row r="12" spans="1:10" s="308" customFormat="1" ht="12.75" customHeight="1" x14ac:dyDescent="0.25">
      <c r="A12" s="364" t="s">
        <v>320</v>
      </c>
      <c r="B12" s="318">
        <v>45968</v>
      </c>
      <c r="C12" s="404" t="s">
        <v>274</v>
      </c>
      <c r="D12" s="402" t="s">
        <v>323</v>
      </c>
      <c r="E12" s="320"/>
      <c r="F12" s="320">
        <f t="shared" si="1"/>
        <v>10000</v>
      </c>
      <c r="G12" s="325">
        <v>28.98</v>
      </c>
      <c r="H12" s="321">
        <f t="shared" si="0"/>
        <v>498.87</v>
      </c>
      <c r="I12" s="321">
        <f t="shared" si="2"/>
        <v>9501.130000000001</v>
      </c>
      <c r="J12" s="322"/>
    </row>
    <row r="13" spans="1:10" s="308" customFormat="1" ht="12.75" customHeight="1" x14ac:dyDescent="0.25">
      <c r="A13" s="364" t="s">
        <v>320</v>
      </c>
      <c r="B13" s="318">
        <v>45968</v>
      </c>
      <c r="C13" s="404">
        <v>9500</v>
      </c>
      <c r="D13" s="332" t="s">
        <v>324</v>
      </c>
      <c r="E13" s="320"/>
      <c r="F13" s="320">
        <f t="shared" si="1"/>
        <v>10000</v>
      </c>
      <c r="G13" s="325">
        <v>286.60000000000002</v>
      </c>
      <c r="H13" s="321">
        <f t="shared" si="0"/>
        <v>785.47</v>
      </c>
      <c r="I13" s="321">
        <f t="shared" si="2"/>
        <v>9214.5300000000007</v>
      </c>
      <c r="J13" s="322"/>
    </row>
    <row r="14" spans="1:10" s="308" customFormat="1" ht="12.75" customHeight="1" x14ac:dyDescent="0.2">
      <c r="A14" s="171" t="s">
        <v>383</v>
      </c>
      <c r="B14" s="153">
        <v>45996</v>
      </c>
      <c r="C14" s="155" t="s">
        <v>274</v>
      </c>
      <c r="D14" s="181" t="s">
        <v>384</v>
      </c>
      <c r="E14" s="320"/>
      <c r="F14" s="320">
        <f t="shared" si="1"/>
        <v>10000</v>
      </c>
      <c r="G14" s="325">
        <v>12.23</v>
      </c>
      <c r="H14" s="321">
        <f t="shared" si="0"/>
        <v>797.7</v>
      </c>
      <c r="I14" s="321">
        <f t="shared" si="2"/>
        <v>9202.3000000000011</v>
      </c>
      <c r="J14" s="322"/>
    </row>
    <row r="15" spans="1:10" s="308" customFormat="1" ht="12.75" customHeight="1" x14ac:dyDescent="0.2">
      <c r="A15" s="171" t="s">
        <v>383</v>
      </c>
      <c r="B15" s="153">
        <v>45996</v>
      </c>
      <c r="C15" s="401">
        <v>9500</v>
      </c>
      <c r="D15" s="126" t="s">
        <v>385</v>
      </c>
      <c r="E15" s="320"/>
      <c r="F15" s="320">
        <f t="shared" si="1"/>
        <v>10000</v>
      </c>
      <c r="G15" s="325">
        <v>79.3</v>
      </c>
      <c r="H15" s="321">
        <f t="shared" si="0"/>
        <v>877</v>
      </c>
      <c r="I15" s="321">
        <f t="shared" si="2"/>
        <v>9123.0000000000018</v>
      </c>
      <c r="J15" s="322"/>
    </row>
    <row r="16" spans="1:10" s="308" customFormat="1" ht="12.75" customHeight="1" x14ac:dyDescent="0.2">
      <c r="A16" s="171" t="s">
        <v>418</v>
      </c>
      <c r="B16" s="153">
        <v>46030</v>
      </c>
      <c r="C16" s="155" t="s">
        <v>274</v>
      </c>
      <c r="D16" s="181" t="s">
        <v>419</v>
      </c>
      <c r="E16" s="320"/>
      <c r="F16" s="320">
        <f t="shared" si="1"/>
        <v>10000</v>
      </c>
      <c r="G16" s="325">
        <v>38.270000000000003</v>
      </c>
      <c r="H16" s="321">
        <f t="shared" si="0"/>
        <v>915.27</v>
      </c>
      <c r="I16" s="321">
        <f t="shared" si="2"/>
        <v>9084.7300000000014</v>
      </c>
      <c r="J16" s="322"/>
    </row>
    <row r="17" spans="1:10" s="308" customFormat="1" ht="12.75" customHeight="1" x14ac:dyDescent="0.2">
      <c r="A17" s="171" t="s">
        <v>418</v>
      </c>
      <c r="B17" s="153">
        <v>46030</v>
      </c>
      <c r="C17" s="401">
        <v>9500</v>
      </c>
      <c r="D17" s="126" t="s">
        <v>420</v>
      </c>
      <c r="E17" s="320"/>
      <c r="F17" s="320">
        <f t="shared" si="1"/>
        <v>10000</v>
      </c>
      <c r="G17" s="325">
        <v>435.2</v>
      </c>
      <c r="H17" s="321">
        <f t="shared" si="0"/>
        <v>1350.47</v>
      </c>
      <c r="I17" s="321">
        <f t="shared" si="2"/>
        <v>8649.5300000000007</v>
      </c>
      <c r="J17" s="322"/>
    </row>
    <row r="18" spans="1:10" s="308" customFormat="1" ht="12.75" customHeight="1" x14ac:dyDescent="0.2">
      <c r="A18" s="171" t="s">
        <v>492</v>
      </c>
      <c r="B18" s="153">
        <v>46062</v>
      </c>
      <c r="C18" s="155" t="s">
        <v>274</v>
      </c>
      <c r="D18" s="181" t="s">
        <v>493</v>
      </c>
      <c r="E18" s="320"/>
      <c r="F18" s="320">
        <f t="shared" si="1"/>
        <v>10000</v>
      </c>
      <c r="G18" s="325">
        <v>142.26</v>
      </c>
      <c r="H18" s="321">
        <f t="shared" si="0"/>
        <v>1492.73</v>
      </c>
      <c r="I18" s="321">
        <f t="shared" si="2"/>
        <v>8507.27</v>
      </c>
      <c r="J18" s="322"/>
    </row>
    <row r="19" spans="1:10" s="308" customFormat="1" ht="12.75" customHeight="1" x14ac:dyDescent="0.2">
      <c r="A19" s="171" t="s">
        <v>492</v>
      </c>
      <c r="B19" s="153">
        <v>46062</v>
      </c>
      <c r="C19" s="401">
        <v>9500</v>
      </c>
      <c r="D19" s="126" t="s">
        <v>494</v>
      </c>
      <c r="E19" s="320"/>
      <c r="F19" s="320">
        <f t="shared" si="1"/>
        <v>10000</v>
      </c>
      <c r="G19" s="325">
        <v>1771</v>
      </c>
      <c r="H19" s="321">
        <f t="shared" si="0"/>
        <v>3263.73</v>
      </c>
      <c r="I19" s="321">
        <f t="shared" si="2"/>
        <v>6736.27</v>
      </c>
      <c r="J19" s="322"/>
    </row>
    <row r="20" spans="1:10" s="308" customFormat="1" ht="12.75" customHeight="1" x14ac:dyDescent="0.2">
      <c r="A20" s="171" t="s">
        <v>550</v>
      </c>
      <c r="B20" s="153">
        <v>46090</v>
      </c>
      <c r="C20" s="155" t="s">
        <v>274</v>
      </c>
      <c r="D20" s="181" t="s">
        <v>551</v>
      </c>
      <c r="E20" s="320"/>
      <c r="F20" s="320">
        <f t="shared" si="1"/>
        <v>10000</v>
      </c>
      <c r="G20" s="325">
        <v>31.01</v>
      </c>
      <c r="H20" s="321">
        <f t="shared" si="0"/>
        <v>3294.7400000000002</v>
      </c>
      <c r="I20" s="321">
        <f t="shared" si="2"/>
        <v>6705.26</v>
      </c>
      <c r="J20" s="322"/>
    </row>
    <row r="21" spans="1:10" s="308" customFormat="1" ht="12.75" customHeight="1" x14ac:dyDescent="0.2">
      <c r="A21" s="171" t="s">
        <v>550</v>
      </c>
      <c r="B21" s="153">
        <v>46090</v>
      </c>
      <c r="C21" s="401">
        <v>9500</v>
      </c>
      <c r="D21" s="126" t="s">
        <v>552</v>
      </c>
      <c r="E21" s="320"/>
      <c r="F21" s="320">
        <f t="shared" si="1"/>
        <v>10000</v>
      </c>
      <c r="G21" s="325">
        <v>356.5</v>
      </c>
      <c r="H21" s="321">
        <f t="shared" si="0"/>
        <v>3651.2400000000002</v>
      </c>
      <c r="I21" s="321">
        <f t="shared" si="2"/>
        <v>6348.76</v>
      </c>
      <c r="J21" s="322"/>
    </row>
    <row r="22" spans="1:10" s="308" customFormat="1" ht="12.75" customHeight="1" x14ac:dyDescent="0.2">
      <c r="A22" s="171" t="s">
        <v>626</v>
      </c>
      <c r="B22" s="153">
        <v>46118</v>
      </c>
      <c r="C22" s="155" t="s">
        <v>274</v>
      </c>
      <c r="D22" s="181" t="s">
        <v>627</v>
      </c>
      <c r="E22" s="320"/>
      <c r="F22" s="320">
        <f t="shared" si="1"/>
        <v>10000</v>
      </c>
      <c r="G22" s="325">
        <v>33.1</v>
      </c>
      <c r="H22" s="321">
        <f t="shared" si="0"/>
        <v>3684.34</v>
      </c>
      <c r="I22" s="321">
        <f t="shared" si="2"/>
        <v>6315.66</v>
      </c>
      <c r="J22" s="322"/>
    </row>
    <row r="23" spans="1:10" s="308" customFormat="1" ht="12.75" customHeight="1" x14ac:dyDescent="0.2">
      <c r="A23" s="171" t="s">
        <v>626</v>
      </c>
      <c r="B23" s="153">
        <v>46118</v>
      </c>
      <c r="C23" s="401">
        <v>9500</v>
      </c>
      <c r="D23" s="126" t="s">
        <v>628</v>
      </c>
      <c r="E23" s="320"/>
      <c r="F23" s="320">
        <f t="shared" si="1"/>
        <v>10000</v>
      </c>
      <c r="G23" s="325">
        <v>268.39999999999998</v>
      </c>
      <c r="H23" s="321">
        <f t="shared" si="0"/>
        <v>3952.7400000000002</v>
      </c>
      <c r="I23" s="321">
        <f t="shared" si="2"/>
        <v>6047.26</v>
      </c>
      <c r="J23" s="322"/>
    </row>
    <row r="24" spans="1:10" s="308" customFormat="1" ht="12.75" customHeight="1" x14ac:dyDescent="0.2">
      <c r="A24" s="171" t="s">
        <v>752</v>
      </c>
      <c r="B24" s="153">
        <v>46149</v>
      </c>
      <c r="C24" s="155" t="s">
        <v>274</v>
      </c>
      <c r="D24" s="181" t="s">
        <v>753</v>
      </c>
      <c r="E24" s="320"/>
      <c r="F24" s="320">
        <f t="shared" si="1"/>
        <v>10000</v>
      </c>
      <c r="G24" s="325">
        <v>48.08</v>
      </c>
      <c r="H24" s="321">
        <f t="shared" si="0"/>
        <v>4000.82</v>
      </c>
      <c r="I24" s="321">
        <f t="shared" si="2"/>
        <v>5999.18</v>
      </c>
      <c r="J24" s="322"/>
    </row>
    <row r="25" spans="1:10" s="308" customFormat="1" ht="12.75" customHeight="1" x14ac:dyDescent="0.2">
      <c r="A25" s="171" t="s">
        <v>752</v>
      </c>
      <c r="B25" s="153">
        <v>46149</v>
      </c>
      <c r="C25" s="401">
        <v>9500</v>
      </c>
      <c r="D25" s="126" t="s">
        <v>754</v>
      </c>
      <c r="E25" s="320"/>
      <c r="F25" s="320">
        <f t="shared" si="1"/>
        <v>10000</v>
      </c>
      <c r="G25" s="325">
        <v>501.2</v>
      </c>
      <c r="H25" s="321">
        <f t="shared" si="0"/>
        <v>4502.0200000000004</v>
      </c>
      <c r="I25" s="321">
        <f t="shared" si="2"/>
        <v>5497.9800000000005</v>
      </c>
      <c r="J25" s="322"/>
    </row>
    <row r="26" spans="1:10" s="308" customFormat="1" ht="12.75" customHeight="1" x14ac:dyDescent="0.2">
      <c r="A26" s="171" t="s">
        <v>844</v>
      </c>
      <c r="B26" s="153">
        <v>46181</v>
      </c>
      <c r="C26" s="155" t="s">
        <v>274</v>
      </c>
      <c r="D26" s="181" t="s">
        <v>845</v>
      </c>
      <c r="E26" s="320"/>
      <c r="F26" s="320">
        <f t="shared" si="1"/>
        <v>10000</v>
      </c>
      <c r="G26" s="325">
        <v>27.82</v>
      </c>
      <c r="H26" s="321">
        <f t="shared" si="0"/>
        <v>4529.84</v>
      </c>
      <c r="I26" s="321">
        <f t="shared" si="2"/>
        <v>5470.1600000000008</v>
      </c>
      <c r="J26" s="322"/>
    </row>
    <row r="27" spans="1:10" s="308" customFormat="1" ht="12.75" customHeight="1" x14ac:dyDescent="0.2">
      <c r="A27" s="171" t="s">
        <v>844</v>
      </c>
      <c r="B27" s="153">
        <v>46181</v>
      </c>
      <c r="C27" s="401">
        <v>9500</v>
      </c>
      <c r="D27" s="126" t="s">
        <v>846</v>
      </c>
      <c r="E27" s="320"/>
      <c r="F27" s="320">
        <f t="shared" si="1"/>
        <v>10000</v>
      </c>
      <c r="G27" s="325">
        <v>342.2</v>
      </c>
      <c r="H27" s="321">
        <f t="shared" si="0"/>
        <v>4872.04</v>
      </c>
      <c r="I27" s="321">
        <f t="shared" si="2"/>
        <v>5127.9600000000009</v>
      </c>
      <c r="J27" s="322"/>
    </row>
    <row r="28" spans="1:10" s="308" customFormat="1" ht="12.75" customHeight="1" x14ac:dyDescent="0.2">
      <c r="A28" s="171" t="s">
        <v>989</v>
      </c>
      <c r="B28" s="153">
        <v>46211</v>
      </c>
      <c r="C28" s="155" t="s">
        <v>274</v>
      </c>
      <c r="D28" s="181" t="s">
        <v>992</v>
      </c>
      <c r="E28" s="320"/>
      <c r="F28" s="320">
        <f t="shared" si="1"/>
        <v>10000</v>
      </c>
      <c r="G28" s="325">
        <v>148.76</v>
      </c>
      <c r="H28" s="321">
        <f t="shared" si="0"/>
        <v>5020.8</v>
      </c>
      <c r="I28" s="321">
        <f t="shared" si="2"/>
        <v>4979.2000000000007</v>
      </c>
      <c r="J28" s="322"/>
    </row>
    <row r="29" spans="1:10" s="308" customFormat="1" ht="12.75" customHeight="1" x14ac:dyDescent="0.2">
      <c r="A29" s="171" t="s">
        <v>989</v>
      </c>
      <c r="B29" s="153">
        <v>46211</v>
      </c>
      <c r="C29" s="401">
        <v>9500</v>
      </c>
      <c r="D29" s="126" t="s">
        <v>993</v>
      </c>
      <c r="E29" s="320"/>
      <c r="F29" s="320">
        <f t="shared" si="1"/>
        <v>10000</v>
      </c>
      <c r="G29" s="325">
        <v>1720.9</v>
      </c>
      <c r="H29" s="321">
        <f t="shared" si="0"/>
        <v>6741.7000000000007</v>
      </c>
      <c r="I29" s="321">
        <f t="shared" si="2"/>
        <v>3258.3000000000006</v>
      </c>
      <c r="J29" s="322"/>
    </row>
    <row r="30" spans="1:10" s="308" customFormat="1" ht="12.75" customHeight="1" x14ac:dyDescent="0.2">
      <c r="A30" s="171" t="s">
        <v>1036</v>
      </c>
      <c r="B30" s="153">
        <v>46218</v>
      </c>
      <c r="C30" s="155" t="s">
        <v>274</v>
      </c>
      <c r="D30" s="181" t="s">
        <v>1037</v>
      </c>
      <c r="E30" s="320"/>
      <c r="F30" s="320">
        <f t="shared" si="1"/>
        <v>10000</v>
      </c>
      <c r="G30" s="325">
        <v>59.77</v>
      </c>
      <c r="H30" s="321">
        <f t="shared" si="0"/>
        <v>6801.4700000000012</v>
      </c>
      <c r="I30" s="321">
        <f t="shared" si="2"/>
        <v>3198.5300000000007</v>
      </c>
      <c r="J30" s="322"/>
    </row>
    <row r="31" spans="1:10" s="308" customFormat="1" ht="12.75" customHeight="1" x14ac:dyDescent="0.25">
      <c r="A31" s="332"/>
      <c r="B31" s="324"/>
      <c r="C31" s="404"/>
      <c r="D31" s="328"/>
      <c r="E31" s="321"/>
      <c r="F31" s="321"/>
      <c r="G31" s="321"/>
      <c r="H31" s="321"/>
      <c r="I31" s="321"/>
      <c r="J31" s="322"/>
    </row>
    <row r="32" spans="1:10" s="308" customFormat="1" ht="12.75" customHeight="1" thickBot="1" x14ac:dyDescent="0.3">
      <c r="A32" s="332"/>
      <c r="B32" s="329"/>
      <c r="C32" s="404"/>
      <c r="D32" s="330" t="s">
        <v>54</v>
      </c>
      <c r="E32" s="184">
        <f>SUM(E9:E31)</f>
        <v>10000</v>
      </c>
      <c r="F32" s="184"/>
      <c r="G32" s="184">
        <f>SUM(G9:G31)</f>
        <v>6801.4700000000012</v>
      </c>
      <c r="H32" s="184"/>
      <c r="I32" s="184">
        <f>SUM(E32-G32)</f>
        <v>3198.5299999999988</v>
      </c>
      <c r="J32" s="322"/>
    </row>
    <row r="33" s="308" customFormat="1" ht="12.75" customHeight="1" thickTop="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sheetData>
  <pageMargins left="0.25" right="0.25" top="0.85" bottom="0.75" header="0.08" footer="0.3"/>
  <pageSetup scale="62"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E0F8F-A6A5-4E34-85FC-7317C3E71E3A}">
  <sheetPr codeName="Sheet73">
    <tabColor indexed="30"/>
    <pageSetUpPr fitToPage="1"/>
  </sheetPr>
  <dimension ref="A1:H50"/>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'#9489.00 PM TIME'!A1</f>
        <v>DOC &amp; ASP TWID Repairs</v>
      </c>
      <c r="B1" s="86"/>
      <c r="C1" s="86"/>
      <c r="D1" s="86"/>
      <c r="E1" s="6"/>
      <c r="F1" s="6"/>
      <c r="G1" s="6"/>
      <c r="H1" s="132"/>
    </row>
    <row r="2" spans="1:8" ht="15.75" x14ac:dyDescent="0.25">
      <c r="A2" s="88" t="str">
        <f>'RECAP #9489.00'!B2</f>
        <v>Project # 9489.00</v>
      </c>
      <c r="B2" s="87"/>
      <c r="C2" s="87"/>
      <c r="D2" s="87"/>
      <c r="E2" s="6"/>
      <c r="F2" s="6"/>
      <c r="G2" s="6"/>
      <c r="H2" s="132"/>
    </row>
    <row r="3" spans="1:8" ht="15.75" x14ac:dyDescent="0.25">
      <c r="A3" s="89" t="str">
        <f>'RECAP #9489.00'!B3</f>
        <v>Program code 948900</v>
      </c>
      <c r="B3" s="87"/>
      <c r="C3" s="87"/>
      <c r="D3" s="87"/>
      <c r="E3" s="90" t="str">
        <f>'RECAP #9489.00'!E3</f>
        <v>Major Program 4B01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#9489.00'!B6</f>
        <v>Project Manager - Brandon A</v>
      </c>
      <c r="B6" s="93"/>
      <c r="C6" s="93"/>
      <c r="D6" s="93"/>
      <c r="E6" s="90" t="s">
        <v>272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27"/>
      <c r="B9" s="318"/>
      <c r="C9" s="317"/>
      <c r="D9" s="317"/>
      <c r="E9" s="364"/>
      <c r="F9" s="365"/>
      <c r="G9" s="366"/>
      <c r="H9" s="366">
        <f>G9</f>
        <v>0</v>
      </c>
    </row>
    <row r="10" spans="1:8" s="308" customFormat="1" ht="12.75" customHeight="1" x14ac:dyDescent="0.25">
      <c r="A10" s="361"/>
      <c r="B10" s="318"/>
      <c r="C10" s="328"/>
      <c r="D10" s="328"/>
      <c r="E10" s="363"/>
      <c r="F10" s="367"/>
      <c r="G10" s="366"/>
      <c r="H10" s="366">
        <f>H9+G10</f>
        <v>0</v>
      </c>
    </row>
    <row r="11" spans="1:8" s="308" customFormat="1" ht="12.75" customHeight="1" x14ac:dyDescent="0.25">
      <c r="A11" s="361"/>
      <c r="B11" s="318"/>
      <c r="C11" s="318"/>
      <c r="D11" s="318"/>
      <c r="E11" s="363"/>
      <c r="F11" s="367"/>
      <c r="G11" s="366"/>
      <c r="H11" s="366">
        <f t="shared" ref="H11:H20" si="0">H10+G11</f>
        <v>0</v>
      </c>
    </row>
    <row r="12" spans="1:8" s="308" customFormat="1" ht="12.75" customHeight="1" x14ac:dyDescent="0.25">
      <c r="A12" s="361" t="s">
        <v>3</v>
      </c>
      <c r="B12" s="318" t="s">
        <v>3</v>
      </c>
      <c r="C12" s="318"/>
      <c r="D12" s="318"/>
      <c r="E12" s="363" t="s">
        <v>3</v>
      </c>
      <c r="F12" s="367"/>
      <c r="G12" s="366"/>
      <c r="H12" s="366">
        <f t="shared" si="0"/>
        <v>0</v>
      </c>
    </row>
    <row r="13" spans="1:8" s="308" customFormat="1" ht="12.75" customHeight="1" x14ac:dyDescent="0.25">
      <c r="A13" s="361" t="s">
        <v>3</v>
      </c>
      <c r="B13" s="318" t="s">
        <v>3</v>
      </c>
      <c r="C13" s="318"/>
      <c r="D13" s="318"/>
      <c r="E13" s="363" t="s">
        <v>3</v>
      </c>
      <c r="F13" s="367"/>
      <c r="G13" s="366"/>
      <c r="H13" s="366">
        <f t="shared" si="0"/>
        <v>0</v>
      </c>
    </row>
    <row r="14" spans="1:8" s="308" customFormat="1" ht="12.75" customHeight="1" x14ac:dyDescent="0.25">
      <c r="A14" s="361"/>
      <c r="B14" s="318"/>
      <c r="C14" s="318"/>
      <c r="D14" s="318"/>
      <c r="E14" s="363"/>
      <c r="F14" s="367"/>
      <c r="G14" s="366"/>
      <c r="H14" s="366">
        <f t="shared" si="0"/>
        <v>0</v>
      </c>
    </row>
    <row r="15" spans="1:8" s="308" customFormat="1" ht="12.75" customHeight="1" x14ac:dyDescent="0.25">
      <c r="A15" s="361"/>
      <c r="B15" s="318"/>
      <c r="C15" s="318"/>
      <c r="D15" s="318"/>
      <c r="E15" s="368"/>
      <c r="F15" s="367"/>
      <c r="G15" s="366"/>
      <c r="H15" s="366">
        <f t="shared" si="0"/>
        <v>0</v>
      </c>
    </row>
    <row r="16" spans="1:8" s="308" customFormat="1" ht="12.75" customHeight="1" x14ac:dyDescent="0.25">
      <c r="A16" s="361"/>
      <c r="B16" s="318"/>
      <c r="C16" s="318"/>
      <c r="D16" s="318"/>
      <c r="E16" s="363"/>
      <c r="F16" s="367"/>
      <c r="G16" s="366"/>
      <c r="H16" s="366">
        <f t="shared" si="0"/>
        <v>0</v>
      </c>
    </row>
    <row r="17" spans="1:8" s="308" customFormat="1" ht="12.75" customHeight="1" x14ac:dyDescent="0.25">
      <c r="A17" s="317"/>
      <c r="B17" s="318"/>
      <c r="C17" s="318"/>
      <c r="D17" s="318"/>
      <c r="E17" s="363"/>
      <c r="F17" s="367"/>
      <c r="G17" s="366"/>
      <c r="H17" s="366">
        <f t="shared" si="0"/>
        <v>0</v>
      </c>
    </row>
    <row r="18" spans="1:8" s="308" customFormat="1" ht="12.75" customHeight="1" x14ac:dyDescent="0.25">
      <c r="A18" s="317"/>
      <c r="B18" s="318"/>
      <c r="C18" s="318"/>
      <c r="D18" s="318"/>
      <c r="E18" s="363"/>
      <c r="F18" s="367"/>
      <c r="G18" s="366"/>
      <c r="H18" s="366">
        <f t="shared" si="0"/>
        <v>0</v>
      </c>
    </row>
    <row r="19" spans="1:8" s="308" customFormat="1" ht="12.75" customHeight="1" x14ac:dyDescent="0.25">
      <c r="A19" s="317"/>
      <c r="B19" s="318"/>
      <c r="C19" s="318"/>
      <c r="D19" s="318"/>
      <c r="E19" s="363"/>
      <c r="F19" s="367"/>
      <c r="G19" s="366"/>
      <c r="H19" s="366">
        <f t="shared" si="0"/>
        <v>0</v>
      </c>
    </row>
    <row r="20" spans="1:8" s="308" customFormat="1" ht="12.75" customHeight="1" x14ac:dyDescent="0.25">
      <c r="A20" s="317"/>
      <c r="B20" s="318"/>
      <c r="C20" s="318"/>
      <c r="D20" s="318"/>
      <c r="E20" s="363"/>
      <c r="F20" s="367"/>
      <c r="G20" s="366"/>
      <c r="H20" s="366">
        <f t="shared" si="0"/>
        <v>0</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0</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B577C-5E0C-4E71-819B-EC68261C77C5}">
  <sheetPr codeName="Sheet74">
    <tabColor rgb="FF0070C0"/>
    <pageSetUpPr fitToPage="1"/>
  </sheetPr>
  <dimension ref="A1:G17"/>
  <sheetViews>
    <sheetView zoomScaleNormal="100" workbookViewId="0">
      <selection activeCell="D23" sqref="D23"/>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234"/>
      <c r="B1" s="116" t="s">
        <v>133</v>
      </c>
      <c r="C1" s="116"/>
      <c r="D1" s="193"/>
      <c r="E1" s="193"/>
      <c r="F1" s="193"/>
      <c r="G1" s="193"/>
    </row>
    <row r="2" spans="1:7" ht="15.75" x14ac:dyDescent="0.25">
      <c r="A2" s="234"/>
      <c r="B2" s="134" t="s">
        <v>134</v>
      </c>
      <c r="C2" s="196"/>
      <c r="D2" s="193"/>
      <c r="E2" s="193"/>
      <c r="F2" s="193"/>
      <c r="G2" s="193"/>
    </row>
    <row r="3" spans="1:7" ht="15.75" x14ac:dyDescent="0.25">
      <c r="A3" s="234"/>
      <c r="B3" s="197" t="s">
        <v>135</v>
      </c>
      <c r="C3" s="196"/>
      <c r="D3" s="193"/>
      <c r="E3" s="198" t="s">
        <v>79</v>
      </c>
      <c r="F3" s="193"/>
      <c r="G3" s="193"/>
    </row>
    <row r="4" spans="1:7" ht="15.75" x14ac:dyDescent="0.25">
      <c r="A4" s="234"/>
      <c r="B4" s="194" t="s">
        <v>36</v>
      </c>
      <c r="C4" s="235" t="s">
        <v>3</v>
      </c>
      <c r="D4" s="193"/>
      <c r="E4" s="193"/>
      <c r="F4" s="193"/>
      <c r="G4" s="193"/>
    </row>
    <row r="5" spans="1:7" ht="15.75" x14ac:dyDescent="0.25">
      <c r="A5" s="234"/>
      <c r="B5" s="134" t="s">
        <v>63</v>
      </c>
      <c r="C5" s="196"/>
      <c r="D5" s="193"/>
      <c r="E5" s="237" t="s">
        <v>1053</v>
      </c>
      <c r="F5" s="489"/>
      <c r="G5" s="193"/>
    </row>
    <row r="6" spans="1:7" ht="15.75" x14ac:dyDescent="0.25">
      <c r="A6" s="234"/>
      <c r="B6" s="134" t="s">
        <v>136</v>
      </c>
      <c r="C6" s="236"/>
      <c r="D6" s="237" t="s">
        <v>3</v>
      </c>
      <c r="E6" s="193"/>
      <c r="F6" s="193"/>
      <c r="G6" s="193"/>
    </row>
    <row r="7" spans="1:7" ht="26.85" customHeight="1" thickBot="1" x14ac:dyDescent="0.3">
      <c r="A7" s="234"/>
      <c r="B7" s="238" t="s">
        <v>3</v>
      </c>
      <c r="C7" s="239" t="s">
        <v>0</v>
      </c>
      <c r="D7" s="240" t="s">
        <v>1</v>
      </c>
      <c r="E7" s="241" t="s">
        <v>2</v>
      </c>
      <c r="F7" s="242" t="s">
        <v>37</v>
      </c>
      <c r="G7" s="242" t="s">
        <v>38</v>
      </c>
    </row>
    <row r="8" spans="1:7" ht="28.35" customHeight="1" x14ac:dyDescent="0.25">
      <c r="A8" s="234"/>
      <c r="B8" s="196" t="s">
        <v>39</v>
      </c>
      <c r="C8" s="243">
        <f>'#9490.00 Funds Rec''d '!H24</f>
        <v>20787.560000000001</v>
      </c>
      <c r="D8" s="244"/>
      <c r="E8" s="244"/>
      <c r="F8" s="244"/>
      <c r="G8" s="245"/>
    </row>
    <row r="9" spans="1:7" x14ac:dyDescent="0.25">
      <c r="A9" s="234"/>
      <c r="B9" s="196"/>
      <c r="C9" s="246"/>
      <c r="D9" s="247"/>
      <c r="E9" s="247"/>
      <c r="F9" s="247"/>
      <c r="G9" s="245"/>
    </row>
    <row r="10" spans="1:7" x14ac:dyDescent="0.25">
      <c r="A10" s="234" t="s">
        <v>325</v>
      </c>
      <c r="B10" s="196" t="s">
        <v>40</v>
      </c>
      <c r="C10" s="246"/>
      <c r="D10" s="244">
        <f>'#9490.00 Vendor A '!D23</f>
        <v>0</v>
      </c>
      <c r="E10" s="244">
        <f>'#9490.00 Vendor A '!F23</f>
        <v>0</v>
      </c>
      <c r="F10" s="244">
        <f>'#9490.00 Vendor A '!H23</f>
        <v>0</v>
      </c>
      <c r="G10" s="245"/>
    </row>
    <row r="11" spans="1:7" x14ac:dyDescent="0.25">
      <c r="A11" s="234" t="s">
        <v>325</v>
      </c>
      <c r="B11" s="196" t="s">
        <v>41</v>
      </c>
      <c r="C11" s="246"/>
      <c r="D11" s="244">
        <f>'#9490.00 PM TIME'!E23</f>
        <v>2127.56</v>
      </c>
      <c r="E11" s="244">
        <f>'#9490.00 PM TIME'!G23</f>
        <v>2127.5600000000004</v>
      </c>
      <c r="F11" s="248">
        <f>'#9490.00 PM TIME'!I23</f>
        <v>-4.5474735088646412E-13</v>
      </c>
      <c r="G11" s="245"/>
    </row>
    <row r="12" spans="1:7" x14ac:dyDescent="0.25">
      <c r="A12" s="234" t="s">
        <v>325</v>
      </c>
      <c r="B12" s="196" t="s">
        <v>42</v>
      </c>
      <c r="C12" s="247"/>
      <c r="D12" s="229">
        <f>'#9490.00 Misc '!G22</f>
        <v>18660</v>
      </c>
      <c r="E12" s="229">
        <f>'#9490.00 Misc '!G22</f>
        <v>18660</v>
      </c>
      <c r="F12" s="244">
        <f>D12-E12</f>
        <v>0</v>
      </c>
      <c r="G12" s="245"/>
    </row>
    <row r="13" spans="1:7" ht="13.35" customHeight="1" x14ac:dyDescent="0.25">
      <c r="A13" s="234"/>
      <c r="B13" s="196"/>
      <c r="C13" s="247"/>
      <c r="D13" s="229"/>
      <c r="E13" s="229"/>
      <c r="F13" s="244"/>
      <c r="G13" s="245"/>
    </row>
    <row r="14" spans="1:7" ht="24" customHeight="1" thickBot="1" x14ac:dyDescent="0.3">
      <c r="A14" s="249"/>
      <c r="B14" s="250" t="s">
        <v>43</v>
      </c>
      <c r="C14" s="251">
        <f>SUM(C8:C13)</f>
        <v>20787.560000000001</v>
      </c>
      <c r="D14" s="251">
        <f>SUM(D8:D13)</f>
        <v>20787.560000000001</v>
      </c>
      <c r="E14" s="251">
        <f>SUM(E8:E13)</f>
        <v>20787.560000000001</v>
      </c>
      <c r="F14" s="251">
        <f>SUM(D14-E14)</f>
        <v>0</v>
      </c>
      <c r="G14" s="251">
        <f>C8-D14</f>
        <v>0</v>
      </c>
    </row>
    <row r="15" spans="1:7" ht="13.35" customHeight="1" thickTop="1" x14ac:dyDescent="0.25">
      <c r="A15" s="234"/>
      <c r="B15" s="196"/>
      <c r="C15" s="196"/>
      <c r="D15" s="245"/>
      <c r="E15" s="245"/>
      <c r="F15" s="245"/>
      <c r="G15" s="245"/>
    </row>
    <row r="16" spans="1:7" ht="13.35" customHeight="1" x14ac:dyDescent="0.25">
      <c r="A16" s="234"/>
      <c r="B16" s="196"/>
      <c r="C16" s="196"/>
      <c r="D16" s="245"/>
      <c r="E16" s="245"/>
      <c r="F16" s="245"/>
      <c r="G16" s="245"/>
    </row>
    <row r="17" spans="1:7" ht="13.35" customHeight="1" x14ac:dyDescent="0.25">
      <c r="A17" s="234"/>
      <c r="B17" s="234" t="s">
        <v>326</v>
      </c>
      <c r="C17" s="196"/>
      <c r="D17" s="245"/>
      <c r="E17" s="245"/>
      <c r="F17" s="245"/>
      <c r="G17" s="245"/>
    </row>
  </sheetData>
  <pageMargins left="0.25" right="0.25" top="0.85" bottom="0.75" header="0.08" footer="0.3"/>
  <pageSetup scale="89" orientation="portrait" r:id="rId1"/>
  <headerFooter alignWithMargins="0">
    <oddHeader>&amp;CDepartment of Administrative Services
MOU Project Improvements DA26
&amp;A
&amp;D</oddHeader>
    <oddFooter>&amp;C&amp;F</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D03E4-B6DC-480D-A7A9-D3AFB06534FA}">
  <sheetPr codeName="Sheet75">
    <tabColor rgb="FF0070C0"/>
    <pageSetUpPr fitToPage="1"/>
  </sheetPr>
  <dimension ref="A1:H25"/>
  <sheetViews>
    <sheetView topLeftCell="A4"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253" t="str">
        <f>'RECAP #9490.00'!B1</f>
        <v>DOC NCF Forced Main Sewer Pipe Failure (29C20)</v>
      </c>
      <c r="B1" s="254"/>
      <c r="C1" s="255"/>
      <c r="D1" s="256"/>
      <c r="E1" s="256"/>
      <c r="F1" s="254"/>
      <c r="G1" s="254"/>
      <c r="H1" s="254"/>
    </row>
    <row r="2" spans="1:8" x14ac:dyDescent="0.25">
      <c r="A2" s="257" t="str">
        <f>'RECAP #9490.00'!B2</f>
        <v>Project # 9490.00</v>
      </c>
      <c r="B2" s="254"/>
      <c r="C2" s="258" t="s">
        <v>3</v>
      </c>
      <c r="D2" s="259"/>
      <c r="E2" s="259"/>
      <c r="F2" s="254"/>
      <c r="G2" s="254"/>
      <c r="H2" s="254"/>
    </row>
    <row r="3" spans="1:8" x14ac:dyDescent="0.25">
      <c r="A3" s="260" t="str">
        <f>'RECAP #9490.00'!B3</f>
        <v>Program code 949000</v>
      </c>
      <c r="B3" s="254"/>
      <c r="C3" s="258" t="s">
        <v>3</v>
      </c>
      <c r="D3" s="261" t="str">
        <f>'RECAP #9490.00'!E3</f>
        <v>Major Program 4E01</v>
      </c>
      <c r="E3" s="256"/>
      <c r="F3" s="254"/>
      <c r="G3" s="254"/>
      <c r="H3" s="254"/>
    </row>
    <row r="4" spans="1:8" ht="15.75" x14ac:dyDescent="0.25">
      <c r="A4" s="116" t="s">
        <v>44</v>
      </c>
      <c r="B4" s="262" t="s">
        <v>3</v>
      </c>
      <c r="C4" s="256"/>
      <c r="D4" s="256"/>
      <c r="E4" s="256"/>
      <c r="F4" s="254"/>
      <c r="G4" s="254"/>
      <c r="H4" s="254"/>
    </row>
    <row r="5" spans="1:8" x14ac:dyDescent="0.25">
      <c r="A5" s="249" t="s">
        <v>122</v>
      </c>
      <c r="B5" s="263"/>
      <c r="C5" s="264"/>
      <c r="D5" s="217"/>
      <c r="E5" s="254"/>
      <c r="F5" s="254"/>
      <c r="G5" s="254"/>
      <c r="H5" s="254"/>
    </row>
    <row r="6" spans="1:8" x14ac:dyDescent="0.25">
      <c r="A6" s="265" t="str">
        <f>'RECAP #9490.00'!B6</f>
        <v>Project Manager - Brad T.</v>
      </c>
      <c r="B6" s="263"/>
      <c r="C6" s="266"/>
      <c r="D6" s="217"/>
      <c r="E6" s="263"/>
      <c r="F6" s="217"/>
      <c r="G6" s="266"/>
      <c r="H6" s="266"/>
    </row>
    <row r="7" spans="1:8" ht="18" x14ac:dyDescent="0.25">
      <c r="A7" s="265"/>
      <c r="B7" s="268"/>
      <c r="C7" s="269"/>
      <c r="D7" s="268"/>
      <c r="E7" s="268"/>
      <c r="F7" s="270"/>
      <c r="G7" s="269"/>
      <c r="H7" s="269"/>
    </row>
    <row r="8" spans="1:8" ht="50.85" customHeight="1" thickBot="1" x14ac:dyDescent="0.3">
      <c r="A8" s="271" t="s">
        <v>4</v>
      </c>
      <c r="B8" s="272" t="s">
        <v>45</v>
      </c>
      <c r="C8" s="273" t="s">
        <v>5</v>
      </c>
      <c r="D8" s="271" t="s">
        <v>6</v>
      </c>
      <c r="E8" s="272" t="s">
        <v>46</v>
      </c>
      <c r="F8" s="274" t="s">
        <v>7</v>
      </c>
      <c r="G8" s="273" t="s">
        <v>5</v>
      </c>
      <c r="H8" s="275" t="s">
        <v>8</v>
      </c>
    </row>
    <row r="9" spans="1:8" x14ac:dyDescent="0.25">
      <c r="A9" s="276"/>
      <c r="B9" s="215"/>
      <c r="C9" s="277"/>
      <c r="D9" s="278" t="s">
        <v>96</v>
      </c>
      <c r="E9" s="278" t="s">
        <v>188</v>
      </c>
      <c r="F9" s="279">
        <v>45898</v>
      </c>
      <c r="G9" s="280">
        <v>25000</v>
      </c>
      <c r="H9" s="280">
        <v>25000</v>
      </c>
    </row>
    <row r="10" spans="1:8" ht="26.25" x14ac:dyDescent="0.25">
      <c r="A10" s="276"/>
      <c r="B10" s="276"/>
      <c r="C10" s="281"/>
      <c r="D10" s="278" t="s">
        <v>328</v>
      </c>
      <c r="E10" s="276" t="s">
        <v>327</v>
      </c>
      <c r="F10" s="276">
        <v>45973</v>
      </c>
      <c r="G10" s="282">
        <v>-4212.4399999999996</v>
      </c>
      <c r="H10" s="282">
        <v>-4212.4399999999996</v>
      </c>
    </row>
    <row r="11" spans="1:8" x14ac:dyDescent="0.25">
      <c r="A11" s="283"/>
      <c r="B11" s="281"/>
      <c r="C11" s="284"/>
      <c r="D11" s="278"/>
      <c r="E11" s="267"/>
      <c r="F11" s="276"/>
      <c r="G11" s="285"/>
      <c r="H11" s="286"/>
    </row>
    <row r="12" spans="1:8" x14ac:dyDescent="0.25">
      <c r="A12" s="283"/>
      <c r="B12" s="281"/>
      <c r="C12" s="287"/>
      <c r="D12" s="278"/>
      <c r="E12" s="267"/>
      <c r="F12" s="276"/>
      <c r="G12" s="285"/>
      <c r="H12" s="286"/>
    </row>
    <row r="13" spans="1:8" x14ac:dyDescent="0.25">
      <c r="A13" s="288"/>
      <c r="B13" s="289"/>
      <c r="C13" s="287"/>
      <c r="D13" s="278"/>
      <c r="E13" s="267"/>
      <c r="F13" s="276"/>
      <c r="G13" s="290"/>
      <c r="H13" s="286"/>
    </row>
    <row r="14" spans="1:8" x14ac:dyDescent="0.25">
      <c r="A14" s="283"/>
      <c r="B14" s="263"/>
      <c r="C14" s="287"/>
      <c r="D14" s="281"/>
      <c r="E14" s="263"/>
      <c r="F14" s="276"/>
      <c r="G14" s="285"/>
      <c r="H14" s="286"/>
    </row>
    <row r="15" spans="1:8" x14ac:dyDescent="0.25">
      <c r="A15" s="283"/>
      <c r="B15" s="263"/>
      <c r="C15" s="264"/>
      <c r="D15" s="217"/>
      <c r="E15" s="289"/>
      <c r="F15" s="291"/>
      <c r="G15" s="292"/>
      <c r="H15" s="292"/>
    </row>
    <row r="16" spans="1:8" x14ac:dyDescent="0.25">
      <c r="A16" s="283"/>
      <c r="B16" s="263"/>
      <c r="C16" s="264" t="s">
        <v>3</v>
      </c>
      <c r="D16" s="217"/>
      <c r="E16" s="263"/>
      <c r="F16" s="291"/>
      <c r="G16" s="292"/>
      <c r="H16" s="292"/>
    </row>
    <row r="17" spans="1:8" x14ac:dyDescent="0.25">
      <c r="A17" s="283"/>
      <c r="B17" s="263"/>
      <c r="C17" s="264"/>
      <c r="D17" s="217"/>
      <c r="E17" s="263"/>
      <c r="F17" s="291"/>
      <c r="G17" s="293"/>
      <c r="H17" s="264"/>
    </row>
    <row r="18" spans="1:8" x14ac:dyDescent="0.25">
      <c r="A18" s="283"/>
      <c r="B18" s="252"/>
      <c r="C18" s="264"/>
      <c r="D18" s="217"/>
      <c r="E18" s="263"/>
      <c r="F18" s="291"/>
      <c r="G18" s="292"/>
      <c r="H18" s="292"/>
    </row>
    <row r="19" spans="1:8" x14ac:dyDescent="0.25">
      <c r="A19" s="283"/>
      <c r="B19" s="263"/>
      <c r="C19" s="264"/>
      <c r="D19" s="217"/>
      <c r="E19" s="263"/>
      <c r="F19" s="291"/>
      <c r="G19" s="292"/>
      <c r="H19" s="292"/>
    </row>
    <row r="20" spans="1:8" x14ac:dyDescent="0.25">
      <c r="A20" s="283"/>
      <c r="B20" s="263"/>
      <c r="C20" s="264"/>
      <c r="D20" s="217"/>
      <c r="E20" s="263"/>
      <c r="F20" s="291"/>
      <c r="G20" s="293"/>
      <c r="H20" s="264"/>
    </row>
    <row r="21" spans="1:8" x14ac:dyDescent="0.25">
      <c r="A21" s="283"/>
      <c r="B21" s="263"/>
      <c r="C21" s="264"/>
      <c r="D21" s="217"/>
      <c r="E21" s="263"/>
      <c r="F21" s="291"/>
      <c r="G21" s="293"/>
      <c r="H21" s="264"/>
    </row>
    <row r="22" spans="1:8" x14ac:dyDescent="0.25">
      <c r="A22" s="283"/>
      <c r="B22" s="263"/>
      <c r="C22" s="264"/>
      <c r="D22" s="217"/>
      <c r="E22" s="263"/>
      <c r="F22" s="283"/>
      <c r="G22" s="292"/>
      <c r="H22" s="292"/>
    </row>
    <row r="23" spans="1:8" x14ac:dyDescent="0.25">
      <c r="A23" s="283"/>
      <c r="B23" s="263"/>
      <c r="C23" s="264"/>
      <c r="D23" s="217"/>
      <c r="E23" s="263"/>
      <c r="F23" s="283"/>
      <c r="G23" s="292"/>
      <c r="H23" s="292"/>
    </row>
    <row r="24" spans="1:8" ht="15.75" thickBot="1" x14ac:dyDescent="0.3">
      <c r="A24" s="294"/>
      <c r="B24" s="295" t="s">
        <v>9</v>
      </c>
      <c r="C24" s="296">
        <f>SUM(C9:C23)</f>
        <v>0</v>
      </c>
      <c r="D24" s="297" t="s">
        <v>10</v>
      </c>
      <c r="E24" s="298"/>
      <c r="F24" s="299"/>
      <c r="G24" s="221">
        <f>SUM(G9:G23)</f>
        <v>20787.560000000001</v>
      </c>
      <c r="H24" s="221">
        <f>SUM(H9:H22)</f>
        <v>20787.560000000001</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91D8-402E-4568-82D8-E57F9CF1ABCD}">
  <sheetPr codeName="Sheet76">
    <tabColor indexed="30"/>
    <pageSetUpPr fitToPage="1"/>
  </sheetPr>
  <dimension ref="A1:I24"/>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116" t="str">
        <f>'RECAP #9490.00'!B1</f>
        <v>DOC NCF Forced Main Sewer Pipe Failure (29C20)</v>
      </c>
      <c r="B1" s="116"/>
      <c r="C1" s="193"/>
      <c r="D1" s="193"/>
      <c r="E1" s="193"/>
      <c r="F1" s="194"/>
      <c r="G1" s="194"/>
      <c r="H1" s="195"/>
      <c r="I1" s="195"/>
    </row>
    <row r="2" spans="1:9" ht="15.75" x14ac:dyDescent="0.25">
      <c r="A2" s="134" t="str">
        <f>'RECAP #9490.00'!B2</f>
        <v>Project # 9490.00</v>
      </c>
      <c r="B2" s="196"/>
      <c r="C2" s="193"/>
      <c r="D2" s="193"/>
      <c r="E2" s="193"/>
      <c r="F2" s="194"/>
      <c r="G2" s="194"/>
      <c r="H2" s="195"/>
      <c r="I2" s="195"/>
    </row>
    <row r="3" spans="1:9" ht="15.75" x14ac:dyDescent="0.25">
      <c r="A3" s="197" t="str">
        <f>'RECAP #9490.00'!B3</f>
        <v>Program code 949000</v>
      </c>
      <c r="B3" s="196"/>
      <c r="C3" s="193"/>
      <c r="D3" s="198" t="str">
        <f>'RECAP #9490.00'!E3</f>
        <v>Major Program 4E01</v>
      </c>
      <c r="E3" s="193"/>
      <c r="F3" s="194"/>
      <c r="G3" s="194"/>
      <c r="H3" s="195"/>
      <c r="I3" s="195"/>
    </row>
    <row r="4" spans="1:9" ht="15.75" x14ac:dyDescent="0.25">
      <c r="A4" s="116" t="s">
        <v>13</v>
      </c>
      <c r="B4" s="134"/>
      <c r="C4" s="195"/>
      <c r="D4" s="199" t="s">
        <v>47</v>
      </c>
      <c r="E4" s="194"/>
      <c r="F4" s="194"/>
      <c r="G4" s="194"/>
      <c r="H4" s="195"/>
      <c r="I4" s="195"/>
    </row>
    <row r="5" spans="1:9" ht="15.75" x14ac:dyDescent="0.25">
      <c r="A5" s="200" t="s">
        <v>66</v>
      </c>
      <c r="B5" s="195"/>
      <c r="C5" s="201"/>
      <c r="D5" s="140"/>
      <c r="E5" s="145"/>
      <c r="F5" s="194"/>
      <c r="G5" s="194"/>
      <c r="H5" s="195"/>
      <c r="I5" s="195"/>
    </row>
    <row r="6" spans="1:9" ht="15.75" x14ac:dyDescent="0.25">
      <c r="A6" s="134" t="str">
        <f>'RECAP #9490.00'!B6</f>
        <v>Project Manager - Brad T.</v>
      </c>
      <c r="B6" s="134"/>
      <c r="C6" s="202"/>
      <c r="D6" s="300" t="s">
        <v>48</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x14ac:dyDescent="0.25">
      <c r="A9" s="223"/>
      <c r="B9" s="209"/>
      <c r="C9" s="218"/>
      <c r="D9" s="211"/>
      <c r="E9" s="211">
        <f>D9</f>
        <v>0</v>
      </c>
      <c r="F9" s="212"/>
      <c r="G9" s="212"/>
      <c r="H9" s="212">
        <f>E9</f>
        <v>0</v>
      </c>
      <c r="I9" s="145"/>
    </row>
    <row r="10" spans="1:9" x14ac:dyDescent="0.25">
      <c r="A10" s="223"/>
      <c r="B10" s="288"/>
      <c r="C10" s="218"/>
      <c r="D10" s="211"/>
      <c r="E10" s="211">
        <f t="shared" ref="E10:E21" si="0">E9+D10</f>
        <v>0</v>
      </c>
      <c r="F10" s="216"/>
      <c r="G10" s="212">
        <f t="shared" ref="G10:G21" si="1">G9+F10</f>
        <v>0</v>
      </c>
      <c r="H10" s="212">
        <f t="shared" ref="H10:H21" si="2">H9-F10+D10</f>
        <v>0</v>
      </c>
      <c r="I10" s="145"/>
    </row>
    <row r="11" spans="1:9" x14ac:dyDescent="0.25">
      <c r="A11" s="223"/>
      <c r="B11" s="209"/>
      <c r="C11" s="218"/>
      <c r="D11" s="211"/>
      <c r="E11" s="211">
        <f t="shared" si="0"/>
        <v>0</v>
      </c>
      <c r="F11" s="216"/>
      <c r="G11" s="212">
        <f t="shared" si="1"/>
        <v>0</v>
      </c>
      <c r="H11" s="212">
        <f t="shared" si="2"/>
        <v>0</v>
      </c>
      <c r="I11" s="145"/>
    </row>
    <row r="12" spans="1:9" x14ac:dyDescent="0.25">
      <c r="A12" s="223"/>
      <c r="B12" s="209"/>
      <c r="C12" s="218"/>
      <c r="D12" s="211"/>
      <c r="E12" s="211">
        <f t="shared" si="0"/>
        <v>0</v>
      </c>
      <c r="F12" s="216"/>
      <c r="G12" s="212">
        <f t="shared" si="1"/>
        <v>0</v>
      </c>
      <c r="H12" s="212">
        <f t="shared" si="2"/>
        <v>0</v>
      </c>
      <c r="I12" s="145"/>
    </row>
    <row r="13" spans="1:9" x14ac:dyDescent="0.25">
      <c r="A13" s="223"/>
      <c r="B13" s="209"/>
      <c r="C13" s="218"/>
      <c r="D13" s="211"/>
      <c r="E13" s="211">
        <f t="shared" si="0"/>
        <v>0</v>
      </c>
      <c r="F13" s="216"/>
      <c r="G13" s="212">
        <f t="shared" si="1"/>
        <v>0</v>
      </c>
      <c r="H13" s="212">
        <f t="shared" si="2"/>
        <v>0</v>
      </c>
      <c r="I13" s="145"/>
    </row>
    <row r="14" spans="1:9" x14ac:dyDescent="0.25">
      <c r="A14" s="223"/>
      <c r="B14" s="209"/>
      <c r="C14" s="218"/>
      <c r="D14" s="211"/>
      <c r="E14" s="211">
        <f t="shared" si="0"/>
        <v>0</v>
      </c>
      <c r="F14" s="212"/>
      <c r="G14" s="212">
        <f t="shared" si="1"/>
        <v>0</v>
      </c>
      <c r="H14" s="212">
        <f t="shared" si="2"/>
        <v>0</v>
      </c>
      <c r="I14" s="145"/>
    </row>
    <row r="15" spans="1:9" x14ac:dyDescent="0.25">
      <c r="A15" s="223"/>
      <c r="B15" s="209"/>
      <c r="C15" s="218"/>
      <c r="D15" s="211"/>
      <c r="E15" s="211">
        <f t="shared" si="0"/>
        <v>0</v>
      </c>
      <c r="F15" s="216"/>
      <c r="G15" s="212">
        <f t="shared" si="1"/>
        <v>0</v>
      </c>
      <c r="H15" s="212">
        <f t="shared" si="2"/>
        <v>0</v>
      </c>
      <c r="I15" s="145"/>
    </row>
    <row r="16" spans="1:9" x14ac:dyDescent="0.25">
      <c r="A16" s="223"/>
      <c r="B16" s="209"/>
      <c r="C16" s="218"/>
      <c r="D16" s="211"/>
      <c r="E16" s="211">
        <f t="shared" si="0"/>
        <v>0</v>
      </c>
      <c r="F16" s="216"/>
      <c r="G16" s="212">
        <f t="shared" si="1"/>
        <v>0</v>
      </c>
      <c r="H16" s="212">
        <f t="shared" si="2"/>
        <v>0</v>
      </c>
      <c r="I16" s="145"/>
    </row>
    <row r="17" spans="1:9" x14ac:dyDescent="0.25">
      <c r="A17" s="223"/>
      <c r="B17" s="209"/>
      <c r="C17" s="218"/>
      <c r="D17" s="211"/>
      <c r="E17" s="211">
        <f t="shared" si="0"/>
        <v>0</v>
      </c>
      <c r="F17" s="216"/>
      <c r="G17" s="212">
        <f t="shared" si="1"/>
        <v>0</v>
      </c>
      <c r="H17" s="212">
        <f t="shared" si="2"/>
        <v>0</v>
      </c>
      <c r="I17" s="145"/>
    </row>
    <row r="18" spans="1:9" x14ac:dyDescent="0.25">
      <c r="A18" s="223"/>
      <c r="B18" s="209"/>
      <c r="C18" s="218"/>
      <c r="D18" s="211"/>
      <c r="E18" s="211">
        <f t="shared" si="0"/>
        <v>0</v>
      </c>
      <c r="F18" s="216"/>
      <c r="G18" s="212">
        <f t="shared" si="1"/>
        <v>0</v>
      </c>
      <c r="H18" s="212">
        <f t="shared" si="2"/>
        <v>0</v>
      </c>
      <c r="I18" s="145"/>
    </row>
    <row r="19" spans="1:9" x14ac:dyDescent="0.25">
      <c r="A19" s="223"/>
      <c r="B19" s="209"/>
      <c r="C19" s="218"/>
      <c r="D19" s="211"/>
      <c r="E19" s="211">
        <f t="shared" si="0"/>
        <v>0</v>
      </c>
      <c r="F19" s="212"/>
      <c r="G19" s="212">
        <f t="shared" si="1"/>
        <v>0</v>
      </c>
      <c r="H19" s="212">
        <f t="shared" si="2"/>
        <v>0</v>
      </c>
      <c r="I19" s="145"/>
    </row>
    <row r="20" spans="1:9" x14ac:dyDescent="0.25">
      <c r="A20" s="223"/>
      <c r="B20" s="209"/>
      <c r="C20" s="218"/>
      <c r="D20" s="211"/>
      <c r="E20" s="211">
        <f t="shared" si="0"/>
        <v>0</v>
      </c>
      <c r="F20" s="212"/>
      <c r="G20" s="212">
        <f t="shared" si="1"/>
        <v>0</v>
      </c>
      <c r="H20" s="212">
        <f t="shared" si="2"/>
        <v>0</v>
      </c>
      <c r="I20" s="145"/>
    </row>
    <row r="21" spans="1:9" x14ac:dyDescent="0.25">
      <c r="A21" s="223"/>
      <c r="B21" s="209"/>
      <c r="C21" s="227"/>
      <c r="D21" s="211"/>
      <c r="E21" s="211">
        <f t="shared" si="0"/>
        <v>0</v>
      </c>
      <c r="F21" s="212"/>
      <c r="G21" s="212">
        <f t="shared" si="1"/>
        <v>0</v>
      </c>
      <c r="H21" s="212">
        <f t="shared" si="2"/>
        <v>0</v>
      </c>
      <c r="I21" s="145"/>
    </row>
    <row r="22" spans="1:9" x14ac:dyDescent="0.25">
      <c r="A22" s="223"/>
      <c r="B22" s="218"/>
      <c r="C22" s="190"/>
      <c r="D22" s="212"/>
      <c r="E22" s="212"/>
      <c r="F22" s="212"/>
      <c r="G22" s="212"/>
      <c r="H22" s="212"/>
      <c r="I22" s="145"/>
    </row>
    <row r="23" spans="1:9" ht="15.75" thickBot="1" x14ac:dyDescent="0.3">
      <c r="A23" s="223"/>
      <c r="B23" s="219"/>
      <c r="C23" s="220" t="s">
        <v>54</v>
      </c>
      <c r="D23" s="221">
        <f>SUM(D9:D22)</f>
        <v>0</v>
      </c>
      <c r="E23" s="221"/>
      <c r="F23" s="221">
        <f>SUM(F9:F22)</f>
        <v>0</v>
      </c>
      <c r="G23" s="221"/>
      <c r="H23" s="221">
        <f>D23-F23</f>
        <v>0</v>
      </c>
      <c r="I23" s="145"/>
    </row>
    <row r="24" spans="1:9" ht="15" customHeight="1" thickTop="1" x14ac:dyDescent="0.25"/>
  </sheetData>
  <conditionalFormatting sqref="I9:I23">
    <cfRule type="cellIs" dxfId="12" priority="1" operator="greaterThan">
      <formula>$H$23</formula>
    </cfRule>
  </conditionalFormatting>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7D8B-B3D1-4428-9995-9FCAC2470C59}">
  <sheetPr codeName="Sheet77">
    <tabColor rgb="FF0070C0"/>
    <pageSetUpPr fitToPage="1"/>
  </sheetPr>
  <dimension ref="A1:J31"/>
  <sheetViews>
    <sheetView zoomScaleNormal="100" workbookViewId="0">
      <selection activeCell="P26" sqref="P26"/>
    </sheetView>
  </sheetViews>
  <sheetFormatPr defaultColWidth="11.42578125" defaultRowHeight="15" customHeight="1" x14ac:dyDescent="0.25"/>
  <cols>
    <col min="1" max="1" width="24.5703125" customWidth="1"/>
    <col min="2" max="3" width="9.42578125" customWidth="1"/>
    <col min="4" max="4" width="37.28515625" customWidth="1"/>
    <col min="5" max="5" width="14"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116" t="str">
        <f>'RECAP #9490.00'!B1</f>
        <v>DOC NCF Forced Main Sewer Pipe Failure (29C20)</v>
      </c>
      <c r="B1" s="116"/>
      <c r="C1" s="116"/>
      <c r="D1" s="193"/>
      <c r="E1" s="193"/>
      <c r="F1" s="193"/>
      <c r="G1" s="194"/>
      <c r="H1" s="194"/>
      <c r="I1" s="195"/>
      <c r="J1" s="195"/>
    </row>
    <row r="2" spans="1:10" ht="15.75" x14ac:dyDescent="0.25">
      <c r="A2" s="134" t="str">
        <f>'RECAP #9490.00'!B2</f>
        <v>Project # 9490.00</v>
      </c>
      <c r="B2" s="196"/>
      <c r="C2" s="196"/>
      <c r="D2" s="193"/>
      <c r="E2" s="193"/>
      <c r="F2" s="193"/>
      <c r="G2" s="194"/>
      <c r="H2" s="194"/>
      <c r="I2" s="195"/>
      <c r="J2" s="195"/>
    </row>
    <row r="3" spans="1:10" ht="15.75" x14ac:dyDescent="0.25">
      <c r="A3" s="197" t="str">
        <f>'RECAP #9490.00'!B3</f>
        <v>Program code 949000</v>
      </c>
      <c r="B3" s="196"/>
      <c r="C3" s="196"/>
      <c r="D3" s="193"/>
      <c r="E3" s="198" t="str">
        <f>'RECAP #9490.00'!E3</f>
        <v>Major Program 4E01</v>
      </c>
      <c r="F3" s="193"/>
      <c r="G3" s="194"/>
      <c r="H3" s="194"/>
      <c r="I3" s="195"/>
      <c r="J3" s="195"/>
    </row>
    <row r="4" spans="1:10" ht="15.75" x14ac:dyDescent="0.25">
      <c r="A4" s="116" t="s">
        <v>41</v>
      </c>
      <c r="B4" s="134"/>
      <c r="C4" s="134"/>
      <c r="D4" s="195"/>
      <c r="E4" s="199" t="s">
        <v>55</v>
      </c>
      <c r="F4" s="194"/>
      <c r="G4" s="194"/>
      <c r="H4" s="194"/>
      <c r="I4" s="195"/>
      <c r="J4" s="195"/>
    </row>
    <row r="5" spans="1:10" ht="15.75" x14ac:dyDescent="0.25">
      <c r="A5" s="200" t="s">
        <v>66</v>
      </c>
      <c r="B5" s="195"/>
      <c r="C5" s="195"/>
      <c r="D5" s="201"/>
      <c r="E5" s="140"/>
      <c r="F5" s="145"/>
      <c r="G5" s="194"/>
      <c r="H5" s="194"/>
      <c r="I5" s="195"/>
      <c r="J5" s="195"/>
    </row>
    <row r="6" spans="1:10" ht="15.75" x14ac:dyDescent="0.25">
      <c r="A6" s="134" t="str">
        <f>'RECAP #9490.00'!B6</f>
        <v>Project Manager - Brad T.</v>
      </c>
      <c r="B6" s="134"/>
      <c r="C6" s="134"/>
      <c r="D6" s="202"/>
      <c r="E6" s="140" t="s">
        <v>139</v>
      </c>
      <c r="F6" s="145"/>
      <c r="G6" s="146"/>
      <c r="H6" s="194"/>
      <c r="I6" s="195"/>
      <c r="J6" s="195"/>
    </row>
    <row r="7" spans="1:10" ht="15.75" x14ac:dyDescent="0.25">
      <c r="A7" s="195"/>
      <c r="B7" s="203"/>
      <c r="C7" s="203"/>
      <c r="D7" s="203"/>
      <c r="E7" s="146" t="s">
        <v>3</v>
      </c>
      <c r="F7" s="146"/>
      <c r="G7" s="146"/>
      <c r="H7" s="194"/>
      <c r="I7" s="195"/>
      <c r="J7" s="195" t="s">
        <v>3</v>
      </c>
    </row>
    <row r="8" spans="1:10" ht="32.25" thickBot="1" x14ac:dyDescent="0.3">
      <c r="A8" s="204" t="s">
        <v>49</v>
      </c>
      <c r="B8" s="205" t="s">
        <v>4</v>
      </c>
      <c r="C8" s="206" t="s">
        <v>56</v>
      </c>
      <c r="D8" s="207" t="s">
        <v>57</v>
      </c>
      <c r="E8" s="192" t="s">
        <v>50</v>
      </c>
      <c r="F8" s="192" t="s">
        <v>51</v>
      </c>
      <c r="G8" s="192" t="s">
        <v>52</v>
      </c>
      <c r="H8" s="192" t="s">
        <v>53</v>
      </c>
      <c r="I8" s="192" t="s">
        <v>12</v>
      </c>
      <c r="J8" s="195" t="s">
        <v>3</v>
      </c>
    </row>
    <row r="9" spans="1:10" ht="12.75" customHeight="1" x14ac:dyDescent="0.25">
      <c r="A9" s="208"/>
      <c r="B9" s="209"/>
      <c r="C9" s="209"/>
      <c r="D9" s="190" t="s">
        <v>95</v>
      </c>
      <c r="E9" s="210">
        <f>3000-872.44</f>
        <v>2127.56</v>
      </c>
      <c r="F9" s="211">
        <f>E9</f>
        <v>2127.56</v>
      </c>
      <c r="G9" s="212"/>
      <c r="H9" s="212"/>
      <c r="I9" s="212">
        <f>F9</f>
        <v>2127.56</v>
      </c>
      <c r="J9" s="145"/>
    </row>
    <row r="10" spans="1:10" ht="12.75" customHeight="1" x14ac:dyDescent="0.25">
      <c r="A10" s="213" t="s">
        <v>213</v>
      </c>
      <c r="B10" s="209">
        <v>45908</v>
      </c>
      <c r="C10" s="214">
        <v>2507</v>
      </c>
      <c r="D10" s="215" t="s">
        <v>216</v>
      </c>
      <c r="E10" s="211"/>
      <c r="F10" s="211">
        <f>E10+F9</f>
        <v>2127.56</v>
      </c>
      <c r="G10" s="216">
        <v>94.58</v>
      </c>
      <c r="H10" s="212">
        <f t="shared" ref="H10:H21" si="0">H9+G10</f>
        <v>94.58</v>
      </c>
      <c r="I10" s="212">
        <f>I9-G10+E10</f>
        <v>2032.98</v>
      </c>
      <c r="J10" s="145"/>
    </row>
    <row r="11" spans="1:10" ht="12.75" customHeight="1" x14ac:dyDescent="0.25">
      <c r="A11" s="213" t="s">
        <v>213</v>
      </c>
      <c r="B11" s="209">
        <v>45908</v>
      </c>
      <c r="C11" s="214">
        <v>9500</v>
      </c>
      <c r="D11" s="215" t="s">
        <v>217</v>
      </c>
      <c r="E11" s="211"/>
      <c r="F11" s="211">
        <f t="shared" ref="F11:F21" si="1">E11+F10</f>
        <v>2127.56</v>
      </c>
      <c r="G11" s="216">
        <v>732.6</v>
      </c>
      <c r="H11" s="212">
        <f t="shared" si="0"/>
        <v>827.18000000000006</v>
      </c>
      <c r="I11" s="212">
        <f t="shared" ref="I11:I21" si="2">I10-G11+E11</f>
        <v>1300.3800000000001</v>
      </c>
      <c r="J11" s="145"/>
    </row>
    <row r="12" spans="1:10" ht="12.75" customHeight="1" x14ac:dyDescent="0.25">
      <c r="A12" s="213" t="s">
        <v>273</v>
      </c>
      <c r="B12" s="209">
        <v>45937</v>
      </c>
      <c r="C12" s="208" t="s">
        <v>274</v>
      </c>
      <c r="D12" s="215" t="s">
        <v>275</v>
      </c>
      <c r="E12" s="211"/>
      <c r="F12" s="211">
        <f t="shared" si="1"/>
        <v>2127.56</v>
      </c>
      <c r="G12" s="216">
        <v>127.29</v>
      </c>
      <c r="H12" s="212">
        <f t="shared" si="0"/>
        <v>954.47</v>
      </c>
      <c r="I12" s="212">
        <f t="shared" si="2"/>
        <v>1173.0900000000001</v>
      </c>
      <c r="J12" s="145"/>
    </row>
    <row r="13" spans="1:10" ht="12.75" customHeight="1" x14ac:dyDescent="0.25">
      <c r="A13" s="213" t="s">
        <v>273</v>
      </c>
      <c r="B13" s="209">
        <v>45937</v>
      </c>
      <c r="C13" s="217">
        <v>9500</v>
      </c>
      <c r="D13" s="215" t="s">
        <v>276</v>
      </c>
      <c r="E13" s="211"/>
      <c r="F13" s="211">
        <f t="shared" si="1"/>
        <v>2127.56</v>
      </c>
      <c r="G13" s="216">
        <v>666.1</v>
      </c>
      <c r="H13" s="212">
        <f t="shared" si="0"/>
        <v>1620.5700000000002</v>
      </c>
      <c r="I13" s="212">
        <f t="shared" si="2"/>
        <v>506.99000000000012</v>
      </c>
      <c r="J13" s="145"/>
    </row>
    <row r="14" spans="1:10" ht="12.75" customHeight="1" x14ac:dyDescent="0.25">
      <c r="A14" s="213" t="s">
        <v>320</v>
      </c>
      <c r="B14" s="209">
        <v>45968</v>
      </c>
      <c r="C14" s="208" t="s">
        <v>274</v>
      </c>
      <c r="D14" s="215" t="s">
        <v>323</v>
      </c>
      <c r="E14" s="211"/>
      <c r="F14" s="211">
        <f t="shared" si="1"/>
        <v>2127.56</v>
      </c>
      <c r="G14" s="216">
        <v>46.49</v>
      </c>
      <c r="H14" s="212">
        <f t="shared" si="0"/>
        <v>1667.0600000000002</v>
      </c>
      <c r="I14" s="212">
        <f t="shared" si="2"/>
        <v>460.50000000000011</v>
      </c>
      <c r="J14" s="145"/>
    </row>
    <row r="15" spans="1:10" ht="12.75" customHeight="1" x14ac:dyDescent="0.25">
      <c r="A15" s="213" t="s">
        <v>320</v>
      </c>
      <c r="B15" s="209">
        <v>45968</v>
      </c>
      <c r="C15" s="217">
        <v>9500</v>
      </c>
      <c r="D15" s="215" t="s">
        <v>324</v>
      </c>
      <c r="E15" s="211"/>
      <c r="F15" s="211">
        <f t="shared" si="1"/>
        <v>2127.56</v>
      </c>
      <c r="G15" s="216">
        <v>460.5</v>
      </c>
      <c r="H15" s="212">
        <f t="shared" si="0"/>
        <v>2127.5600000000004</v>
      </c>
      <c r="I15" s="212">
        <f t="shared" si="2"/>
        <v>1.1368683772161603E-13</v>
      </c>
      <c r="J15" s="145"/>
    </row>
    <row r="16" spans="1:10" ht="12.75" customHeight="1" x14ac:dyDescent="0.25">
      <c r="A16" s="215"/>
      <c r="B16" s="209"/>
      <c r="C16" s="209"/>
      <c r="D16" s="190"/>
      <c r="E16" s="211"/>
      <c r="F16" s="211">
        <f t="shared" si="1"/>
        <v>2127.56</v>
      </c>
      <c r="G16" s="216"/>
      <c r="H16" s="212">
        <f t="shared" si="0"/>
        <v>2127.5600000000004</v>
      </c>
      <c r="I16" s="212">
        <f t="shared" si="2"/>
        <v>1.1368683772161603E-13</v>
      </c>
      <c r="J16" s="145"/>
    </row>
    <row r="17" spans="1:10" ht="12.75" customHeight="1" x14ac:dyDescent="0.25">
      <c r="A17" s="215"/>
      <c r="B17" s="209"/>
      <c r="C17" s="209"/>
      <c r="D17" s="190"/>
      <c r="E17" s="211"/>
      <c r="F17" s="211">
        <f t="shared" si="1"/>
        <v>2127.56</v>
      </c>
      <c r="G17" s="216"/>
      <c r="H17" s="212">
        <f t="shared" si="0"/>
        <v>2127.5600000000004</v>
      </c>
      <c r="I17" s="212">
        <f t="shared" si="2"/>
        <v>1.1368683772161603E-13</v>
      </c>
      <c r="J17" s="145"/>
    </row>
    <row r="18" spans="1:10" ht="12.75" customHeight="1" x14ac:dyDescent="0.25">
      <c r="A18" s="215"/>
      <c r="B18" s="209"/>
      <c r="C18" s="209"/>
      <c r="D18" s="190"/>
      <c r="E18" s="211"/>
      <c r="F18" s="211">
        <f t="shared" si="1"/>
        <v>2127.56</v>
      </c>
      <c r="G18" s="216"/>
      <c r="H18" s="212">
        <f t="shared" si="0"/>
        <v>2127.5600000000004</v>
      </c>
      <c r="I18" s="212">
        <f t="shared" si="2"/>
        <v>1.1368683772161603E-13</v>
      </c>
      <c r="J18" s="145"/>
    </row>
    <row r="19" spans="1:10" ht="12.75" customHeight="1" x14ac:dyDescent="0.25">
      <c r="A19" s="215"/>
      <c r="B19" s="209"/>
      <c r="C19" s="209"/>
      <c r="D19" s="190"/>
      <c r="E19" s="211"/>
      <c r="F19" s="211">
        <f t="shared" si="1"/>
        <v>2127.56</v>
      </c>
      <c r="G19" s="212"/>
      <c r="H19" s="212">
        <f t="shared" si="0"/>
        <v>2127.5600000000004</v>
      </c>
      <c r="I19" s="212">
        <f t="shared" si="2"/>
        <v>1.1368683772161603E-13</v>
      </c>
      <c r="J19" s="145"/>
    </row>
    <row r="20" spans="1:10" ht="12.75" customHeight="1" x14ac:dyDescent="0.25">
      <c r="A20" s="215"/>
      <c r="B20" s="209"/>
      <c r="C20" s="209"/>
      <c r="D20" s="190"/>
      <c r="E20" s="211"/>
      <c r="F20" s="211">
        <f t="shared" si="1"/>
        <v>2127.56</v>
      </c>
      <c r="G20" s="212"/>
      <c r="H20" s="212">
        <f t="shared" si="0"/>
        <v>2127.5600000000004</v>
      </c>
      <c r="I20" s="212">
        <f t="shared" si="2"/>
        <v>1.1368683772161603E-13</v>
      </c>
      <c r="J20" s="145"/>
    </row>
    <row r="21" spans="1:10" ht="12.75" customHeight="1" x14ac:dyDescent="0.25">
      <c r="A21" s="215"/>
      <c r="B21" s="209"/>
      <c r="C21" s="209"/>
      <c r="D21" s="145"/>
      <c r="E21" s="211"/>
      <c r="F21" s="211">
        <f t="shared" si="1"/>
        <v>2127.56</v>
      </c>
      <c r="G21" s="212"/>
      <c r="H21" s="212">
        <f t="shared" si="0"/>
        <v>2127.5600000000004</v>
      </c>
      <c r="I21" s="212">
        <f t="shared" si="2"/>
        <v>1.1368683772161603E-13</v>
      </c>
      <c r="J21" s="145"/>
    </row>
    <row r="22" spans="1:10" ht="12.75" customHeight="1" x14ac:dyDescent="0.25">
      <c r="A22" s="215"/>
      <c r="B22" s="218"/>
      <c r="C22" s="218"/>
      <c r="D22" s="190"/>
      <c r="E22" s="212"/>
      <c r="F22" s="212"/>
      <c r="G22" s="212"/>
      <c r="H22" s="212"/>
      <c r="I22" s="212"/>
      <c r="J22" s="145"/>
    </row>
    <row r="23" spans="1:10" ht="12.75" customHeight="1" thickBot="1" x14ac:dyDescent="0.3">
      <c r="A23" s="215"/>
      <c r="B23" s="219"/>
      <c r="C23" s="219"/>
      <c r="D23" s="220" t="s">
        <v>54</v>
      </c>
      <c r="E23" s="221">
        <f>SUM(E9:E22)</f>
        <v>2127.56</v>
      </c>
      <c r="F23" s="221"/>
      <c r="G23" s="221">
        <f>SUM(G9:G22)</f>
        <v>2127.5600000000004</v>
      </c>
      <c r="H23" s="221"/>
      <c r="I23" s="222">
        <f>SUM(E23-G23)</f>
        <v>-4.5474735088646412E-13</v>
      </c>
      <c r="J23" s="145"/>
    </row>
    <row r="24" spans="1:10" ht="12.75" customHeight="1" thickTop="1" x14ac:dyDescent="0.25"/>
    <row r="25" spans="1:10" ht="12.75" customHeight="1" x14ac:dyDescent="0.25"/>
    <row r="26" spans="1:10" ht="12.75" customHeight="1" x14ac:dyDescent="0.25"/>
    <row r="27" spans="1:10" ht="12.75" customHeight="1" x14ac:dyDescent="0.25"/>
    <row r="28" spans="1:10" ht="12.75" customHeight="1" x14ac:dyDescent="0.25"/>
    <row r="29" spans="1:10" ht="12.75" customHeight="1" x14ac:dyDescent="0.25"/>
    <row r="30" spans="1:10" ht="12.75" customHeight="1" x14ac:dyDescent="0.25"/>
    <row r="31" spans="1:10" ht="12.75" customHeight="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6BD89-541B-42CD-81EF-7FC787B7247E}">
  <sheetPr codeName="Sheet78">
    <tabColor rgb="FF0070C0"/>
    <pageSetUpPr fitToPage="1"/>
  </sheetPr>
  <dimension ref="A1:H23"/>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28" customWidth="1"/>
    <col min="6" max="6" width="16.710937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116" t="str">
        <f>'#9490.00 PM TIME'!A1</f>
        <v>DOC NCF Forced Main Sewer Pipe Failure (29C20)</v>
      </c>
      <c r="B1" s="116"/>
      <c r="C1" s="116"/>
      <c r="D1" s="116"/>
      <c r="E1" s="193"/>
      <c r="F1" s="193"/>
      <c r="G1" s="193"/>
      <c r="H1" s="194"/>
    </row>
    <row r="2" spans="1:8" ht="15.75" x14ac:dyDescent="0.25">
      <c r="A2" s="134" t="str">
        <f>'RECAP #9490.00'!B2</f>
        <v>Project # 9490.00</v>
      </c>
      <c r="B2" s="196"/>
      <c r="C2" s="196"/>
      <c r="D2" s="196"/>
      <c r="E2" s="193"/>
      <c r="F2" s="193"/>
      <c r="G2" s="193"/>
      <c r="H2" s="194"/>
    </row>
    <row r="3" spans="1:8" ht="15.75" x14ac:dyDescent="0.25">
      <c r="A3" s="197" t="str">
        <f>'RECAP #9490.00'!B3</f>
        <v>Program code 949000</v>
      </c>
      <c r="B3" s="196"/>
      <c r="C3" s="196"/>
      <c r="D3" s="196"/>
      <c r="E3" s="198" t="str">
        <f>'RECAP #9490.00'!E3</f>
        <v>Major Program 4E01</v>
      </c>
      <c r="F3" s="196"/>
      <c r="G3" s="193"/>
      <c r="H3" s="194"/>
    </row>
    <row r="4" spans="1:8" ht="15.75" x14ac:dyDescent="0.25">
      <c r="A4" s="225" t="s">
        <v>14</v>
      </c>
      <c r="B4" s="134"/>
      <c r="C4" s="134"/>
      <c r="D4" s="134"/>
      <c r="E4" s="199"/>
      <c r="F4" s="196"/>
      <c r="G4" s="194"/>
      <c r="H4" s="194"/>
    </row>
    <row r="5" spans="1:8" ht="15.75" x14ac:dyDescent="0.25">
      <c r="A5" s="200" t="s">
        <v>66</v>
      </c>
      <c r="B5" s="195"/>
      <c r="C5" s="195"/>
      <c r="D5" s="195"/>
      <c r="E5" s="170" t="s">
        <v>58</v>
      </c>
      <c r="F5" s="196"/>
      <c r="G5" s="145"/>
      <c r="H5" s="194"/>
    </row>
    <row r="6" spans="1:8" ht="15.75" x14ac:dyDescent="0.25">
      <c r="A6" s="134" t="str">
        <f>'RECAP #9490.00'!B6</f>
        <v>Project Manager - Brad T.</v>
      </c>
      <c r="B6" s="134"/>
      <c r="C6" s="134"/>
      <c r="D6" s="134"/>
      <c r="E6" s="202"/>
      <c r="F6" s="195"/>
      <c r="G6" s="145"/>
      <c r="H6" s="194"/>
    </row>
    <row r="7" spans="1:8" ht="15.75" x14ac:dyDescent="0.25">
      <c r="A7" s="196"/>
      <c r="B7" s="203"/>
      <c r="C7" s="203"/>
      <c r="D7" s="203"/>
      <c r="E7" s="203"/>
      <c r="F7" s="196"/>
      <c r="G7" s="194"/>
      <c r="H7" s="194"/>
    </row>
    <row r="8" spans="1:8" ht="32.25" thickBot="1" x14ac:dyDescent="0.3">
      <c r="A8" s="204" t="s">
        <v>59</v>
      </c>
      <c r="B8" s="205" t="s">
        <v>4</v>
      </c>
      <c r="C8" s="206" t="s">
        <v>56</v>
      </c>
      <c r="D8" s="206" t="s">
        <v>57</v>
      </c>
      <c r="E8" s="226" t="s">
        <v>11</v>
      </c>
      <c r="F8" s="192" t="s">
        <v>60</v>
      </c>
      <c r="G8" s="192" t="s">
        <v>52</v>
      </c>
      <c r="H8" s="192" t="s">
        <v>53</v>
      </c>
    </row>
    <row r="9" spans="1:8" x14ac:dyDescent="0.25">
      <c r="A9" s="227" t="s">
        <v>210</v>
      </c>
      <c r="B9" s="209">
        <v>45916</v>
      </c>
      <c r="C9" s="223" t="s">
        <v>209</v>
      </c>
      <c r="D9" s="223" t="s">
        <v>208</v>
      </c>
      <c r="E9" s="213" t="s">
        <v>211</v>
      </c>
      <c r="F9" s="228" t="s">
        <v>207</v>
      </c>
      <c r="G9" s="216">
        <v>14700</v>
      </c>
      <c r="H9" s="224">
        <f>G9</f>
        <v>14700</v>
      </c>
    </row>
    <row r="10" spans="1:8" x14ac:dyDescent="0.25">
      <c r="A10" s="213" t="s">
        <v>285</v>
      </c>
      <c r="B10" s="209">
        <v>45951</v>
      </c>
      <c r="C10" s="223" t="s">
        <v>209</v>
      </c>
      <c r="D10" s="223" t="s">
        <v>208</v>
      </c>
      <c r="E10" s="213" t="s">
        <v>211</v>
      </c>
      <c r="F10" s="228" t="s">
        <v>284</v>
      </c>
      <c r="G10" s="216">
        <v>3960</v>
      </c>
      <c r="H10" s="224">
        <f>H9+G10</f>
        <v>18660</v>
      </c>
    </row>
    <row r="11" spans="1:8" x14ac:dyDescent="0.25">
      <c r="A11" s="208"/>
      <c r="B11" s="209"/>
      <c r="C11" s="209"/>
      <c r="D11" s="209"/>
      <c r="E11" s="145"/>
      <c r="F11" s="229"/>
      <c r="G11" s="224"/>
      <c r="H11" s="224">
        <f t="shared" ref="H11:H20" si="0">H10+G11</f>
        <v>18660</v>
      </c>
    </row>
    <row r="12" spans="1:8" x14ac:dyDescent="0.25">
      <c r="A12" s="208" t="s">
        <v>3</v>
      </c>
      <c r="B12" s="209" t="s">
        <v>3</v>
      </c>
      <c r="C12" s="209"/>
      <c r="D12" s="209"/>
      <c r="E12" s="145" t="s">
        <v>3</v>
      </c>
      <c r="F12" s="229"/>
      <c r="G12" s="224"/>
      <c r="H12" s="224">
        <f t="shared" si="0"/>
        <v>18660</v>
      </c>
    </row>
    <row r="13" spans="1:8" x14ac:dyDescent="0.25">
      <c r="A13" s="208" t="s">
        <v>3</v>
      </c>
      <c r="B13" s="209" t="s">
        <v>3</v>
      </c>
      <c r="C13" s="209"/>
      <c r="D13" s="209"/>
      <c r="E13" s="145" t="s">
        <v>3</v>
      </c>
      <c r="F13" s="229"/>
      <c r="G13" s="224"/>
      <c r="H13" s="224">
        <f t="shared" si="0"/>
        <v>18660</v>
      </c>
    </row>
    <row r="14" spans="1:8" x14ac:dyDescent="0.25">
      <c r="A14" s="208"/>
      <c r="B14" s="209"/>
      <c r="C14" s="209"/>
      <c r="D14" s="209"/>
      <c r="E14" s="145"/>
      <c r="F14" s="229"/>
      <c r="G14" s="224"/>
      <c r="H14" s="224">
        <f t="shared" si="0"/>
        <v>18660</v>
      </c>
    </row>
    <row r="15" spans="1:8" x14ac:dyDescent="0.25">
      <c r="A15" s="208"/>
      <c r="B15" s="209"/>
      <c r="C15" s="209"/>
      <c r="D15" s="209"/>
      <c r="E15" s="140"/>
      <c r="F15" s="229"/>
      <c r="G15" s="224"/>
      <c r="H15" s="224">
        <f t="shared" si="0"/>
        <v>18660</v>
      </c>
    </row>
    <row r="16" spans="1:8" x14ac:dyDescent="0.25">
      <c r="A16" s="208"/>
      <c r="B16" s="209"/>
      <c r="C16" s="209"/>
      <c r="D16" s="209"/>
      <c r="E16" s="145"/>
      <c r="F16" s="229"/>
      <c r="G16" s="224"/>
      <c r="H16" s="224">
        <f t="shared" si="0"/>
        <v>18660</v>
      </c>
    </row>
    <row r="17" spans="1:8" x14ac:dyDescent="0.25">
      <c r="A17" s="223"/>
      <c r="B17" s="209"/>
      <c r="C17" s="209"/>
      <c r="D17" s="209"/>
      <c r="E17" s="145"/>
      <c r="F17" s="229"/>
      <c r="G17" s="224"/>
      <c r="H17" s="224">
        <f t="shared" si="0"/>
        <v>18660</v>
      </c>
    </row>
    <row r="18" spans="1:8" x14ac:dyDescent="0.25">
      <c r="A18" s="223"/>
      <c r="B18" s="209"/>
      <c r="C18" s="209"/>
      <c r="D18" s="209"/>
      <c r="E18" s="145"/>
      <c r="F18" s="229"/>
      <c r="G18" s="224"/>
      <c r="H18" s="224">
        <f t="shared" si="0"/>
        <v>18660</v>
      </c>
    </row>
    <row r="19" spans="1:8" x14ac:dyDescent="0.25">
      <c r="A19" s="223"/>
      <c r="B19" s="209"/>
      <c r="C19" s="209"/>
      <c r="D19" s="209"/>
      <c r="E19" s="145"/>
      <c r="F19" s="229"/>
      <c r="G19" s="224"/>
      <c r="H19" s="224">
        <f t="shared" si="0"/>
        <v>18660</v>
      </c>
    </row>
    <row r="20" spans="1:8" x14ac:dyDescent="0.25">
      <c r="A20" s="223"/>
      <c r="B20" s="209"/>
      <c r="C20" s="209"/>
      <c r="D20" s="209"/>
      <c r="E20" s="145"/>
      <c r="F20" s="229"/>
      <c r="G20" s="224"/>
      <c r="H20" s="224">
        <f t="shared" si="0"/>
        <v>18660</v>
      </c>
    </row>
    <row r="21" spans="1:8" x14ac:dyDescent="0.25">
      <c r="A21" s="223"/>
      <c r="B21" s="190"/>
      <c r="C21" s="190"/>
      <c r="D21" s="190"/>
      <c r="E21" s="145"/>
      <c r="F21" s="224"/>
      <c r="G21" s="145"/>
      <c r="H21" s="224"/>
    </row>
    <row r="22" spans="1:8" ht="15.75" thickBot="1" x14ac:dyDescent="0.3">
      <c r="A22" s="230"/>
      <c r="B22" s="231"/>
      <c r="C22" s="231"/>
      <c r="D22" s="231"/>
      <c r="E22" s="232" t="s">
        <v>54</v>
      </c>
      <c r="F22" s="233"/>
      <c r="G22" s="221">
        <f>SUM(G9:G21)</f>
        <v>18660</v>
      </c>
      <c r="H22" s="233"/>
    </row>
    <row r="23" spans="1:8" ht="15" customHeight="1" thickTop="1" x14ac:dyDescent="0.25"/>
  </sheetData>
  <pageMargins left="0.25" right="0.25" top="0.85" bottom="0.75" header="0.08" footer="0.3"/>
  <pageSetup scale="8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15729-BCE2-4B29-AAF6-CB9DB4C8D6BB}">
  <sheetPr codeName="Sheet79">
    <tabColor rgb="FF0070C0"/>
    <pageSetUpPr fitToPage="1"/>
  </sheetPr>
  <dimension ref="A1:G18"/>
  <sheetViews>
    <sheetView zoomScaleNormal="100" workbookViewId="0">
      <selection activeCell="E5" sqref="E5:F5"/>
    </sheetView>
  </sheetViews>
  <sheetFormatPr defaultColWidth="11.42578125" defaultRowHeight="15" customHeight="1" x14ac:dyDescent="0.25"/>
  <cols>
    <col min="1" max="1" width="3.5703125" style="267" customWidth="1"/>
    <col min="2" max="2" width="25" style="267" customWidth="1"/>
    <col min="3" max="3" width="21.5703125" style="267" customWidth="1"/>
    <col min="4" max="4" width="17" style="267" customWidth="1"/>
    <col min="5" max="5" width="13.42578125" style="267" bestFit="1" customWidth="1"/>
    <col min="6" max="6" width="16.42578125" style="267" customWidth="1"/>
    <col min="7" max="7" width="16.42578125" style="267" bestFit="1" customWidth="1"/>
    <col min="8" max="256" width="11.42578125" style="267"/>
    <col min="257" max="263" width="11.42578125" style="267" customWidth="1"/>
    <col min="264" max="512" width="11.42578125" style="267"/>
    <col min="513" max="519" width="11.42578125" style="267" customWidth="1"/>
    <col min="520" max="768" width="11.42578125" style="267"/>
    <col min="769" max="775" width="11.42578125" style="267" customWidth="1"/>
    <col min="776" max="1024" width="11.42578125" style="267"/>
    <col min="1025" max="1031" width="11.42578125" style="267" customWidth="1"/>
    <col min="1032" max="1280" width="11.42578125" style="267"/>
    <col min="1281" max="1287" width="11.42578125" style="267" customWidth="1"/>
    <col min="1288" max="1536" width="11.42578125" style="267"/>
    <col min="1537" max="1543" width="11.42578125" style="267" customWidth="1"/>
    <col min="1544" max="1792" width="11.42578125" style="267"/>
    <col min="1793" max="1799" width="11.42578125" style="267" customWidth="1"/>
    <col min="1800" max="2048" width="11.42578125" style="267"/>
    <col min="2049" max="2055" width="11.42578125" style="267" customWidth="1"/>
    <col min="2056" max="2304" width="11.42578125" style="267"/>
    <col min="2305" max="2311" width="11.42578125" style="267" customWidth="1"/>
    <col min="2312" max="2560" width="11.42578125" style="267"/>
    <col min="2561" max="2567" width="11.42578125" style="267" customWidth="1"/>
    <col min="2568" max="2816" width="11.42578125" style="267"/>
    <col min="2817" max="2823" width="11.42578125" style="267" customWidth="1"/>
    <col min="2824" max="3072" width="11.42578125" style="267"/>
    <col min="3073" max="3079" width="11.42578125" style="267" customWidth="1"/>
    <col min="3080" max="3328" width="11.42578125" style="267"/>
    <col min="3329" max="3335" width="11.42578125" style="267" customWidth="1"/>
    <col min="3336" max="3584" width="11.42578125" style="267"/>
    <col min="3585" max="3591" width="11.42578125" style="267" customWidth="1"/>
    <col min="3592" max="3840" width="11.42578125" style="267"/>
    <col min="3841" max="3847" width="11.42578125" style="267" customWidth="1"/>
    <col min="3848" max="4096" width="11.42578125" style="267"/>
    <col min="4097" max="4103" width="11.42578125" style="267" customWidth="1"/>
    <col min="4104" max="4352" width="11.42578125" style="267"/>
    <col min="4353" max="4359" width="11.42578125" style="267" customWidth="1"/>
    <col min="4360" max="4608" width="11.42578125" style="267"/>
    <col min="4609" max="4615" width="11.42578125" style="267" customWidth="1"/>
    <col min="4616" max="4864" width="11.42578125" style="267"/>
    <col min="4865" max="4871" width="11.42578125" style="267" customWidth="1"/>
    <col min="4872" max="5120" width="11.42578125" style="267"/>
    <col min="5121" max="5127" width="11.42578125" style="267" customWidth="1"/>
    <col min="5128" max="5376" width="11.42578125" style="267"/>
    <col min="5377" max="5383" width="11.42578125" style="267" customWidth="1"/>
    <col min="5384" max="5632" width="11.42578125" style="267"/>
    <col min="5633" max="5639" width="11.42578125" style="267" customWidth="1"/>
    <col min="5640" max="5888" width="11.42578125" style="267"/>
    <col min="5889" max="5895" width="11.42578125" style="267" customWidth="1"/>
    <col min="5896" max="6144" width="11.42578125" style="267"/>
    <col min="6145" max="6151" width="11.42578125" style="267" customWidth="1"/>
    <col min="6152" max="6400" width="11.42578125" style="267"/>
    <col min="6401" max="6407" width="11.42578125" style="267" customWidth="1"/>
    <col min="6408" max="6656" width="11.42578125" style="267"/>
    <col min="6657" max="6663" width="11.42578125" style="267" customWidth="1"/>
    <col min="6664" max="6912" width="11.42578125" style="267"/>
    <col min="6913" max="6919" width="11.42578125" style="267" customWidth="1"/>
    <col min="6920" max="7168" width="11.42578125" style="267"/>
    <col min="7169" max="7175" width="11.42578125" style="267" customWidth="1"/>
    <col min="7176" max="7424" width="11.42578125" style="267"/>
    <col min="7425" max="7431" width="11.42578125" style="267" customWidth="1"/>
    <col min="7432" max="7680" width="11.42578125" style="267"/>
    <col min="7681" max="7687" width="11.42578125" style="267" customWidth="1"/>
    <col min="7688" max="7936" width="11.42578125" style="267"/>
    <col min="7937" max="7943" width="11.42578125" style="267" customWidth="1"/>
    <col min="7944" max="8192" width="11.42578125" style="267"/>
    <col min="8193" max="8199" width="11.42578125" style="267" customWidth="1"/>
    <col min="8200" max="8448" width="11.42578125" style="267"/>
    <col min="8449" max="8455" width="11.42578125" style="267" customWidth="1"/>
    <col min="8456" max="8704" width="11.42578125" style="267"/>
    <col min="8705" max="8711" width="11.42578125" style="267" customWidth="1"/>
    <col min="8712" max="8960" width="11.42578125" style="267"/>
    <col min="8961" max="8967" width="11.42578125" style="267" customWidth="1"/>
    <col min="8968" max="9216" width="11.42578125" style="267"/>
    <col min="9217" max="9223" width="11.42578125" style="267" customWidth="1"/>
    <col min="9224" max="9472" width="11.42578125" style="267"/>
    <col min="9473" max="9479" width="11.42578125" style="267" customWidth="1"/>
    <col min="9480" max="9728" width="11.42578125" style="267"/>
    <col min="9729" max="9735" width="11.42578125" style="267" customWidth="1"/>
    <col min="9736" max="9984" width="11.42578125" style="267"/>
    <col min="9985" max="9991" width="11.42578125" style="267" customWidth="1"/>
    <col min="9992" max="10240" width="11.42578125" style="267"/>
    <col min="10241" max="10247" width="11.42578125" style="267" customWidth="1"/>
    <col min="10248" max="10496" width="11.42578125" style="267"/>
    <col min="10497" max="10503" width="11.42578125" style="267" customWidth="1"/>
    <col min="10504" max="10752" width="11.42578125" style="267"/>
    <col min="10753" max="10759" width="11.42578125" style="267" customWidth="1"/>
    <col min="10760" max="11008" width="11.42578125" style="267"/>
    <col min="11009" max="11015" width="11.42578125" style="267" customWidth="1"/>
    <col min="11016" max="11264" width="11.42578125" style="267"/>
    <col min="11265" max="11271" width="11.42578125" style="267" customWidth="1"/>
    <col min="11272" max="11520" width="11.42578125" style="267"/>
    <col min="11521" max="11527" width="11.42578125" style="267" customWidth="1"/>
    <col min="11528" max="11776" width="11.42578125" style="267"/>
    <col min="11777" max="11783" width="11.42578125" style="267" customWidth="1"/>
    <col min="11784" max="12032" width="11.42578125" style="267"/>
    <col min="12033" max="12039" width="11.42578125" style="267" customWidth="1"/>
    <col min="12040" max="12288" width="11.42578125" style="267"/>
    <col min="12289" max="12295" width="11.42578125" style="267" customWidth="1"/>
    <col min="12296" max="12544" width="11.42578125" style="267"/>
    <col min="12545" max="12551" width="11.42578125" style="267" customWidth="1"/>
    <col min="12552" max="12800" width="11.42578125" style="267"/>
    <col min="12801" max="12807" width="11.42578125" style="267" customWidth="1"/>
    <col min="12808" max="13056" width="11.42578125" style="267"/>
    <col min="13057" max="13063" width="11.42578125" style="267" customWidth="1"/>
    <col min="13064" max="13312" width="11.42578125" style="267"/>
    <col min="13313" max="13319" width="11.42578125" style="267" customWidth="1"/>
    <col min="13320" max="13568" width="11.42578125" style="267"/>
    <col min="13569" max="13575" width="11.42578125" style="267" customWidth="1"/>
    <col min="13576" max="13824" width="11.42578125" style="267"/>
    <col min="13825" max="13831" width="11.42578125" style="267" customWidth="1"/>
    <col min="13832" max="14080" width="11.42578125" style="267"/>
    <col min="14081" max="14087" width="11.42578125" style="267" customWidth="1"/>
    <col min="14088" max="14336" width="11.42578125" style="267"/>
    <col min="14337" max="14343" width="11.42578125" style="267" customWidth="1"/>
    <col min="14344" max="14592" width="11.42578125" style="267"/>
    <col min="14593" max="14599" width="11.42578125" style="267" customWidth="1"/>
    <col min="14600" max="14848" width="11.42578125" style="267"/>
    <col min="14849" max="14855" width="11.42578125" style="267" customWidth="1"/>
    <col min="14856" max="15104" width="11.42578125" style="267"/>
    <col min="15105" max="15111" width="11.42578125" style="267" customWidth="1"/>
    <col min="15112" max="15360" width="11.42578125" style="267"/>
    <col min="15361" max="15367" width="11.42578125" style="267" customWidth="1"/>
    <col min="15368" max="15616" width="11.42578125" style="267"/>
    <col min="15617" max="15623" width="11.42578125" style="267" customWidth="1"/>
    <col min="15624" max="15872" width="11.42578125" style="267"/>
    <col min="15873" max="15879" width="11.42578125" style="267" customWidth="1"/>
    <col min="15880" max="16128" width="11.42578125" style="267"/>
    <col min="16129" max="16135" width="11.42578125" style="267" customWidth="1"/>
    <col min="16136" max="16384" width="11.42578125" style="267"/>
  </cols>
  <sheetData>
    <row r="1" spans="1:7" ht="15.75" x14ac:dyDescent="0.25">
      <c r="A1" s="234"/>
      <c r="B1" s="116" t="s">
        <v>167</v>
      </c>
      <c r="C1" s="116"/>
      <c r="D1" s="193"/>
      <c r="E1" s="193"/>
      <c r="F1" s="193"/>
      <c r="G1" s="193"/>
    </row>
    <row r="2" spans="1:7" ht="15.75" x14ac:dyDescent="0.25">
      <c r="A2" s="234"/>
      <c r="B2" s="134" t="s">
        <v>169</v>
      </c>
      <c r="C2" s="196"/>
      <c r="D2" s="193"/>
      <c r="E2" s="193"/>
      <c r="F2" s="193"/>
      <c r="G2" s="193"/>
    </row>
    <row r="3" spans="1:7" ht="15.75" x14ac:dyDescent="0.25">
      <c r="A3" s="234"/>
      <c r="B3" s="197" t="s">
        <v>170</v>
      </c>
      <c r="C3" s="196"/>
      <c r="D3" s="193"/>
      <c r="E3" s="198" t="s">
        <v>171</v>
      </c>
      <c r="F3" s="193"/>
      <c r="G3" s="193"/>
    </row>
    <row r="4" spans="1:7" ht="15.75" x14ac:dyDescent="0.25">
      <c r="A4" s="234"/>
      <c r="B4" s="194" t="s">
        <v>36</v>
      </c>
      <c r="C4" s="235" t="s">
        <v>3</v>
      </c>
      <c r="D4" s="193"/>
      <c r="E4" s="193"/>
      <c r="F4" s="193"/>
      <c r="G4" s="193"/>
    </row>
    <row r="5" spans="1:7" ht="15.75" x14ac:dyDescent="0.25">
      <c r="A5" s="234"/>
      <c r="B5" s="134" t="s">
        <v>63</v>
      </c>
      <c r="C5" s="196"/>
      <c r="D5" s="193"/>
      <c r="E5" s="237" t="s">
        <v>1053</v>
      </c>
      <c r="F5" s="489">
        <v>46189</v>
      </c>
      <c r="G5" s="193"/>
    </row>
    <row r="6" spans="1:7" ht="15.75" x14ac:dyDescent="0.25">
      <c r="A6" s="234"/>
      <c r="B6" s="134" t="s">
        <v>176</v>
      </c>
      <c r="C6" s="236"/>
      <c r="D6" s="237" t="s">
        <v>3</v>
      </c>
      <c r="E6" s="193"/>
      <c r="F6" s="193"/>
      <c r="G6" s="193"/>
    </row>
    <row r="7" spans="1:7" ht="36.75" customHeight="1" thickBot="1" x14ac:dyDescent="0.3">
      <c r="A7" s="234"/>
      <c r="B7" s="238" t="s">
        <v>3</v>
      </c>
      <c r="C7" s="239" t="s">
        <v>0</v>
      </c>
      <c r="D7" s="240" t="s">
        <v>1</v>
      </c>
      <c r="E7" s="241" t="s">
        <v>2</v>
      </c>
      <c r="F7" s="242" t="s">
        <v>37</v>
      </c>
      <c r="G7" s="242" t="s">
        <v>38</v>
      </c>
    </row>
    <row r="8" spans="1:7" ht="28.35" customHeight="1" x14ac:dyDescent="0.25">
      <c r="A8" s="234"/>
      <c r="B8" s="196" t="s">
        <v>39</v>
      </c>
      <c r="C8" s="243">
        <f>'#9492.00 Funds Rec''d'!H24</f>
        <v>79014.539999999994</v>
      </c>
      <c r="D8" s="244"/>
      <c r="E8" s="244"/>
      <c r="F8" s="244"/>
      <c r="G8" s="245"/>
    </row>
    <row r="9" spans="1:7" s="389" customFormat="1" ht="12.75" customHeight="1" x14ac:dyDescent="0.25">
      <c r="A9" s="381"/>
      <c r="B9" s="426"/>
      <c r="C9" s="427"/>
      <c r="D9" s="428"/>
      <c r="E9" s="428"/>
      <c r="F9" s="428"/>
      <c r="G9" s="429"/>
    </row>
    <row r="10" spans="1:7" s="389" customFormat="1" ht="12.75" customHeight="1" x14ac:dyDescent="0.25">
      <c r="A10" s="381" t="s">
        <v>325</v>
      </c>
      <c r="B10" s="426" t="s">
        <v>237</v>
      </c>
      <c r="C10" s="427"/>
      <c r="D10" s="430">
        <f>'#9492.00 Samuels Group'!D23</f>
        <v>14675.17</v>
      </c>
      <c r="E10" s="430">
        <f>'#9492.00 Samuels Group'!F23</f>
        <v>14675.17</v>
      </c>
      <c r="F10" s="430">
        <f>'#9492.00 Samuels Group'!H23</f>
        <v>0</v>
      </c>
      <c r="G10" s="429"/>
    </row>
    <row r="11" spans="1:7" s="389" customFormat="1" ht="12.75" customHeight="1" x14ac:dyDescent="0.25">
      <c r="A11" s="381" t="s">
        <v>325</v>
      </c>
      <c r="B11" s="426" t="s">
        <v>41</v>
      </c>
      <c r="C11" s="427"/>
      <c r="D11" s="430">
        <f>'#9492.00 PM TIME'!E30</f>
        <v>6839.37</v>
      </c>
      <c r="E11" s="430">
        <f>'#9492.00 PM TIME'!G30</f>
        <v>6839.37</v>
      </c>
      <c r="F11" s="430">
        <f>'#9492.00 PM TIME'!I30</f>
        <v>0</v>
      </c>
      <c r="G11" s="429"/>
    </row>
    <row r="12" spans="1:7" s="389" customFormat="1" ht="12.75" customHeight="1" x14ac:dyDescent="0.25">
      <c r="A12" s="381" t="s">
        <v>325</v>
      </c>
      <c r="B12" s="426" t="s">
        <v>42</v>
      </c>
      <c r="C12" s="428"/>
      <c r="D12" s="431">
        <f>'#9492.00 Misc'!G22</f>
        <v>0</v>
      </c>
      <c r="E12" s="431">
        <f>'#9492.00 Misc'!G22</f>
        <v>0</v>
      </c>
      <c r="F12" s="430">
        <f>D12-E12</f>
        <v>0</v>
      </c>
      <c r="G12" s="429"/>
    </row>
    <row r="13" spans="1:7" s="389" customFormat="1" ht="12.75" customHeight="1" x14ac:dyDescent="0.25">
      <c r="A13" s="381" t="s">
        <v>325</v>
      </c>
      <c r="B13" s="426" t="s">
        <v>298</v>
      </c>
      <c r="C13" s="428"/>
      <c r="D13" s="431">
        <f>'#9492.00 Quick Enterprise LLC'!D23</f>
        <v>57500</v>
      </c>
      <c r="E13" s="431">
        <f>'#9492.00 Quick Enterprise LLC'!F23</f>
        <v>57500</v>
      </c>
      <c r="F13" s="430">
        <f>'#9492.00 Quick Enterprise LLC'!H23</f>
        <v>0</v>
      </c>
      <c r="G13" s="429"/>
    </row>
    <row r="14" spans="1:7" s="389" customFormat="1" ht="12.75" customHeight="1" x14ac:dyDescent="0.25">
      <c r="A14" s="381"/>
      <c r="B14" s="426"/>
      <c r="C14" s="428"/>
      <c r="D14" s="431"/>
      <c r="E14" s="431"/>
      <c r="F14" s="430"/>
      <c r="G14" s="429"/>
    </row>
    <row r="15" spans="1:7" ht="24" customHeight="1" thickBot="1" x14ac:dyDescent="0.3">
      <c r="A15" s="249"/>
      <c r="B15" s="250" t="s">
        <v>43</v>
      </c>
      <c r="C15" s="251">
        <f>SUM(C8:C14)</f>
        <v>79014.539999999994</v>
      </c>
      <c r="D15" s="251">
        <f>SUM(D8:D14)</f>
        <v>79014.540000000008</v>
      </c>
      <c r="E15" s="251">
        <f>SUM(E8:E14)</f>
        <v>79014.540000000008</v>
      </c>
      <c r="F15" s="251">
        <f>SUM(D15-E15)</f>
        <v>0</v>
      </c>
      <c r="G15" s="251">
        <f>C8-D15</f>
        <v>0</v>
      </c>
    </row>
    <row r="16" spans="1:7" ht="15" customHeight="1" thickTop="1" x14ac:dyDescent="0.25"/>
    <row r="18" spans="2:2" ht="15" customHeight="1" x14ac:dyDescent="0.25">
      <c r="B18" s="425"/>
    </row>
  </sheetData>
  <pageMargins left="0.25" right="0.25" top="0.85" bottom="0.75" header="0.08" footer="0.3"/>
  <pageSetup scale="89" orientation="portrait" r:id="rId1"/>
  <headerFooter alignWithMargins="0">
    <oddHeader>&amp;CDepartment of Administrative Services
MOU Project Improvements DA26
&amp;A
&amp;D</oddHeader>
    <oddFooter>&amp;LAcct Code: 0506-335-DA26&amp;C&amp;Z&amp;F
&amp;R&amp;P/&amp;N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B9CB-251C-4EFB-B595-996274017BA4}">
  <sheetPr codeName="Sheet80">
    <tabColor rgb="FF0070C0"/>
    <pageSetUpPr fitToPage="1"/>
  </sheetPr>
  <dimension ref="A1:H28"/>
  <sheetViews>
    <sheetView zoomScaleNormal="100" workbookViewId="0">
      <selection activeCell="P26" sqref="P26"/>
    </sheetView>
  </sheetViews>
  <sheetFormatPr defaultRowHeight="15" customHeight="1" x14ac:dyDescent="0.25"/>
  <cols>
    <col min="1" max="1" width="15.5703125" style="267" customWidth="1"/>
    <col min="2" max="2" width="20.5703125" style="267" customWidth="1"/>
    <col min="3" max="3" width="12.42578125" style="267" bestFit="1" customWidth="1"/>
    <col min="4" max="4" width="36.5703125" style="267" bestFit="1" customWidth="1"/>
    <col min="5" max="5" width="20.7109375" style="267" bestFit="1" customWidth="1"/>
    <col min="6" max="6" width="10.42578125" style="267" bestFit="1" customWidth="1"/>
    <col min="7" max="8" width="12.42578125" style="267" bestFit="1" customWidth="1"/>
    <col min="9" max="11" width="9.140625" style="267" customWidth="1"/>
    <col min="12" max="256" width="9.140625" style="267"/>
    <col min="257" max="267" width="9.140625" style="267" customWidth="1"/>
    <col min="268" max="512" width="9.140625" style="267"/>
    <col min="513" max="523" width="9.140625" style="267" customWidth="1"/>
    <col min="524" max="768" width="9.140625" style="267"/>
    <col min="769" max="779" width="9.140625" style="267" customWidth="1"/>
    <col min="780" max="1024" width="9.140625" style="267"/>
    <col min="1025" max="1035" width="9.140625" style="267" customWidth="1"/>
    <col min="1036" max="1280" width="9.140625" style="267"/>
    <col min="1281" max="1291" width="9.140625" style="267" customWidth="1"/>
    <col min="1292" max="1536" width="9.140625" style="267"/>
    <col min="1537" max="1547" width="9.140625" style="267" customWidth="1"/>
    <col min="1548" max="1792" width="9.140625" style="267"/>
    <col min="1793" max="1803" width="9.140625" style="267" customWidth="1"/>
    <col min="1804" max="2048" width="9.140625" style="267"/>
    <col min="2049" max="2059" width="9.140625" style="267" customWidth="1"/>
    <col min="2060" max="2304" width="9.140625" style="267"/>
    <col min="2305" max="2315" width="9.140625" style="267" customWidth="1"/>
    <col min="2316" max="2560" width="9.140625" style="267"/>
    <col min="2561" max="2571" width="9.140625" style="267" customWidth="1"/>
    <col min="2572" max="2816" width="9.140625" style="267"/>
    <col min="2817" max="2827" width="9.140625" style="267" customWidth="1"/>
    <col min="2828" max="3072" width="9.140625" style="267"/>
    <col min="3073" max="3083" width="9.140625" style="267" customWidth="1"/>
    <col min="3084" max="3328" width="9.140625" style="267"/>
    <col min="3329" max="3339" width="9.140625" style="267" customWidth="1"/>
    <col min="3340" max="3584" width="9.140625" style="267"/>
    <col min="3585" max="3595" width="9.140625" style="267" customWidth="1"/>
    <col min="3596" max="3840" width="9.140625" style="267"/>
    <col min="3841" max="3851" width="9.140625" style="267" customWidth="1"/>
    <col min="3852" max="4096" width="9.140625" style="267"/>
    <col min="4097" max="4107" width="9.140625" style="267" customWidth="1"/>
    <col min="4108" max="4352" width="9.140625" style="267"/>
    <col min="4353" max="4363" width="9.140625" style="267" customWidth="1"/>
    <col min="4364" max="4608" width="9.140625" style="267"/>
    <col min="4609" max="4619" width="9.140625" style="267" customWidth="1"/>
    <col min="4620" max="4864" width="9.140625" style="267"/>
    <col min="4865" max="4875" width="9.140625" style="267" customWidth="1"/>
    <col min="4876" max="5120" width="9.140625" style="267"/>
    <col min="5121" max="5131" width="9.140625" style="267" customWidth="1"/>
    <col min="5132" max="5376" width="9.140625" style="267"/>
    <col min="5377" max="5387" width="9.140625" style="267" customWidth="1"/>
    <col min="5388" max="5632" width="9.140625" style="267"/>
    <col min="5633" max="5643" width="9.140625" style="267" customWidth="1"/>
    <col min="5644" max="5888" width="9.140625" style="267"/>
    <col min="5889" max="5899" width="9.140625" style="267" customWidth="1"/>
    <col min="5900" max="6144" width="9.140625" style="267"/>
    <col min="6145" max="6155" width="9.140625" style="267" customWidth="1"/>
    <col min="6156" max="6400" width="9.140625" style="267"/>
    <col min="6401" max="6411" width="9.140625" style="267" customWidth="1"/>
    <col min="6412" max="6656" width="9.140625" style="267"/>
    <col min="6657" max="6667" width="9.140625" style="267" customWidth="1"/>
    <col min="6668" max="6912" width="9.140625" style="267"/>
    <col min="6913" max="6923" width="9.140625" style="267" customWidth="1"/>
    <col min="6924" max="7168" width="9.140625" style="267"/>
    <col min="7169" max="7179" width="9.140625" style="267" customWidth="1"/>
    <col min="7180" max="7424" width="9.140625" style="267"/>
    <col min="7425" max="7435" width="9.140625" style="267" customWidth="1"/>
    <col min="7436" max="7680" width="9.140625" style="267"/>
    <col min="7681" max="7691" width="9.140625" style="267" customWidth="1"/>
    <col min="7692" max="7936" width="9.140625" style="267"/>
    <col min="7937" max="7947" width="9.140625" style="267" customWidth="1"/>
    <col min="7948" max="8192" width="9.140625" style="267"/>
    <col min="8193" max="8203" width="9.140625" style="267" customWidth="1"/>
    <col min="8204" max="8448" width="9.140625" style="267"/>
    <col min="8449" max="8459" width="9.140625" style="267" customWidth="1"/>
    <col min="8460" max="8704" width="9.140625" style="267"/>
    <col min="8705" max="8715" width="9.140625" style="267" customWidth="1"/>
    <col min="8716" max="8960" width="9.140625" style="267"/>
    <col min="8961" max="8971" width="9.140625" style="267" customWidth="1"/>
    <col min="8972" max="9216" width="9.140625" style="267"/>
    <col min="9217" max="9227" width="9.140625" style="267" customWidth="1"/>
    <col min="9228" max="9472" width="9.140625" style="267"/>
    <col min="9473" max="9483" width="9.140625" style="267" customWidth="1"/>
    <col min="9484" max="9728" width="9.140625" style="267"/>
    <col min="9729" max="9739" width="9.140625" style="267" customWidth="1"/>
    <col min="9740" max="9984" width="9.140625" style="267"/>
    <col min="9985" max="9995" width="9.140625" style="267" customWidth="1"/>
    <col min="9996" max="10240" width="9.140625" style="267"/>
    <col min="10241" max="10251" width="9.140625" style="267" customWidth="1"/>
    <col min="10252" max="10496" width="9.140625" style="267"/>
    <col min="10497" max="10507" width="9.140625" style="267" customWidth="1"/>
    <col min="10508" max="10752" width="9.140625" style="267"/>
    <col min="10753" max="10763" width="9.140625" style="267" customWidth="1"/>
    <col min="10764" max="11008" width="9.140625" style="267"/>
    <col min="11009" max="11019" width="9.140625" style="267" customWidth="1"/>
    <col min="11020" max="11264" width="9.140625" style="267"/>
    <col min="11265" max="11275" width="9.140625" style="267" customWidth="1"/>
    <col min="11276" max="11520" width="9.140625" style="267"/>
    <col min="11521" max="11531" width="9.140625" style="267" customWidth="1"/>
    <col min="11532" max="11776" width="9.140625" style="267"/>
    <col min="11777" max="11787" width="9.140625" style="267" customWidth="1"/>
    <col min="11788" max="12032" width="9.140625" style="267"/>
    <col min="12033" max="12043" width="9.140625" style="267" customWidth="1"/>
    <col min="12044" max="12288" width="9.140625" style="267"/>
    <col min="12289" max="12299" width="9.140625" style="267" customWidth="1"/>
    <col min="12300" max="12544" width="9.140625" style="267"/>
    <col min="12545" max="12555" width="9.140625" style="267" customWidth="1"/>
    <col min="12556" max="12800" width="9.140625" style="267"/>
    <col min="12801" max="12811" width="9.140625" style="267" customWidth="1"/>
    <col min="12812" max="13056" width="9.140625" style="267"/>
    <col min="13057" max="13067" width="9.140625" style="267" customWidth="1"/>
    <col min="13068" max="13312" width="9.140625" style="267"/>
    <col min="13313" max="13323" width="9.140625" style="267" customWidth="1"/>
    <col min="13324" max="13568" width="9.140625" style="267"/>
    <col min="13569" max="13579" width="9.140625" style="267" customWidth="1"/>
    <col min="13580" max="13824" width="9.140625" style="267"/>
    <col min="13825" max="13835" width="9.140625" style="267" customWidth="1"/>
    <col min="13836" max="14080" width="9.140625" style="267"/>
    <col min="14081" max="14091" width="9.140625" style="267" customWidth="1"/>
    <col min="14092" max="14336" width="9.140625" style="267"/>
    <col min="14337" max="14347" width="9.140625" style="267" customWidth="1"/>
    <col min="14348" max="14592" width="9.140625" style="267"/>
    <col min="14593" max="14603" width="9.140625" style="267" customWidth="1"/>
    <col min="14604" max="14848" width="9.140625" style="267"/>
    <col min="14849" max="14859" width="9.140625" style="267" customWidth="1"/>
    <col min="14860" max="15104" width="9.140625" style="267"/>
    <col min="15105" max="15115" width="9.140625" style="267" customWidth="1"/>
    <col min="15116" max="15360" width="9.140625" style="267"/>
    <col min="15361" max="15371" width="9.140625" style="267" customWidth="1"/>
    <col min="15372" max="15616" width="9.140625" style="267"/>
    <col min="15617" max="15627" width="9.140625" style="267" customWidth="1"/>
    <col min="15628" max="15872" width="9.140625" style="267"/>
    <col min="15873" max="15883" width="9.140625" style="267" customWidth="1"/>
    <col min="15884" max="16128" width="9.140625" style="267"/>
    <col min="16129" max="16139" width="9.140625" style="267" customWidth="1"/>
    <col min="16140" max="16384" width="9.140625" style="267"/>
  </cols>
  <sheetData>
    <row r="1" spans="1:8" x14ac:dyDescent="0.25">
      <c r="A1" s="253" t="str">
        <f>'RECAP #9492.00'!B1</f>
        <v>ATOD Racking Modification</v>
      </c>
      <c r="B1" s="254"/>
      <c r="C1" s="255"/>
      <c r="D1" s="256"/>
      <c r="E1" s="256"/>
      <c r="F1" s="254"/>
      <c r="G1" s="254"/>
      <c r="H1" s="254"/>
    </row>
    <row r="2" spans="1:8" x14ac:dyDescent="0.25">
      <c r="A2" s="257" t="str">
        <f>'RECAP #9492.00'!B2</f>
        <v>Project # 9492.00</v>
      </c>
      <c r="B2" s="254"/>
      <c r="C2" s="258" t="s">
        <v>3</v>
      </c>
      <c r="D2" s="259"/>
      <c r="E2" s="259"/>
      <c r="F2" s="254"/>
      <c r="G2" s="254"/>
      <c r="H2" s="254"/>
    </row>
    <row r="3" spans="1:8" x14ac:dyDescent="0.25">
      <c r="A3" s="260" t="str">
        <f>'RECAP #9492.00'!B3</f>
        <v>Program code 949200</v>
      </c>
      <c r="B3" s="254"/>
      <c r="C3" s="258" t="s">
        <v>3</v>
      </c>
      <c r="D3" s="261" t="str">
        <f>'RECAP #9492.00'!E3</f>
        <v>Major Program 4H06</v>
      </c>
      <c r="E3" s="256"/>
      <c r="F3" s="254"/>
      <c r="G3" s="254"/>
      <c r="H3" s="254"/>
    </row>
    <row r="4" spans="1:8" ht="15.75" x14ac:dyDescent="0.25">
      <c r="A4" s="116" t="s">
        <v>44</v>
      </c>
      <c r="B4" s="262" t="s">
        <v>3</v>
      </c>
      <c r="C4" s="256"/>
      <c r="D4" s="256"/>
      <c r="E4" s="256"/>
      <c r="F4" s="254"/>
      <c r="G4" s="254"/>
      <c r="H4" s="254"/>
    </row>
    <row r="5" spans="1:8" x14ac:dyDescent="0.25">
      <c r="A5" s="249" t="s">
        <v>122</v>
      </c>
      <c r="B5" s="263"/>
      <c r="C5" s="264"/>
      <c r="D5" s="217"/>
      <c r="E5" s="254"/>
      <c r="F5" s="254"/>
      <c r="G5" s="254"/>
      <c r="H5" s="254"/>
    </row>
    <row r="6" spans="1:8" x14ac:dyDescent="0.25">
      <c r="A6" s="265" t="str">
        <f>'RECAP #9492.00'!B6</f>
        <v>Project Manager - Jennie E.</v>
      </c>
      <c r="B6" s="263"/>
      <c r="C6" s="266"/>
      <c r="D6" s="217"/>
      <c r="E6" s="263"/>
      <c r="F6" s="217"/>
      <c r="G6" s="266"/>
      <c r="H6" s="266"/>
    </row>
    <row r="7" spans="1:8" ht="18" x14ac:dyDescent="0.25">
      <c r="A7" s="265"/>
      <c r="B7" s="268"/>
      <c r="C7" s="269"/>
      <c r="D7" s="268"/>
      <c r="E7" s="268"/>
      <c r="F7" s="270"/>
      <c r="G7" s="269"/>
      <c r="H7" s="269"/>
    </row>
    <row r="8" spans="1:8" ht="50.85" customHeight="1" thickBot="1" x14ac:dyDescent="0.3">
      <c r="A8" s="271" t="s">
        <v>4</v>
      </c>
      <c r="B8" s="272" t="s">
        <v>45</v>
      </c>
      <c r="C8" s="273" t="s">
        <v>5</v>
      </c>
      <c r="D8" s="271" t="s">
        <v>6</v>
      </c>
      <c r="E8" s="272" t="s">
        <v>46</v>
      </c>
      <c r="F8" s="274" t="s">
        <v>7</v>
      </c>
      <c r="G8" s="273" t="s">
        <v>5</v>
      </c>
      <c r="H8" s="275" t="s">
        <v>8</v>
      </c>
    </row>
    <row r="9" spans="1:8" s="389" customFormat="1" ht="12.75" customHeight="1" x14ac:dyDescent="0.25">
      <c r="A9" s="442"/>
      <c r="B9" s="441"/>
      <c r="C9" s="443"/>
      <c r="D9" s="444" t="s">
        <v>96</v>
      </c>
      <c r="E9" s="444" t="s">
        <v>218</v>
      </c>
      <c r="F9" s="445">
        <v>45918</v>
      </c>
      <c r="G9" s="477">
        <v>86150</v>
      </c>
      <c r="H9" s="477">
        <v>86150</v>
      </c>
    </row>
    <row r="10" spans="1:8" s="389" customFormat="1" ht="12.75" customHeight="1" x14ac:dyDescent="0.25">
      <c r="A10" s="442"/>
      <c r="B10" s="442"/>
      <c r="C10" s="446"/>
      <c r="D10" s="444" t="s">
        <v>862</v>
      </c>
      <c r="E10" s="442" t="s">
        <v>861</v>
      </c>
      <c r="F10" s="442">
        <v>46189</v>
      </c>
      <c r="G10" s="478">
        <v>-7135.46</v>
      </c>
      <c r="H10" s="478">
        <v>-7135.46</v>
      </c>
    </row>
    <row r="11" spans="1:8" s="389" customFormat="1" ht="12.75" customHeight="1" x14ac:dyDescent="0.25">
      <c r="A11" s="448"/>
      <c r="B11" s="446"/>
      <c r="C11" s="449"/>
      <c r="D11" s="444"/>
      <c r="F11" s="442"/>
      <c r="G11" s="450"/>
      <c r="H11" s="451"/>
    </row>
    <row r="12" spans="1:8" s="389" customFormat="1" ht="12.75" customHeight="1" x14ac:dyDescent="0.25">
      <c r="A12" s="448"/>
      <c r="B12" s="446"/>
      <c r="C12" s="452"/>
      <c r="D12" s="444"/>
      <c r="F12" s="442"/>
      <c r="G12" s="450"/>
      <c r="H12" s="451"/>
    </row>
    <row r="13" spans="1:8" s="389" customFormat="1" ht="12.75" customHeight="1" x14ac:dyDescent="0.25">
      <c r="A13" s="390"/>
      <c r="B13" s="453"/>
      <c r="C13" s="452"/>
      <c r="D13" s="444"/>
      <c r="F13" s="442"/>
      <c r="G13" s="454"/>
      <c r="H13" s="451"/>
    </row>
    <row r="14" spans="1:8" s="389" customFormat="1" ht="12.75" customHeight="1" x14ac:dyDescent="0.25">
      <c r="A14" s="448"/>
      <c r="B14" s="455"/>
      <c r="C14" s="452"/>
      <c r="D14" s="446"/>
      <c r="E14" s="455"/>
      <c r="F14" s="442"/>
      <c r="G14" s="450"/>
      <c r="H14" s="451"/>
    </row>
    <row r="15" spans="1:8" s="389" customFormat="1" ht="12.75" customHeight="1" x14ac:dyDescent="0.25">
      <c r="A15" s="448"/>
      <c r="B15" s="455"/>
      <c r="C15" s="456"/>
      <c r="D15" s="457"/>
      <c r="E15" s="453"/>
      <c r="F15" s="458"/>
      <c r="G15" s="459"/>
      <c r="H15" s="459"/>
    </row>
    <row r="16" spans="1:8" s="389" customFormat="1" ht="12.75" customHeight="1" x14ac:dyDescent="0.25">
      <c r="A16" s="448"/>
      <c r="B16" s="455"/>
      <c r="C16" s="456" t="s">
        <v>3</v>
      </c>
      <c r="D16" s="457"/>
      <c r="E16" s="455"/>
      <c r="F16" s="458"/>
      <c r="G16" s="459"/>
      <c r="H16" s="459"/>
    </row>
    <row r="17" spans="1:8" s="389" customFormat="1" ht="12.75" customHeight="1" x14ac:dyDescent="0.25">
      <c r="A17" s="448"/>
      <c r="B17" s="455"/>
      <c r="C17" s="456"/>
      <c r="D17" s="457"/>
      <c r="E17" s="455"/>
      <c r="F17" s="458"/>
      <c r="G17" s="460"/>
      <c r="H17" s="456"/>
    </row>
    <row r="18" spans="1:8" s="389" customFormat="1" ht="12.75" customHeight="1" x14ac:dyDescent="0.25">
      <c r="A18" s="448"/>
      <c r="B18" s="461"/>
      <c r="C18" s="456"/>
      <c r="D18" s="457"/>
      <c r="E18" s="455"/>
      <c r="F18" s="458"/>
      <c r="G18" s="459"/>
      <c r="H18" s="459"/>
    </row>
    <row r="19" spans="1:8" s="389" customFormat="1" ht="12.75" customHeight="1" x14ac:dyDescent="0.25">
      <c r="A19" s="448"/>
      <c r="B19" s="455"/>
      <c r="C19" s="456"/>
      <c r="D19" s="457"/>
      <c r="E19" s="455"/>
      <c r="F19" s="458"/>
      <c r="G19" s="459"/>
      <c r="H19" s="459"/>
    </row>
    <row r="20" spans="1:8" s="389" customFormat="1" ht="12.75" customHeight="1" x14ac:dyDescent="0.25">
      <c r="A20" s="448"/>
      <c r="B20" s="455"/>
      <c r="C20" s="456"/>
      <c r="D20" s="457"/>
      <c r="E20" s="455"/>
      <c r="F20" s="458"/>
      <c r="G20" s="460"/>
      <c r="H20" s="456"/>
    </row>
    <row r="21" spans="1:8" s="389" customFormat="1" ht="12.75" customHeight="1" x14ac:dyDescent="0.25">
      <c r="A21" s="448"/>
      <c r="B21" s="455"/>
      <c r="C21" s="456"/>
      <c r="D21" s="457"/>
      <c r="E21" s="455"/>
      <c r="F21" s="458"/>
      <c r="G21" s="460"/>
      <c r="H21" s="456"/>
    </row>
    <row r="22" spans="1:8" s="389" customFormat="1" ht="12.75" customHeight="1" x14ac:dyDescent="0.25">
      <c r="A22" s="448"/>
      <c r="B22" s="455"/>
      <c r="C22" s="456"/>
      <c r="D22" s="457"/>
      <c r="E22" s="455"/>
      <c r="F22" s="448"/>
      <c r="G22" s="459"/>
      <c r="H22" s="459"/>
    </row>
    <row r="23" spans="1:8" s="389" customFormat="1" ht="12.75" customHeight="1" x14ac:dyDescent="0.25">
      <c r="A23" s="448"/>
      <c r="B23" s="455"/>
      <c r="C23" s="456"/>
      <c r="D23" s="457"/>
      <c r="E23" s="455"/>
      <c r="F23" s="448"/>
      <c r="G23" s="459"/>
      <c r="H23" s="459"/>
    </row>
    <row r="24" spans="1:8" s="389" customFormat="1" ht="12.75" customHeight="1" thickBot="1" x14ac:dyDescent="0.3">
      <c r="A24" s="462"/>
      <c r="B24" s="463" t="s">
        <v>9</v>
      </c>
      <c r="C24" s="464">
        <f>SUM(C9:C23)</f>
        <v>0</v>
      </c>
      <c r="D24" s="465" t="s">
        <v>10</v>
      </c>
      <c r="E24" s="466"/>
      <c r="F24" s="467"/>
      <c r="G24" s="396">
        <f>SUM(G9:G23)</f>
        <v>79014.539999999994</v>
      </c>
      <c r="H24" s="396">
        <f>SUM(H9:H22)</f>
        <v>79014.539999999994</v>
      </c>
    </row>
    <row r="25" spans="1:8" s="389" customFormat="1" ht="12.75" customHeight="1" thickTop="1" x14ac:dyDescent="0.25"/>
    <row r="26" spans="1:8" s="389" customFormat="1" ht="12.75" customHeight="1" x14ac:dyDescent="0.25"/>
    <row r="27" spans="1:8" s="389" customFormat="1" ht="12.75" customHeight="1" x14ac:dyDescent="0.25"/>
    <row r="28" spans="1:8" s="389" customFormat="1" ht="12.75" customHeight="1" x14ac:dyDescent="0.25"/>
  </sheetData>
  <pageMargins left="0.25" right="0.25" top="0.85" bottom="0.75" header="0.08" footer="0.3"/>
  <pageSetup scale="7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5D90-2808-4FFE-A620-9BDC7FD8FE1E}">
  <sheetPr codeName="Sheet5">
    <pageSetUpPr fitToPage="1"/>
  </sheetPr>
  <dimension ref="A1:J42"/>
  <sheetViews>
    <sheetView topLeftCell="A4" zoomScaleNormal="100" workbookViewId="0">
      <selection activeCell="N27" sqref="N27"/>
    </sheetView>
  </sheetViews>
  <sheetFormatPr defaultColWidth="11.42578125" defaultRowHeight="15" customHeight="1" x14ac:dyDescent="0.25"/>
  <cols>
    <col min="1" max="1" width="24.5703125" customWidth="1"/>
    <col min="2" max="3" width="9.42578125" customWidth="1"/>
    <col min="4" max="4" width="43" customWidth="1"/>
    <col min="5" max="5" width="21.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#9279.50'!B1</f>
        <v>HHS WRC Campus Utility Decentralization Phase 5</v>
      </c>
      <c r="B1" s="86"/>
      <c r="C1" s="86"/>
      <c r="D1" s="6"/>
      <c r="E1" s="6"/>
      <c r="F1" s="6"/>
      <c r="G1" s="132"/>
      <c r="H1" s="132"/>
      <c r="I1" s="133"/>
      <c r="J1" s="133"/>
    </row>
    <row r="2" spans="1:10" ht="15.75" x14ac:dyDescent="0.25">
      <c r="A2" s="88" t="str">
        <f>'RECAP #9279.50'!B2</f>
        <v>Project # 9279.50</v>
      </c>
      <c r="B2" s="87"/>
      <c r="C2" s="87"/>
      <c r="D2" s="6"/>
      <c r="E2" s="6"/>
      <c r="F2" s="6"/>
      <c r="G2" s="132"/>
      <c r="H2" s="132"/>
      <c r="I2" s="133"/>
      <c r="J2" s="133"/>
    </row>
    <row r="3" spans="1:10" ht="15.75" x14ac:dyDescent="0.25">
      <c r="A3" s="89" t="str">
        <f>'RECAP #9279.50'!B3</f>
        <v>Program code 927950</v>
      </c>
      <c r="B3" s="87"/>
      <c r="C3" s="87"/>
      <c r="D3" s="6"/>
      <c r="E3" s="90" t="str">
        <f>'RECAP #9279.50'!E3</f>
        <v>Major Program 4B02</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#9279.50'!B6</f>
        <v>Project Manager - Jennifer K.</v>
      </c>
      <c r="B6" s="93"/>
      <c r="C6" s="93"/>
      <c r="D6" s="143"/>
      <c r="E6" s="140" t="s">
        <v>318</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293189</f>
        <v>293189</v>
      </c>
      <c r="F9" s="320">
        <f>E9</f>
        <v>293189</v>
      </c>
      <c r="G9" s="321"/>
      <c r="H9" s="321"/>
      <c r="I9" s="321">
        <f>F9</f>
        <v>293189</v>
      </c>
      <c r="J9" s="322"/>
    </row>
    <row r="10" spans="1:10" s="308" customFormat="1" ht="12.75" customHeight="1" x14ac:dyDescent="0.25">
      <c r="A10" s="364" t="s">
        <v>383</v>
      </c>
      <c r="B10" s="318">
        <v>45996</v>
      </c>
      <c r="C10" s="320" t="s">
        <v>274</v>
      </c>
      <c r="D10" s="402" t="s">
        <v>384</v>
      </c>
      <c r="E10" s="320"/>
      <c r="F10" s="320">
        <f>E9+E10</f>
        <v>293189</v>
      </c>
      <c r="G10" s="325">
        <v>116.55</v>
      </c>
      <c r="H10" s="321">
        <f t="shared" ref="H10:H30" si="0">H9+G10</f>
        <v>116.55</v>
      </c>
      <c r="I10" s="366">
        <f>I9-G10+E10</f>
        <v>293072.45</v>
      </c>
      <c r="J10" s="322"/>
    </row>
    <row r="11" spans="1:10" s="308" customFormat="1" ht="12.75" customHeight="1" x14ac:dyDescent="0.25">
      <c r="A11" s="364" t="s">
        <v>383</v>
      </c>
      <c r="B11" s="318">
        <v>45996</v>
      </c>
      <c r="C11" s="403">
        <v>9500</v>
      </c>
      <c r="D11" s="332" t="s">
        <v>385</v>
      </c>
      <c r="E11" s="320"/>
      <c r="F11" s="320">
        <f>F10+E11</f>
        <v>293189</v>
      </c>
      <c r="G11" s="325">
        <v>741.5</v>
      </c>
      <c r="H11" s="321">
        <f t="shared" si="0"/>
        <v>858.05</v>
      </c>
      <c r="I11" s="366">
        <f t="shared" ref="I11:I30" si="1">I10-G11+E11</f>
        <v>292330.95</v>
      </c>
      <c r="J11" s="322"/>
    </row>
    <row r="12" spans="1:10" s="308" customFormat="1" ht="12.75" customHeight="1" x14ac:dyDescent="0.25">
      <c r="A12" s="332" t="s">
        <v>387</v>
      </c>
      <c r="B12" s="318">
        <v>46009</v>
      </c>
      <c r="C12" s="320" t="s">
        <v>274</v>
      </c>
      <c r="D12" s="328" t="s">
        <v>388</v>
      </c>
      <c r="E12" s="320"/>
      <c r="F12" s="320">
        <f t="shared" ref="F12:F30" si="2">F11+E12</f>
        <v>293189</v>
      </c>
      <c r="G12" s="373">
        <v>-116.55</v>
      </c>
      <c r="H12" s="321">
        <f t="shared" si="0"/>
        <v>741.5</v>
      </c>
      <c r="I12" s="366">
        <f t="shared" si="1"/>
        <v>292447.5</v>
      </c>
      <c r="J12" s="322"/>
    </row>
    <row r="13" spans="1:10" s="308" customFormat="1" ht="12.75" customHeight="1" x14ac:dyDescent="0.25">
      <c r="A13" s="332" t="s">
        <v>387</v>
      </c>
      <c r="B13" s="318">
        <v>46009</v>
      </c>
      <c r="C13" s="403">
        <v>9500</v>
      </c>
      <c r="D13" s="328" t="s">
        <v>388</v>
      </c>
      <c r="E13" s="320"/>
      <c r="F13" s="320">
        <f t="shared" si="2"/>
        <v>293189</v>
      </c>
      <c r="G13" s="373">
        <v>-741.5</v>
      </c>
      <c r="H13" s="321">
        <f t="shared" si="0"/>
        <v>0</v>
      </c>
      <c r="I13" s="321">
        <f t="shared" si="1"/>
        <v>293189</v>
      </c>
      <c r="J13" s="322"/>
    </row>
    <row r="14" spans="1:10" s="308" customFormat="1" ht="12.75" customHeight="1" x14ac:dyDescent="0.2">
      <c r="A14" s="171" t="s">
        <v>418</v>
      </c>
      <c r="B14" s="153">
        <v>46030</v>
      </c>
      <c r="C14" s="155" t="s">
        <v>274</v>
      </c>
      <c r="D14" s="181" t="s">
        <v>419</v>
      </c>
      <c r="E14" s="320"/>
      <c r="F14" s="320">
        <f t="shared" si="2"/>
        <v>293189</v>
      </c>
      <c r="G14" s="325">
        <v>21.39</v>
      </c>
      <c r="H14" s="321">
        <f t="shared" si="0"/>
        <v>21.39</v>
      </c>
      <c r="I14" s="321">
        <f t="shared" si="1"/>
        <v>293167.61</v>
      </c>
      <c r="J14" s="322"/>
    </row>
    <row r="15" spans="1:10" s="308" customFormat="1" ht="12.75" customHeight="1" x14ac:dyDescent="0.2">
      <c r="A15" s="171" t="s">
        <v>418</v>
      </c>
      <c r="B15" s="153">
        <v>46030</v>
      </c>
      <c r="C15" s="401">
        <v>9500</v>
      </c>
      <c r="D15" s="126" t="s">
        <v>420</v>
      </c>
      <c r="E15" s="320"/>
      <c r="F15" s="320">
        <f t="shared" si="2"/>
        <v>293189</v>
      </c>
      <c r="G15" s="325">
        <v>243.3</v>
      </c>
      <c r="H15" s="321">
        <f t="shared" si="0"/>
        <v>264.69</v>
      </c>
      <c r="I15" s="321">
        <f t="shared" si="1"/>
        <v>292924.31</v>
      </c>
      <c r="J15" s="322"/>
    </row>
    <row r="16" spans="1:10" s="308" customFormat="1" ht="12.75" customHeight="1" x14ac:dyDescent="0.2">
      <c r="A16" s="171" t="s">
        <v>492</v>
      </c>
      <c r="B16" s="153">
        <v>46062</v>
      </c>
      <c r="C16" s="155" t="s">
        <v>274</v>
      </c>
      <c r="D16" s="181" t="s">
        <v>493</v>
      </c>
      <c r="E16" s="320"/>
      <c r="F16" s="320">
        <f t="shared" si="2"/>
        <v>293189</v>
      </c>
      <c r="G16" s="325">
        <v>50.95</v>
      </c>
      <c r="H16" s="321">
        <f t="shared" si="0"/>
        <v>315.64</v>
      </c>
      <c r="I16" s="321">
        <f t="shared" si="1"/>
        <v>292873.36</v>
      </c>
      <c r="J16" s="322"/>
    </row>
    <row r="17" spans="1:10" s="308" customFormat="1" ht="12.75" customHeight="1" x14ac:dyDescent="0.2">
      <c r="A17" s="171" t="s">
        <v>492</v>
      </c>
      <c r="B17" s="153">
        <v>46062</v>
      </c>
      <c r="C17" s="401">
        <v>9500</v>
      </c>
      <c r="D17" s="126" t="s">
        <v>494</v>
      </c>
      <c r="E17" s="320"/>
      <c r="F17" s="320">
        <f t="shared" si="2"/>
        <v>293189</v>
      </c>
      <c r="G17" s="325">
        <v>628.79999999999995</v>
      </c>
      <c r="H17" s="321">
        <f t="shared" si="0"/>
        <v>944.43999999999994</v>
      </c>
      <c r="I17" s="321">
        <f t="shared" si="1"/>
        <v>292244.56</v>
      </c>
      <c r="J17" s="322"/>
    </row>
    <row r="18" spans="1:10" s="308" customFormat="1" ht="12.75" customHeight="1" x14ac:dyDescent="0.2">
      <c r="A18" s="171" t="s">
        <v>550</v>
      </c>
      <c r="B18" s="153">
        <v>46090</v>
      </c>
      <c r="C18" s="155" t="s">
        <v>274</v>
      </c>
      <c r="D18" s="181" t="s">
        <v>551</v>
      </c>
      <c r="E18" s="320"/>
      <c r="F18" s="320">
        <f t="shared" si="2"/>
        <v>293189</v>
      </c>
      <c r="G18" s="325">
        <v>186.17</v>
      </c>
      <c r="H18" s="321">
        <f t="shared" si="0"/>
        <v>1130.6099999999999</v>
      </c>
      <c r="I18" s="321">
        <f t="shared" si="1"/>
        <v>292058.39</v>
      </c>
      <c r="J18" s="322"/>
    </row>
    <row r="19" spans="1:10" s="308" customFormat="1" ht="12.75" customHeight="1" x14ac:dyDescent="0.2">
      <c r="A19" s="171" t="s">
        <v>550</v>
      </c>
      <c r="B19" s="153">
        <v>46090</v>
      </c>
      <c r="C19" s="401">
        <v>9500</v>
      </c>
      <c r="D19" s="126" t="s">
        <v>552</v>
      </c>
      <c r="E19" s="320"/>
      <c r="F19" s="320">
        <f t="shared" si="2"/>
        <v>293189</v>
      </c>
      <c r="G19" s="325">
        <v>2143.8000000000002</v>
      </c>
      <c r="H19" s="321">
        <f t="shared" si="0"/>
        <v>3274.41</v>
      </c>
      <c r="I19" s="321">
        <f t="shared" si="1"/>
        <v>289914.59000000003</v>
      </c>
      <c r="J19" s="322"/>
    </row>
    <row r="20" spans="1:10" s="308" customFormat="1" ht="12.75" customHeight="1" x14ac:dyDescent="0.2">
      <c r="A20" s="171" t="s">
        <v>626</v>
      </c>
      <c r="B20" s="153">
        <v>46118</v>
      </c>
      <c r="C20" s="155" t="s">
        <v>274</v>
      </c>
      <c r="D20" s="181" t="s">
        <v>627</v>
      </c>
      <c r="E20" s="320"/>
      <c r="F20" s="320">
        <f t="shared" si="2"/>
        <v>293189</v>
      </c>
      <c r="G20" s="325">
        <v>279.88</v>
      </c>
      <c r="H20" s="321">
        <f t="shared" si="0"/>
        <v>3554.29</v>
      </c>
      <c r="I20" s="321">
        <f t="shared" si="1"/>
        <v>289634.71000000002</v>
      </c>
      <c r="J20" s="322"/>
    </row>
    <row r="21" spans="1:10" s="308" customFormat="1" ht="12.75" customHeight="1" x14ac:dyDescent="0.2">
      <c r="A21" s="171" t="s">
        <v>626</v>
      </c>
      <c r="B21" s="153">
        <v>46118</v>
      </c>
      <c r="C21" s="401">
        <v>9500</v>
      </c>
      <c r="D21" s="126" t="s">
        <v>628</v>
      </c>
      <c r="E21" s="320"/>
      <c r="F21" s="320">
        <f t="shared" si="2"/>
        <v>293189</v>
      </c>
      <c r="G21" s="325">
        <v>2285.6</v>
      </c>
      <c r="H21" s="321">
        <f t="shared" si="0"/>
        <v>5839.8899999999994</v>
      </c>
      <c r="I21" s="321">
        <f t="shared" si="1"/>
        <v>287349.11000000004</v>
      </c>
      <c r="J21" s="322"/>
    </row>
    <row r="22" spans="1:10" s="308" customFormat="1" ht="12.75" customHeight="1" x14ac:dyDescent="0.2">
      <c r="A22" s="171" t="s">
        <v>752</v>
      </c>
      <c r="B22" s="153">
        <v>46149</v>
      </c>
      <c r="C22" s="155" t="s">
        <v>274</v>
      </c>
      <c r="D22" s="181" t="s">
        <v>753</v>
      </c>
      <c r="E22" s="320"/>
      <c r="F22" s="320">
        <f t="shared" si="2"/>
        <v>293189</v>
      </c>
      <c r="G22" s="325">
        <v>196.51</v>
      </c>
      <c r="H22" s="321">
        <f t="shared" si="0"/>
        <v>6036.4</v>
      </c>
      <c r="I22" s="321">
        <f t="shared" si="1"/>
        <v>287152.60000000003</v>
      </c>
      <c r="J22" s="322"/>
    </row>
    <row r="23" spans="1:10" s="308" customFormat="1" ht="12.75" customHeight="1" x14ac:dyDescent="0.2">
      <c r="A23" s="171" t="s">
        <v>752</v>
      </c>
      <c r="B23" s="153">
        <v>46149</v>
      </c>
      <c r="C23" s="401">
        <v>9500</v>
      </c>
      <c r="D23" s="126" t="s">
        <v>754</v>
      </c>
      <c r="E23" s="320"/>
      <c r="F23" s="320">
        <f t="shared" si="2"/>
        <v>293189</v>
      </c>
      <c r="G23" s="325">
        <v>2050.3000000000002</v>
      </c>
      <c r="H23" s="321">
        <f t="shared" si="0"/>
        <v>8086.7</v>
      </c>
      <c r="I23" s="321">
        <f t="shared" si="1"/>
        <v>285102.30000000005</v>
      </c>
      <c r="J23" s="322"/>
    </row>
    <row r="24" spans="1:10" s="308" customFormat="1" ht="12.75" customHeight="1" x14ac:dyDescent="0.2">
      <c r="A24" s="171" t="s">
        <v>844</v>
      </c>
      <c r="B24" s="153">
        <v>46181</v>
      </c>
      <c r="C24" s="155" t="s">
        <v>274</v>
      </c>
      <c r="D24" s="181" t="s">
        <v>845</v>
      </c>
      <c r="E24" s="320"/>
      <c r="F24" s="320">
        <f t="shared" si="2"/>
        <v>293189</v>
      </c>
      <c r="G24" s="325">
        <v>223.66</v>
      </c>
      <c r="H24" s="321">
        <f t="shared" si="0"/>
        <v>8310.36</v>
      </c>
      <c r="I24" s="321">
        <f t="shared" si="1"/>
        <v>284878.64000000007</v>
      </c>
      <c r="J24" s="322"/>
    </row>
    <row r="25" spans="1:10" s="308" customFormat="1" ht="12.75" customHeight="1" x14ac:dyDescent="0.2">
      <c r="A25" s="171" t="s">
        <v>844</v>
      </c>
      <c r="B25" s="153">
        <v>46181</v>
      </c>
      <c r="C25" s="401">
        <v>9500</v>
      </c>
      <c r="D25" s="126" t="s">
        <v>846</v>
      </c>
      <c r="E25" s="320"/>
      <c r="F25" s="320">
        <f t="shared" si="2"/>
        <v>293189</v>
      </c>
      <c r="G25" s="325">
        <v>2736.4</v>
      </c>
      <c r="H25" s="321">
        <f t="shared" si="0"/>
        <v>11046.76</v>
      </c>
      <c r="I25" s="321">
        <f t="shared" si="1"/>
        <v>282142.24000000005</v>
      </c>
      <c r="J25" s="322"/>
    </row>
    <row r="26" spans="1:10" s="308" customFormat="1" ht="12.75" customHeight="1" x14ac:dyDescent="0.2">
      <c r="A26" s="171" t="s">
        <v>989</v>
      </c>
      <c r="B26" s="153">
        <v>46211</v>
      </c>
      <c r="C26" s="155" t="s">
        <v>274</v>
      </c>
      <c r="D26" s="181" t="s">
        <v>992</v>
      </c>
      <c r="E26" s="320"/>
      <c r="F26" s="320">
        <f t="shared" si="2"/>
        <v>293189</v>
      </c>
      <c r="G26" s="325">
        <v>230.14</v>
      </c>
      <c r="H26" s="321">
        <f t="shared" si="0"/>
        <v>11276.9</v>
      </c>
      <c r="I26" s="321">
        <f t="shared" si="1"/>
        <v>281912.10000000003</v>
      </c>
      <c r="J26" s="322"/>
    </row>
    <row r="27" spans="1:10" s="308" customFormat="1" ht="12.75" customHeight="1" x14ac:dyDescent="0.2">
      <c r="A27" s="171" t="s">
        <v>989</v>
      </c>
      <c r="B27" s="153">
        <v>46211</v>
      </c>
      <c r="C27" s="401">
        <v>9500</v>
      </c>
      <c r="D27" s="126" t="s">
        <v>993</v>
      </c>
      <c r="E27" s="320"/>
      <c r="F27" s="320">
        <f t="shared" si="2"/>
        <v>293189</v>
      </c>
      <c r="G27" s="325">
        <v>2656.3</v>
      </c>
      <c r="H27" s="321">
        <f t="shared" si="0"/>
        <v>13933.2</v>
      </c>
      <c r="I27" s="321">
        <f t="shared" si="1"/>
        <v>279255.80000000005</v>
      </c>
      <c r="J27" s="322"/>
    </row>
    <row r="28" spans="1:10" s="308" customFormat="1" ht="12.75" customHeight="1" x14ac:dyDescent="0.2">
      <c r="A28" s="171" t="s">
        <v>1036</v>
      </c>
      <c r="B28" s="153">
        <v>46218</v>
      </c>
      <c r="C28" s="155" t="s">
        <v>274</v>
      </c>
      <c r="D28" s="181" t="s">
        <v>1037</v>
      </c>
      <c r="E28" s="320"/>
      <c r="F28" s="320">
        <f t="shared" si="2"/>
        <v>293189</v>
      </c>
      <c r="G28" s="325">
        <v>92.37</v>
      </c>
      <c r="H28" s="321">
        <f t="shared" si="0"/>
        <v>14025.570000000002</v>
      </c>
      <c r="I28" s="321">
        <f t="shared" si="1"/>
        <v>279163.43000000005</v>
      </c>
      <c r="J28" s="322"/>
    </row>
    <row r="29" spans="1:10" s="308" customFormat="1" ht="12.75" customHeight="1" x14ac:dyDescent="0.2">
      <c r="A29" s="171"/>
      <c r="B29" s="153"/>
      <c r="C29" s="401"/>
      <c r="D29" s="126"/>
      <c r="E29" s="320"/>
      <c r="F29" s="320">
        <f t="shared" si="2"/>
        <v>293189</v>
      </c>
      <c r="G29" s="325"/>
      <c r="H29" s="321">
        <f t="shared" si="0"/>
        <v>14025.570000000002</v>
      </c>
      <c r="I29" s="321">
        <f t="shared" si="1"/>
        <v>279163.43000000005</v>
      </c>
      <c r="J29" s="322"/>
    </row>
    <row r="30" spans="1:10" s="308" customFormat="1" ht="12.75" customHeight="1" x14ac:dyDescent="0.2">
      <c r="A30" s="171"/>
      <c r="B30" s="153"/>
      <c r="C30" s="401"/>
      <c r="D30" s="126"/>
      <c r="E30" s="320"/>
      <c r="F30" s="320">
        <f t="shared" si="2"/>
        <v>293189</v>
      </c>
      <c r="G30" s="325"/>
      <c r="H30" s="321">
        <f t="shared" si="0"/>
        <v>14025.570000000002</v>
      </c>
      <c r="I30" s="321">
        <f t="shared" si="1"/>
        <v>279163.43000000005</v>
      </c>
      <c r="J30" s="322"/>
    </row>
    <row r="31" spans="1:10" s="308" customFormat="1" ht="12.75" customHeight="1" x14ac:dyDescent="0.25">
      <c r="A31" s="332"/>
      <c r="B31" s="324"/>
      <c r="C31" s="324"/>
      <c r="D31" s="328"/>
      <c r="E31" s="321"/>
      <c r="F31" s="321"/>
      <c r="G31" s="321"/>
      <c r="H31" s="321"/>
      <c r="I31" s="321"/>
      <c r="J31" s="322"/>
    </row>
    <row r="32" spans="1:10" s="308" customFormat="1" ht="12.75" customHeight="1" thickBot="1" x14ac:dyDescent="0.3">
      <c r="A32" s="332"/>
      <c r="B32" s="329"/>
      <c r="C32" s="329"/>
      <c r="D32" s="330" t="s">
        <v>54</v>
      </c>
      <c r="E32" s="184">
        <f>SUM(E9:E31)</f>
        <v>293189</v>
      </c>
      <c r="F32" s="184"/>
      <c r="G32" s="184">
        <f>SUM(G9:G31)</f>
        <v>14025.570000000002</v>
      </c>
      <c r="H32" s="184"/>
      <c r="I32" s="184">
        <f>SUM(E32-G32)</f>
        <v>279163.43</v>
      </c>
      <c r="J32" s="322"/>
    </row>
    <row r="33" s="308" customFormat="1" ht="12.75" customHeight="1" thickTop="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sheetData>
  <pageMargins left="0.25" right="0.25" top="0.85" bottom="0.75" header="0.08" footer="0.3"/>
  <pageSetup scale="60"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BDD2-9A12-4E74-98F9-450ABA6C2C69}">
  <sheetPr codeName="Sheet81">
    <tabColor rgb="FF0070C0"/>
    <pageSetUpPr fitToPage="1"/>
  </sheetPr>
  <dimension ref="A1:I24"/>
  <sheetViews>
    <sheetView topLeftCell="A6"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14062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#9492.00'!B1</f>
        <v>ATOD Racking Modification</v>
      </c>
      <c r="B1" s="116"/>
      <c r="C1" s="193"/>
      <c r="D1" s="193"/>
      <c r="E1" s="193"/>
      <c r="F1" s="194"/>
      <c r="G1" s="194"/>
      <c r="H1" s="195"/>
      <c r="I1" s="195"/>
    </row>
    <row r="2" spans="1:9" ht="15.75" x14ac:dyDescent="0.25">
      <c r="A2" s="134" t="str">
        <f>'RECAP #9492.00'!B2</f>
        <v>Project # 9492.00</v>
      </c>
      <c r="B2" s="196"/>
      <c r="C2" s="193"/>
      <c r="D2" s="193"/>
      <c r="E2" s="193"/>
      <c r="F2" s="194"/>
      <c r="G2" s="194"/>
      <c r="H2" s="195"/>
      <c r="I2" s="195"/>
    </row>
    <row r="3" spans="1:9" ht="15.75" x14ac:dyDescent="0.25">
      <c r="A3" s="197" t="str">
        <f>'RECAP #9492.00'!B3</f>
        <v>Program code 949200</v>
      </c>
      <c r="B3" s="196"/>
      <c r="C3" s="193"/>
      <c r="D3" s="198" t="str">
        <f>'RECAP #9492.00'!E3</f>
        <v>Major Program 4H06</v>
      </c>
      <c r="E3" s="193"/>
      <c r="F3" s="194"/>
      <c r="G3" s="194"/>
      <c r="H3" s="195"/>
      <c r="I3" s="195"/>
    </row>
    <row r="4" spans="1:9" ht="15.75" x14ac:dyDescent="0.25">
      <c r="A4" s="116" t="s">
        <v>237</v>
      </c>
      <c r="B4" s="134"/>
      <c r="C4" s="195"/>
      <c r="D4" s="199" t="s">
        <v>238</v>
      </c>
      <c r="E4" s="194"/>
      <c r="F4" s="194"/>
      <c r="G4" s="194"/>
      <c r="H4" s="195"/>
      <c r="I4" s="195"/>
    </row>
    <row r="5" spans="1:9" ht="15.75" x14ac:dyDescent="0.25">
      <c r="A5" s="200" t="s">
        <v>147</v>
      </c>
      <c r="B5" s="195"/>
      <c r="C5" s="201"/>
      <c r="D5" s="140" t="s">
        <v>239</v>
      </c>
      <c r="E5" s="145"/>
      <c r="F5" s="194"/>
      <c r="G5" s="194"/>
      <c r="H5" s="195"/>
      <c r="I5" s="195"/>
    </row>
    <row r="6" spans="1:9" ht="15.75" x14ac:dyDescent="0.25">
      <c r="A6" s="134" t="str">
        <f>'RECAP #9492.00'!B6</f>
        <v>Project Manager - Jennie E.</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240</v>
      </c>
      <c r="B9" s="383">
        <v>45926</v>
      </c>
      <c r="C9" s="391" t="s">
        <v>146</v>
      </c>
      <c r="D9" s="419">
        <v>14675.17</v>
      </c>
      <c r="E9" s="386">
        <f>D9</f>
        <v>14675.17</v>
      </c>
      <c r="F9" s="387"/>
      <c r="G9" s="387"/>
      <c r="H9" s="387">
        <f>E9</f>
        <v>14675.17</v>
      </c>
      <c r="I9" s="388"/>
    </row>
    <row r="10" spans="1:9" s="389" customFormat="1" ht="12.75" customHeight="1" x14ac:dyDescent="0.25">
      <c r="A10" s="382" t="s">
        <v>354</v>
      </c>
      <c r="B10" s="390">
        <v>46002</v>
      </c>
      <c r="C10" s="391" t="s">
        <v>355</v>
      </c>
      <c r="D10" s="386"/>
      <c r="E10" s="386">
        <f t="shared" ref="E10:E21" si="0">E9+D10</f>
        <v>14675.17</v>
      </c>
      <c r="F10" s="392">
        <v>8361.58</v>
      </c>
      <c r="G10" s="387">
        <f t="shared" ref="G10:G21" si="1">G9+F10</f>
        <v>8361.58</v>
      </c>
      <c r="H10" s="387">
        <f t="shared" ref="H10:H21" si="2">H9-F10+D10</f>
        <v>6313.59</v>
      </c>
      <c r="I10" s="388"/>
    </row>
    <row r="11" spans="1:9" s="389" customFormat="1" ht="12.75" customHeight="1" x14ac:dyDescent="0.25">
      <c r="A11" s="382" t="s">
        <v>421</v>
      </c>
      <c r="B11" s="383">
        <v>46036</v>
      </c>
      <c r="C11" s="391" t="s">
        <v>422</v>
      </c>
      <c r="D11" s="386"/>
      <c r="E11" s="386">
        <f t="shared" si="0"/>
        <v>14675.17</v>
      </c>
      <c r="F11" s="392">
        <v>1685.6</v>
      </c>
      <c r="G11" s="387">
        <f t="shared" si="1"/>
        <v>10047.18</v>
      </c>
      <c r="H11" s="387">
        <f t="shared" si="2"/>
        <v>4627.99</v>
      </c>
      <c r="I11" s="388"/>
    </row>
    <row r="12" spans="1:9" s="389" customFormat="1" ht="12.75" customHeight="1" x14ac:dyDescent="0.25">
      <c r="A12" s="382" t="s">
        <v>482</v>
      </c>
      <c r="B12" s="383">
        <v>46058</v>
      </c>
      <c r="C12" s="391" t="s">
        <v>483</v>
      </c>
      <c r="D12" s="386"/>
      <c r="E12" s="386">
        <f t="shared" si="0"/>
        <v>14675.17</v>
      </c>
      <c r="F12" s="392">
        <v>1975.83</v>
      </c>
      <c r="G12" s="387">
        <f t="shared" si="1"/>
        <v>12023.01</v>
      </c>
      <c r="H12" s="387">
        <f t="shared" si="2"/>
        <v>2652.16</v>
      </c>
      <c r="I12" s="388"/>
    </row>
    <row r="13" spans="1:9" s="389" customFormat="1" ht="12.75" customHeight="1" x14ac:dyDescent="0.25">
      <c r="A13" s="382" t="s">
        <v>719</v>
      </c>
      <c r="B13" s="383">
        <v>46142</v>
      </c>
      <c r="C13" s="391" t="s">
        <v>720</v>
      </c>
      <c r="D13" s="386"/>
      <c r="E13" s="386">
        <f t="shared" si="0"/>
        <v>14675.17</v>
      </c>
      <c r="F13" s="392">
        <v>2652.16</v>
      </c>
      <c r="G13" s="387">
        <f t="shared" si="1"/>
        <v>14675.17</v>
      </c>
      <c r="H13" s="387">
        <f t="shared" si="2"/>
        <v>0</v>
      </c>
      <c r="I13" s="388"/>
    </row>
    <row r="14" spans="1:9" s="389" customFormat="1" ht="12.75" customHeight="1" x14ac:dyDescent="0.25">
      <c r="A14" s="382"/>
      <c r="B14" s="383"/>
      <c r="C14" s="391"/>
      <c r="D14" s="386"/>
      <c r="E14" s="386">
        <f t="shared" si="0"/>
        <v>14675.17</v>
      </c>
      <c r="F14" s="387"/>
      <c r="G14" s="387">
        <f t="shared" si="1"/>
        <v>14675.17</v>
      </c>
      <c r="H14" s="387">
        <f t="shared" si="2"/>
        <v>0</v>
      </c>
      <c r="I14" s="388"/>
    </row>
    <row r="15" spans="1:9" s="389" customFormat="1" ht="12.75" customHeight="1" x14ac:dyDescent="0.25">
      <c r="A15" s="382"/>
      <c r="B15" s="383"/>
      <c r="C15" s="391"/>
      <c r="D15" s="386"/>
      <c r="E15" s="386">
        <f t="shared" si="0"/>
        <v>14675.17</v>
      </c>
      <c r="F15" s="392"/>
      <c r="G15" s="387">
        <f t="shared" si="1"/>
        <v>14675.17</v>
      </c>
      <c r="H15" s="387">
        <f t="shared" si="2"/>
        <v>0</v>
      </c>
      <c r="I15" s="388"/>
    </row>
    <row r="16" spans="1:9" s="389" customFormat="1" ht="12.75" customHeight="1" x14ac:dyDescent="0.25">
      <c r="A16" s="382"/>
      <c r="B16" s="383"/>
      <c r="C16" s="391"/>
      <c r="D16" s="386"/>
      <c r="E16" s="386">
        <f t="shared" si="0"/>
        <v>14675.17</v>
      </c>
      <c r="F16" s="392"/>
      <c r="G16" s="387">
        <f t="shared" si="1"/>
        <v>14675.17</v>
      </c>
      <c r="H16" s="387">
        <f t="shared" si="2"/>
        <v>0</v>
      </c>
      <c r="I16" s="388"/>
    </row>
    <row r="17" spans="1:9" s="389" customFormat="1" ht="12.75" customHeight="1" x14ac:dyDescent="0.25">
      <c r="A17" s="382"/>
      <c r="B17" s="383"/>
      <c r="C17" s="391"/>
      <c r="D17" s="386"/>
      <c r="E17" s="386">
        <f t="shared" si="0"/>
        <v>14675.17</v>
      </c>
      <c r="F17" s="392"/>
      <c r="G17" s="387">
        <f t="shared" si="1"/>
        <v>14675.17</v>
      </c>
      <c r="H17" s="387">
        <f t="shared" si="2"/>
        <v>0</v>
      </c>
      <c r="I17" s="388"/>
    </row>
    <row r="18" spans="1:9" s="389" customFormat="1" ht="12.75" customHeight="1" x14ac:dyDescent="0.25">
      <c r="A18" s="382"/>
      <c r="B18" s="383"/>
      <c r="C18" s="391"/>
      <c r="D18" s="386"/>
      <c r="E18" s="386">
        <f t="shared" si="0"/>
        <v>14675.17</v>
      </c>
      <c r="F18" s="392"/>
      <c r="G18" s="387">
        <f t="shared" si="1"/>
        <v>14675.17</v>
      </c>
      <c r="H18" s="387">
        <f t="shared" si="2"/>
        <v>0</v>
      </c>
      <c r="I18" s="388"/>
    </row>
    <row r="19" spans="1:9" s="389" customFormat="1" ht="12.75" customHeight="1" x14ac:dyDescent="0.25">
      <c r="A19" s="382"/>
      <c r="B19" s="383"/>
      <c r="C19" s="391"/>
      <c r="D19" s="386"/>
      <c r="E19" s="386">
        <f t="shared" si="0"/>
        <v>14675.17</v>
      </c>
      <c r="F19" s="387"/>
      <c r="G19" s="387">
        <f t="shared" si="1"/>
        <v>14675.17</v>
      </c>
      <c r="H19" s="387">
        <f t="shared" si="2"/>
        <v>0</v>
      </c>
      <c r="I19" s="388"/>
    </row>
    <row r="20" spans="1:9" s="389" customFormat="1" ht="12.75" customHeight="1" x14ac:dyDescent="0.25">
      <c r="A20" s="382"/>
      <c r="B20" s="383"/>
      <c r="C20" s="391"/>
      <c r="D20" s="386"/>
      <c r="E20" s="386">
        <f t="shared" si="0"/>
        <v>14675.17</v>
      </c>
      <c r="F20" s="387"/>
      <c r="G20" s="387">
        <f t="shared" si="1"/>
        <v>14675.17</v>
      </c>
      <c r="H20" s="387">
        <f t="shared" si="2"/>
        <v>0</v>
      </c>
      <c r="I20" s="388"/>
    </row>
    <row r="21" spans="1:9" s="389" customFormat="1" ht="12.75" customHeight="1" x14ac:dyDescent="0.25">
      <c r="A21" s="382"/>
      <c r="B21" s="383"/>
      <c r="C21" s="393"/>
      <c r="D21" s="386"/>
      <c r="E21" s="386">
        <f t="shared" si="0"/>
        <v>14675.17</v>
      </c>
      <c r="F21" s="387"/>
      <c r="G21" s="387">
        <f t="shared" si="1"/>
        <v>14675.17</v>
      </c>
      <c r="H21" s="387">
        <f t="shared" si="2"/>
        <v>0</v>
      </c>
      <c r="I21" s="388"/>
    </row>
    <row r="22" spans="1:9" s="389" customFormat="1" ht="12.75" customHeight="1" x14ac:dyDescent="0.25">
      <c r="A22" s="382"/>
      <c r="B22" s="391"/>
      <c r="C22" s="372"/>
      <c r="D22" s="387"/>
      <c r="E22" s="387"/>
      <c r="F22" s="387"/>
      <c r="G22" s="387"/>
      <c r="H22" s="387"/>
      <c r="I22" s="388"/>
    </row>
    <row r="23" spans="1:9" ht="15.75" thickBot="1" x14ac:dyDescent="0.3">
      <c r="A23" s="223"/>
      <c r="B23" s="219"/>
      <c r="C23" s="220" t="s">
        <v>54</v>
      </c>
      <c r="D23" s="221">
        <f>SUM(D9:D22)</f>
        <v>14675.17</v>
      </c>
      <c r="E23" s="221"/>
      <c r="F23" s="221">
        <f>SUM(F9:F22)</f>
        <v>14675.17</v>
      </c>
      <c r="G23" s="221"/>
      <c r="H23" s="221">
        <f>D23-F23</f>
        <v>0</v>
      </c>
      <c r="I23" s="140" t="s">
        <v>341</v>
      </c>
    </row>
    <row r="24" spans="1:9" ht="15" customHeight="1" thickTop="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4B508-C890-46DC-8184-5CF83A71FFB8}">
  <sheetPr codeName="Sheet82">
    <tabColor rgb="FF0070C0"/>
    <pageSetUpPr fitToPage="1"/>
  </sheetPr>
  <dimension ref="A1:J37"/>
  <sheetViews>
    <sheetView zoomScaleNormal="100" workbookViewId="0">
      <selection activeCell="P26" sqref="P26"/>
    </sheetView>
  </sheetViews>
  <sheetFormatPr defaultColWidth="11.42578125" defaultRowHeight="15" customHeight="1" x14ac:dyDescent="0.25"/>
  <cols>
    <col min="1" max="1" width="24.5703125" style="267" customWidth="1"/>
    <col min="2" max="3" width="9.42578125" style="267" customWidth="1"/>
    <col min="4" max="4" width="37.85546875" style="267" customWidth="1"/>
    <col min="5" max="5" width="14.5703125" style="267" customWidth="1"/>
    <col min="6" max="6" width="13.5703125" style="267" customWidth="1"/>
    <col min="7" max="7" width="12.42578125" style="267" customWidth="1"/>
    <col min="8" max="8" width="10.5703125" style="267" customWidth="1"/>
    <col min="9" max="9" width="11" style="267" customWidth="1"/>
    <col min="10" max="256" width="11.42578125" style="267"/>
    <col min="257" max="265" width="11.42578125" style="267" customWidth="1"/>
    <col min="266" max="512" width="11.42578125" style="267"/>
    <col min="513" max="521" width="11.42578125" style="267" customWidth="1"/>
    <col min="522" max="768" width="11.42578125" style="267"/>
    <col min="769" max="777" width="11.42578125" style="267" customWidth="1"/>
    <col min="778" max="1024" width="11.42578125" style="267"/>
    <col min="1025" max="1033" width="11.42578125" style="267" customWidth="1"/>
    <col min="1034" max="1280" width="11.42578125" style="267"/>
    <col min="1281" max="1289" width="11.42578125" style="267" customWidth="1"/>
    <col min="1290" max="1536" width="11.42578125" style="267"/>
    <col min="1537" max="1545" width="11.42578125" style="267" customWidth="1"/>
    <col min="1546" max="1792" width="11.42578125" style="267"/>
    <col min="1793" max="1801" width="11.42578125" style="267" customWidth="1"/>
    <col min="1802" max="2048" width="11.42578125" style="267"/>
    <col min="2049" max="2057" width="11.42578125" style="267" customWidth="1"/>
    <col min="2058" max="2304" width="11.42578125" style="267"/>
    <col min="2305" max="2313" width="11.42578125" style="267" customWidth="1"/>
    <col min="2314" max="2560" width="11.42578125" style="267"/>
    <col min="2561" max="2569" width="11.42578125" style="267" customWidth="1"/>
    <col min="2570" max="2816" width="11.42578125" style="267"/>
    <col min="2817" max="2825" width="11.42578125" style="267" customWidth="1"/>
    <col min="2826" max="3072" width="11.42578125" style="267"/>
    <col min="3073" max="3081" width="11.42578125" style="267" customWidth="1"/>
    <col min="3082" max="3328" width="11.42578125" style="267"/>
    <col min="3329" max="3337" width="11.42578125" style="267" customWidth="1"/>
    <col min="3338" max="3584" width="11.42578125" style="267"/>
    <col min="3585" max="3593" width="11.42578125" style="267" customWidth="1"/>
    <col min="3594" max="3840" width="11.42578125" style="267"/>
    <col min="3841" max="3849" width="11.42578125" style="267" customWidth="1"/>
    <col min="3850" max="4096" width="11.42578125" style="267"/>
    <col min="4097" max="4105" width="11.42578125" style="267" customWidth="1"/>
    <col min="4106" max="4352" width="11.42578125" style="267"/>
    <col min="4353" max="4361" width="11.42578125" style="267" customWidth="1"/>
    <col min="4362" max="4608" width="11.42578125" style="267"/>
    <col min="4609" max="4617" width="11.42578125" style="267" customWidth="1"/>
    <col min="4618" max="4864" width="11.42578125" style="267"/>
    <col min="4865" max="4873" width="11.42578125" style="267" customWidth="1"/>
    <col min="4874" max="5120" width="11.42578125" style="267"/>
    <col min="5121" max="5129" width="11.42578125" style="267" customWidth="1"/>
    <col min="5130" max="5376" width="11.42578125" style="267"/>
    <col min="5377" max="5385" width="11.42578125" style="267" customWidth="1"/>
    <col min="5386" max="5632" width="11.42578125" style="267"/>
    <col min="5633" max="5641" width="11.42578125" style="267" customWidth="1"/>
    <col min="5642" max="5888" width="11.42578125" style="267"/>
    <col min="5889" max="5897" width="11.42578125" style="267" customWidth="1"/>
    <col min="5898" max="6144" width="11.42578125" style="267"/>
    <col min="6145" max="6153" width="11.42578125" style="267" customWidth="1"/>
    <col min="6154" max="6400" width="11.42578125" style="267"/>
    <col min="6401" max="6409" width="11.42578125" style="267" customWidth="1"/>
    <col min="6410" max="6656" width="11.42578125" style="267"/>
    <col min="6657" max="6665" width="11.42578125" style="267" customWidth="1"/>
    <col min="6666" max="6912" width="11.42578125" style="267"/>
    <col min="6913" max="6921" width="11.42578125" style="267" customWidth="1"/>
    <col min="6922" max="7168" width="11.42578125" style="267"/>
    <col min="7169" max="7177" width="11.42578125" style="267" customWidth="1"/>
    <col min="7178" max="7424" width="11.42578125" style="267"/>
    <col min="7425" max="7433" width="11.42578125" style="267" customWidth="1"/>
    <col min="7434" max="7680" width="11.42578125" style="267"/>
    <col min="7681" max="7689" width="11.42578125" style="267" customWidth="1"/>
    <col min="7690" max="7936" width="11.42578125" style="267"/>
    <col min="7937" max="7945" width="11.42578125" style="267" customWidth="1"/>
    <col min="7946" max="8192" width="11.42578125" style="267"/>
    <col min="8193" max="8201" width="11.42578125" style="267" customWidth="1"/>
    <col min="8202" max="8448" width="11.42578125" style="267"/>
    <col min="8449" max="8457" width="11.42578125" style="267" customWidth="1"/>
    <col min="8458" max="8704" width="11.42578125" style="267"/>
    <col min="8705" max="8713" width="11.42578125" style="267" customWidth="1"/>
    <col min="8714" max="8960" width="11.42578125" style="267"/>
    <col min="8961" max="8969" width="11.42578125" style="267" customWidth="1"/>
    <col min="8970" max="9216" width="11.42578125" style="267"/>
    <col min="9217" max="9225" width="11.42578125" style="267" customWidth="1"/>
    <col min="9226" max="9472" width="11.42578125" style="267"/>
    <col min="9473" max="9481" width="11.42578125" style="267" customWidth="1"/>
    <col min="9482" max="9728" width="11.42578125" style="267"/>
    <col min="9729" max="9737" width="11.42578125" style="267" customWidth="1"/>
    <col min="9738" max="9984" width="11.42578125" style="267"/>
    <col min="9985" max="9993" width="11.42578125" style="267" customWidth="1"/>
    <col min="9994" max="10240" width="11.42578125" style="267"/>
    <col min="10241" max="10249" width="11.42578125" style="267" customWidth="1"/>
    <col min="10250" max="10496" width="11.42578125" style="267"/>
    <col min="10497" max="10505" width="11.42578125" style="267" customWidth="1"/>
    <col min="10506" max="10752" width="11.42578125" style="267"/>
    <col min="10753" max="10761" width="11.42578125" style="267" customWidth="1"/>
    <col min="10762" max="11008" width="11.42578125" style="267"/>
    <col min="11009" max="11017" width="11.42578125" style="267" customWidth="1"/>
    <col min="11018" max="11264" width="11.42578125" style="267"/>
    <col min="11265" max="11273" width="11.42578125" style="267" customWidth="1"/>
    <col min="11274" max="11520" width="11.42578125" style="267"/>
    <col min="11521" max="11529" width="11.42578125" style="267" customWidth="1"/>
    <col min="11530" max="11776" width="11.42578125" style="267"/>
    <col min="11777" max="11785" width="11.42578125" style="267" customWidth="1"/>
    <col min="11786" max="12032" width="11.42578125" style="267"/>
    <col min="12033" max="12041" width="11.42578125" style="267" customWidth="1"/>
    <col min="12042" max="12288" width="11.42578125" style="267"/>
    <col min="12289" max="12297" width="11.42578125" style="267" customWidth="1"/>
    <col min="12298" max="12544" width="11.42578125" style="267"/>
    <col min="12545" max="12553" width="11.42578125" style="267" customWidth="1"/>
    <col min="12554" max="12800" width="11.42578125" style="267"/>
    <col min="12801" max="12809" width="11.42578125" style="267" customWidth="1"/>
    <col min="12810" max="13056" width="11.42578125" style="267"/>
    <col min="13057" max="13065" width="11.42578125" style="267" customWidth="1"/>
    <col min="13066" max="13312" width="11.42578125" style="267"/>
    <col min="13313" max="13321" width="11.42578125" style="267" customWidth="1"/>
    <col min="13322" max="13568" width="11.42578125" style="267"/>
    <col min="13569" max="13577" width="11.42578125" style="267" customWidth="1"/>
    <col min="13578" max="13824" width="11.42578125" style="267"/>
    <col min="13825" max="13833" width="11.42578125" style="267" customWidth="1"/>
    <col min="13834" max="14080" width="11.42578125" style="267"/>
    <col min="14081" max="14089" width="11.42578125" style="267" customWidth="1"/>
    <col min="14090" max="14336" width="11.42578125" style="267"/>
    <col min="14337" max="14345" width="11.42578125" style="267" customWidth="1"/>
    <col min="14346" max="14592" width="11.42578125" style="267"/>
    <col min="14593" max="14601" width="11.42578125" style="267" customWidth="1"/>
    <col min="14602" max="14848" width="11.42578125" style="267"/>
    <col min="14849" max="14857" width="11.42578125" style="267" customWidth="1"/>
    <col min="14858" max="15104" width="11.42578125" style="267"/>
    <col min="15105" max="15113" width="11.42578125" style="267" customWidth="1"/>
    <col min="15114" max="15360" width="11.42578125" style="267"/>
    <col min="15361" max="15369" width="11.42578125" style="267" customWidth="1"/>
    <col min="15370" max="15616" width="11.42578125" style="267"/>
    <col min="15617" max="15625" width="11.42578125" style="267" customWidth="1"/>
    <col min="15626" max="15872" width="11.42578125" style="267"/>
    <col min="15873" max="15881" width="11.42578125" style="267" customWidth="1"/>
    <col min="15882" max="16128" width="11.42578125" style="267"/>
    <col min="16129" max="16137" width="11.42578125" style="267" customWidth="1"/>
    <col min="16138" max="16384" width="11.42578125" style="267"/>
  </cols>
  <sheetData>
    <row r="1" spans="1:10" ht="15.75" x14ac:dyDescent="0.25">
      <c r="A1" s="116" t="str">
        <f>'RECAP #9492.00'!B1</f>
        <v>ATOD Racking Modification</v>
      </c>
      <c r="B1" s="116"/>
      <c r="C1" s="116"/>
      <c r="D1" s="193"/>
      <c r="E1" s="193"/>
      <c r="F1" s="193"/>
      <c r="G1" s="194"/>
      <c r="H1" s="194"/>
      <c r="I1" s="195"/>
      <c r="J1" s="195"/>
    </row>
    <row r="2" spans="1:10" ht="15.75" x14ac:dyDescent="0.25">
      <c r="A2" s="134" t="str">
        <f>'RECAP #9492.00'!B2</f>
        <v>Project # 9492.00</v>
      </c>
      <c r="B2" s="196"/>
      <c r="C2" s="196"/>
      <c r="D2" s="193"/>
      <c r="E2" s="193"/>
      <c r="F2" s="193"/>
      <c r="G2" s="194"/>
      <c r="H2" s="194"/>
      <c r="I2" s="195"/>
      <c r="J2" s="195"/>
    </row>
    <row r="3" spans="1:10" ht="15.75" x14ac:dyDescent="0.25">
      <c r="A3" s="197" t="str">
        <f>'RECAP #9492.00'!B3</f>
        <v>Program code 949200</v>
      </c>
      <c r="B3" s="196"/>
      <c r="C3" s="196"/>
      <c r="D3" s="193"/>
      <c r="E3" s="198" t="str">
        <f>'RECAP #9492.00'!E3</f>
        <v>Major Program 4H06</v>
      </c>
      <c r="F3" s="193"/>
      <c r="G3" s="194"/>
      <c r="H3" s="194"/>
      <c r="I3" s="195"/>
      <c r="J3" s="195"/>
    </row>
    <row r="4" spans="1:10" ht="15.75" x14ac:dyDescent="0.25">
      <c r="A4" s="116" t="s">
        <v>41</v>
      </c>
      <c r="B4" s="134"/>
      <c r="C4" s="134"/>
      <c r="D4" s="195"/>
      <c r="E4" s="199" t="s">
        <v>55</v>
      </c>
      <c r="F4" s="194"/>
      <c r="G4" s="194"/>
      <c r="H4" s="194"/>
      <c r="I4" s="195"/>
      <c r="J4" s="195"/>
    </row>
    <row r="5" spans="1:10" ht="15.75" x14ac:dyDescent="0.25">
      <c r="A5" s="200" t="s">
        <v>66</v>
      </c>
      <c r="B5" s="195"/>
      <c r="C5" s="195"/>
      <c r="D5" s="201"/>
      <c r="E5" s="140"/>
      <c r="F5" s="145"/>
      <c r="G5" s="194"/>
      <c r="H5" s="194"/>
      <c r="I5" s="195"/>
      <c r="J5" s="195"/>
    </row>
    <row r="6" spans="1:10" ht="15.75" x14ac:dyDescent="0.25">
      <c r="A6" s="134" t="str">
        <f>'RECAP #9492.00'!B6</f>
        <v>Project Manager - Jennie E.</v>
      </c>
      <c r="B6" s="134"/>
      <c r="C6" s="134"/>
      <c r="D6" s="202"/>
      <c r="E6" s="140" t="s">
        <v>178</v>
      </c>
      <c r="F6" s="145"/>
      <c r="G6" s="146"/>
      <c r="H6" s="194"/>
      <c r="I6" s="195"/>
      <c r="J6" s="195"/>
    </row>
    <row r="7" spans="1:10" ht="15.75" x14ac:dyDescent="0.25">
      <c r="A7" s="195"/>
      <c r="B7" s="203"/>
      <c r="C7" s="203"/>
      <c r="D7" s="203"/>
      <c r="E7" s="146" t="s">
        <v>3</v>
      </c>
      <c r="F7" s="146"/>
      <c r="G7" s="146"/>
      <c r="H7" s="194"/>
      <c r="I7" s="195"/>
      <c r="J7" s="195" t="s">
        <v>3</v>
      </c>
    </row>
    <row r="8" spans="1:10" ht="32.25" thickBot="1" x14ac:dyDescent="0.3">
      <c r="A8" s="204" t="s">
        <v>49</v>
      </c>
      <c r="B8" s="205" t="s">
        <v>4</v>
      </c>
      <c r="C8" s="206" t="s">
        <v>56</v>
      </c>
      <c r="D8" s="207" t="s">
        <v>57</v>
      </c>
      <c r="E8" s="192" t="s">
        <v>50</v>
      </c>
      <c r="F8" s="192" t="s">
        <v>51</v>
      </c>
      <c r="G8" s="192" t="s">
        <v>52</v>
      </c>
      <c r="H8" s="192" t="s">
        <v>53</v>
      </c>
      <c r="I8" s="192" t="s">
        <v>12</v>
      </c>
      <c r="J8" s="195" t="s">
        <v>3</v>
      </c>
    </row>
    <row r="9" spans="1:10" s="389" customFormat="1" ht="12.75" customHeight="1" x14ac:dyDescent="0.25">
      <c r="A9" s="432"/>
      <c r="B9" s="383"/>
      <c r="C9" s="383"/>
      <c r="D9" s="372" t="s">
        <v>95</v>
      </c>
      <c r="E9" s="419">
        <f>5000+3000-1160.63</f>
        <v>6839.37</v>
      </c>
      <c r="F9" s="386">
        <f>E9</f>
        <v>6839.37</v>
      </c>
      <c r="G9" s="387"/>
      <c r="H9" s="387"/>
      <c r="I9" s="387">
        <f>F9</f>
        <v>6839.37</v>
      </c>
      <c r="J9" s="388"/>
    </row>
    <row r="10" spans="1:10" s="389" customFormat="1" ht="12.75" customHeight="1" x14ac:dyDescent="0.25">
      <c r="A10" s="435" t="s">
        <v>213</v>
      </c>
      <c r="B10" s="383">
        <v>45908</v>
      </c>
      <c r="C10" s="474">
        <v>2507</v>
      </c>
      <c r="D10" s="441" t="s">
        <v>216</v>
      </c>
      <c r="E10" s="386"/>
      <c r="F10" s="386">
        <f>E10+F9</f>
        <v>6839.37</v>
      </c>
      <c r="G10" s="392">
        <v>36.119999999999997</v>
      </c>
      <c r="H10" s="387">
        <f t="shared" ref="H10:H28" si="0">H9+G10</f>
        <v>36.119999999999997</v>
      </c>
      <c r="I10" s="387">
        <f>I9-G10+E10</f>
        <v>6803.25</v>
      </c>
      <c r="J10" s="388"/>
    </row>
    <row r="11" spans="1:10" s="389" customFormat="1" ht="12.75" customHeight="1" x14ac:dyDescent="0.25">
      <c r="A11" s="435" t="s">
        <v>213</v>
      </c>
      <c r="B11" s="383">
        <v>45908</v>
      </c>
      <c r="C11" s="474">
        <v>9500</v>
      </c>
      <c r="D11" s="441" t="s">
        <v>217</v>
      </c>
      <c r="E11" s="386"/>
      <c r="F11" s="386">
        <f t="shared" ref="F11:F28" si="1">E11+F10</f>
        <v>6839.37</v>
      </c>
      <c r="G11" s="392">
        <v>276.60000000000002</v>
      </c>
      <c r="H11" s="387">
        <f t="shared" si="0"/>
        <v>312.72000000000003</v>
      </c>
      <c r="I11" s="387">
        <f t="shared" ref="I11:I28" si="2">I10-G11+E11</f>
        <v>6526.65</v>
      </c>
      <c r="J11" s="388"/>
    </row>
    <row r="12" spans="1:10" s="389" customFormat="1" ht="12.75" customHeight="1" x14ac:dyDescent="0.25">
      <c r="A12" s="435" t="s">
        <v>273</v>
      </c>
      <c r="B12" s="383">
        <v>45937</v>
      </c>
      <c r="C12" s="474" t="s">
        <v>274</v>
      </c>
      <c r="D12" s="441" t="s">
        <v>275</v>
      </c>
      <c r="E12" s="386"/>
      <c r="F12" s="386">
        <f t="shared" si="1"/>
        <v>6839.37</v>
      </c>
      <c r="G12" s="392">
        <v>117.29</v>
      </c>
      <c r="H12" s="387">
        <f t="shared" si="0"/>
        <v>430.01000000000005</v>
      </c>
      <c r="I12" s="387">
        <f t="shared" si="2"/>
        <v>6409.36</v>
      </c>
      <c r="J12" s="388"/>
    </row>
    <row r="13" spans="1:10" s="389" customFormat="1" ht="12.75" customHeight="1" x14ac:dyDescent="0.25">
      <c r="A13" s="435" t="s">
        <v>273</v>
      </c>
      <c r="B13" s="383">
        <v>45937</v>
      </c>
      <c r="C13" s="474">
        <v>9500</v>
      </c>
      <c r="D13" s="441" t="s">
        <v>276</v>
      </c>
      <c r="E13" s="386"/>
      <c r="F13" s="386">
        <f t="shared" si="1"/>
        <v>6839.37</v>
      </c>
      <c r="G13" s="392">
        <v>604.5</v>
      </c>
      <c r="H13" s="387">
        <f t="shared" si="0"/>
        <v>1034.51</v>
      </c>
      <c r="I13" s="387">
        <f t="shared" si="2"/>
        <v>5804.86</v>
      </c>
      <c r="J13" s="388"/>
    </row>
    <row r="14" spans="1:10" s="389" customFormat="1" ht="12.75" customHeight="1" x14ac:dyDescent="0.25">
      <c r="A14" s="435" t="s">
        <v>320</v>
      </c>
      <c r="B14" s="383">
        <v>45968</v>
      </c>
      <c r="C14" s="474" t="s">
        <v>274</v>
      </c>
      <c r="D14" s="441" t="s">
        <v>323</v>
      </c>
      <c r="E14" s="386"/>
      <c r="F14" s="386">
        <f t="shared" si="1"/>
        <v>6839.37</v>
      </c>
      <c r="G14" s="392">
        <v>115.91</v>
      </c>
      <c r="H14" s="387">
        <f t="shared" si="0"/>
        <v>1150.42</v>
      </c>
      <c r="I14" s="387">
        <f t="shared" si="2"/>
        <v>5688.95</v>
      </c>
      <c r="J14" s="388"/>
    </row>
    <row r="15" spans="1:10" s="389" customFormat="1" ht="12.75" customHeight="1" x14ac:dyDescent="0.25">
      <c r="A15" s="435" t="s">
        <v>320</v>
      </c>
      <c r="B15" s="383">
        <v>45968</v>
      </c>
      <c r="C15" s="474">
        <v>9500</v>
      </c>
      <c r="D15" s="441" t="s">
        <v>324</v>
      </c>
      <c r="E15" s="386"/>
      <c r="F15" s="386">
        <f t="shared" si="1"/>
        <v>6839.37</v>
      </c>
      <c r="G15" s="392">
        <v>1149.0999999999999</v>
      </c>
      <c r="H15" s="387">
        <f t="shared" si="0"/>
        <v>2299.52</v>
      </c>
      <c r="I15" s="387">
        <f t="shared" si="2"/>
        <v>4539.8500000000004</v>
      </c>
      <c r="J15" s="388"/>
    </row>
    <row r="16" spans="1:10" s="389" customFormat="1" ht="12.75" customHeight="1" x14ac:dyDescent="0.25">
      <c r="A16" s="435" t="s">
        <v>383</v>
      </c>
      <c r="B16" s="383">
        <v>45996</v>
      </c>
      <c r="C16" s="386" t="s">
        <v>274</v>
      </c>
      <c r="D16" s="441" t="s">
        <v>384</v>
      </c>
      <c r="E16" s="386"/>
      <c r="F16" s="386">
        <f t="shared" si="1"/>
        <v>6839.37</v>
      </c>
      <c r="G16" s="392">
        <v>199.27</v>
      </c>
      <c r="H16" s="387">
        <f t="shared" si="0"/>
        <v>2498.79</v>
      </c>
      <c r="I16" s="387">
        <f t="shared" si="2"/>
        <v>4340.58</v>
      </c>
      <c r="J16" s="388"/>
    </row>
    <row r="17" spans="1:10" s="389" customFormat="1" ht="12.75" customHeight="1" x14ac:dyDescent="0.25">
      <c r="A17" s="435" t="s">
        <v>383</v>
      </c>
      <c r="B17" s="383">
        <v>45996</v>
      </c>
      <c r="C17" s="476">
        <v>9500</v>
      </c>
      <c r="D17" s="441" t="s">
        <v>385</v>
      </c>
      <c r="E17" s="386"/>
      <c r="F17" s="386">
        <f t="shared" si="1"/>
        <v>6839.37</v>
      </c>
      <c r="G17" s="392">
        <v>1269.7</v>
      </c>
      <c r="H17" s="387">
        <f t="shared" si="0"/>
        <v>3768.49</v>
      </c>
      <c r="I17" s="387">
        <f t="shared" si="2"/>
        <v>3070.88</v>
      </c>
      <c r="J17" s="388"/>
    </row>
    <row r="18" spans="1:10" s="389" customFormat="1" ht="12.75" customHeight="1" x14ac:dyDescent="0.2">
      <c r="A18" s="213" t="s">
        <v>418</v>
      </c>
      <c r="B18" s="209">
        <v>46030</v>
      </c>
      <c r="C18" s="211" t="s">
        <v>274</v>
      </c>
      <c r="D18" s="215" t="s">
        <v>419</v>
      </c>
      <c r="E18" s="386"/>
      <c r="F18" s="386">
        <f t="shared" si="1"/>
        <v>6839.37</v>
      </c>
      <c r="G18" s="392">
        <v>107.3</v>
      </c>
      <c r="H18" s="387">
        <f t="shared" si="0"/>
        <v>3875.79</v>
      </c>
      <c r="I18" s="387">
        <f t="shared" si="2"/>
        <v>2963.58</v>
      </c>
      <c r="J18" s="388"/>
    </row>
    <row r="19" spans="1:10" s="389" customFormat="1" ht="12.75" customHeight="1" x14ac:dyDescent="0.2">
      <c r="A19" s="213" t="s">
        <v>418</v>
      </c>
      <c r="B19" s="209">
        <v>46030</v>
      </c>
      <c r="C19" s="440">
        <v>9500</v>
      </c>
      <c r="D19" s="215" t="s">
        <v>420</v>
      </c>
      <c r="E19" s="386"/>
      <c r="F19" s="386">
        <f t="shared" si="1"/>
        <v>6839.37</v>
      </c>
      <c r="G19" s="392">
        <v>1217.5999999999999</v>
      </c>
      <c r="H19" s="387">
        <f t="shared" si="0"/>
        <v>5093.3899999999994</v>
      </c>
      <c r="I19" s="387">
        <f t="shared" si="2"/>
        <v>1745.98</v>
      </c>
      <c r="J19" s="388"/>
    </row>
    <row r="20" spans="1:10" s="389" customFormat="1" ht="12.75" customHeight="1" x14ac:dyDescent="0.2">
      <c r="A20" s="213" t="s">
        <v>492</v>
      </c>
      <c r="B20" s="209">
        <v>46062</v>
      </c>
      <c r="C20" s="211" t="s">
        <v>274</v>
      </c>
      <c r="D20" s="215" t="s">
        <v>493</v>
      </c>
      <c r="E20" s="386"/>
      <c r="F20" s="386">
        <f t="shared" si="1"/>
        <v>6839.37</v>
      </c>
      <c r="G20" s="392">
        <v>74.430000000000007</v>
      </c>
      <c r="H20" s="387">
        <f t="shared" si="0"/>
        <v>5167.82</v>
      </c>
      <c r="I20" s="387">
        <f t="shared" si="2"/>
        <v>1671.55</v>
      </c>
      <c r="J20" s="388"/>
    </row>
    <row r="21" spans="1:10" s="389" customFormat="1" ht="12.75" customHeight="1" x14ac:dyDescent="0.2">
      <c r="A21" s="213" t="s">
        <v>492</v>
      </c>
      <c r="B21" s="209">
        <v>46062</v>
      </c>
      <c r="C21" s="440">
        <v>9500</v>
      </c>
      <c r="D21" s="215" t="s">
        <v>494</v>
      </c>
      <c r="E21" s="386"/>
      <c r="F21" s="386">
        <f t="shared" si="1"/>
        <v>6839.37</v>
      </c>
      <c r="G21" s="392">
        <v>924.6</v>
      </c>
      <c r="H21" s="387">
        <f t="shared" si="0"/>
        <v>6092.42</v>
      </c>
      <c r="I21" s="387">
        <f t="shared" si="2"/>
        <v>746.94999999999993</v>
      </c>
      <c r="J21" s="388"/>
    </row>
    <row r="22" spans="1:10" s="389" customFormat="1" ht="12.75" customHeight="1" x14ac:dyDescent="0.2">
      <c r="A22" s="213" t="s">
        <v>550</v>
      </c>
      <c r="B22" s="209">
        <v>46090</v>
      </c>
      <c r="C22" s="211" t="s">
        <v>274</v>
      </c>
      <c r="D22" s="215" t="s">
        <v>551</v>
      </c>
      <c r="E22" s="386"/>
      <c r="F22" s="386">
        <f t="shared" si="1"/>
        <v>6839.37</v>
      </c>
      <c r="G22" s="392">
        <v>23.17</v>
      </c>
      <c r="H22" s="387">
        <f t="shared" si="0"/>
        <v>6115.59</v>
      </c>
      <c r="I22" s="387">
        <f t="shared" si="2"/>
        <v>723.78</v>
      </c>
      <c r="J22" s="388"/>
    </row>
    <row r="23" spans="1:10" s="389" customFormat="1" ht="12.75" customHeight="1" x14ac:dyDescent="0.2">
      <c r="A23" s="213" t="s">
        <v>550</v>
      </c>
      <c r="B23" s="209">
        <v>46090</v>
      </c>
      <c r="C23" s="440">
        <v>9500</v>
      </c>
      <c r="D23" s="215" t="s">
        <v>552</v>
      </c>
      <c r="E23" s="386"/>
      <c r="F23" s="386">
        <f t="shared" si="1"/>
        <v>6839.37</v>
      </c>
      <c r="G23" s="392">
        <v>266.8</v>
      </c>
      <c r="H23" s="387">
        <f t="shared" si="0"/>
        <v>6382.39</v>
      </c>
      <c r="I23" s="387">
        <f t="shared" si="2"/>
        <v>456.97999999999996</v>
      </c>
      <c r="J23" s="388"/>
    </row>
    <row r="24" spans="1:10" s="389" customFormat="1" ht="12.75" customHeight="1" x14ac:dyDescent="0.2">
      <c r="A24" s="213" t="s">
        <v>752</v>
      </c>
      <c r="B24" s="209">
        <v>46149</v>
      </c>
      <c r="C24" s="211" t="s">
        <v>274</v>
      </c>
      <c r="D24" s="215" t="s">
        <v>753</v>
      </c>
      <c r="E24" s="386"/>
      <c r="F24" s="386">
        <f t="shared" si="1"/>
        <v>6839.37</v>
      </c>
      <c r="G24" s="392">
        <v>39.479999999999997</v>
      </c>
      <c r="H24" s="387">
        <f t="shared" si="0"/>
        <v>6421.87</v>
      </c>
      <c r="I24" s="387">
        <f t="shared" si="2"/>
        <v>417.49999999999994</v>
      </c>
      <c r="J24" s="388"/>
    </row>
    <row r="25" spans="1:10" s="389" customFormat="1" ht="12.75" customHeight="1" x14ac:dyDescent="0.2">
      <c r="A25" s="213" t="s">
        <v>752</v>
      </c>
      <c r="B25" s="209">
        <v>46149</v>
      </c>
      <c r="C25" s="440">
        <v>9500</v>
      </c>
      <c r="D25" s="215" t="s">
        <v>754</v>
      </c>
      <c r="E25" s="386"/>
      <c r="F25" s="386">
        <f t="shared" si="1"/>
        <v>6839.37</v>
      </c>
      <c r="G25" s="392">
        <v>417.5</v>
      </c>
      <c r="H25" s="387">
        <f t="shared" si="0"/>
        <v>6839.37</v>
      </c>
      <c r="I25" s="387">
        <f t="shared" si="2"/>
        <v>-5.6843418860808015E-14</v>
      </c>
      <c r="J25" s="388"/>
    </row>
    <row r="26" spans="1:10" s="389" customFormat="1" ht="12.75" customHeight="1" x14ac:dyDescent="0.2">
      <c r="A26" s="213"/>
      <c r="B26" s="209"/>
      <c r="C26" s="440"/>
      <c r="D26" s="215"/>
      <c r="E26" s="386"/>
      <c r="F26" s="386">
        <f t="shared" si="1"/>
        <v>6839.37</v>
      </c>
      <c r="G26" s="392"/>
      <c r="H26" s="387">
        <f t="shared" si="0"/>
        <v>6839.37</v>
      </c>
      <c r="I26" s="387">
        <f t="shared" si="2"/>
        <v>-5.6843418860808015E-14</v>
      </c>
      <c r="J26" s="388"/>
    </row>
    <row r="27" spans="1:10" s="389" customFormat="1" ht="12.75" customHeight="1" x14ac:dyDescent="0.2">
      <c r="A27" s="213"/>
      <c r="B27" s="209"/>
      <c r="C27" s="440"/>
      <c r="D27" s="215"/>
      <c r="E27" s="386"/>
      <c r="F27" s="386">
        <f t="shared" si="1"/>
        <v>6839.37</v>
      </c>
      <c r="G27" s="392"/>
      <c r="H27" s="387">
        <f t="shared" si="0"/>
        <v>6839.37</v>
      </c>
      <c r="I27" s="387">
        <f t="shared" si="2"/>
        <v>-5.6843418860808015E-14</v>
      </c>
      <c r="J27" s="388"/>
    </row>
    <row r="28" spans="1:10" s="389" customFormat="1" ht="12.75" customHeight="1" x14ac:dyDescent="0.25">
      <c r="A28" s="441"/>
      <c r="B28" s="383"/>
      <c r="C28" s="474"/>
      <c r="D28" s="388"/>
      <c r="E28" s="386"/>
      <c r="F28" s="386">
        <f t="shared" si="1"/>
        <v>6839.37</v>
      </c>
      <c r="G28" s="387"/>
      <c r="H28" s="387">
        <f t="shared" si="0"/>
        <v>6839.37</v>
      </c>
      <c r="I28" s="387">
        <f t="shared" si="2"/>
        <v>-5.6843418860808015E-14</v>
      </c>
      <c r="J28" s="388"/>
    </row>
    <row r="29" spans="1:10" s="389" customFormat="1" ht="12.75" customHeight="1" x14ac:dyDescent="0.25">
      <c r="A29" s="441"/>
      <c r="B29" s="391"/>
      <c r="C29" s="474"/>
      <c r="D29" s="372"/>
      <c r="E29" s="387"/>
      <c r="F29" s="387"/>
      <c r="G29" s="387"/>
      <c r="H29" s="387"/>
      <c r="I29" s="387"/>
      <c r="J29" s="388"/>
    </row>
    <row r="30" spans="1:10" s="389" customFormat="1" ht="12.75" customHeight="1" thickBot="1" x14ac:dyDescent="0.3">
      <c r="A30" s="441"/>
      <c r="B30" s="394"/>
      <c r="C30" s="474"/>
      <c r="D30" s="395" t="s">
        <v>54</v>
      </c>
      <c r="E30" s="396">
        <f>SUM(E9:E29)</f>
        <v>6839.37</v>
      </c>
      <c r="F30" s="396"/>
      <c r="G30" s="396">
        <f>SUM(G9:G29)</f>
        <v>6839.37</v>
      </c>
      <c r="H30" s="396"/>
      <c r="I30" s="396">
        <f>SUM(E30-G30)</f>
        <v>0</v>
      </c>
      <c r="J30" s="388"/>
    </row>
    <row r="31" spans="1:10" s="389" customFormat="1" ht="12.75" customHeight="1" thickTop="1" x14ac:dyDescent="0.25"/>
    <row r="32" spans="1:10"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FB982-1B0C-4417-BAB1-1157F15C86D3}">
  <sheetPr codeName="Sheet83">
    <tabColor indexed="30"/>
    <pageSetUpPr fitToPage="1"/>
  </sheetPr>
  <dimension ref="A1:H23"/>
  <sheetViews>
    <sheetView zoomScaleNormal="100" workbookViewId="0">
      <selection activeCell="P26" sqref="P26"/>
    </sheetView>
  </sheetViews>
  <sheetFormatPr defaultColWidth="11.42578125" defaultRowHeight="15" customHeight="1" x14ac:dyDescent="0.25"/>
  <cols>
    <col min="1" max="1" width="23" style="267" customWidth="1"/>
    <col min="2" max="2" width="11" style="267" customWidth="1"/>
    <col min="3" max="3" width="8.5703125" style="267" customWidth="1"/>
    <col min="4" max="4" width="11.42578125" style="267" customWidth="1"/>
    <col min="5" max="5" width="19.42578125" style="267" customWidth="1"/>
    <col min="6" max="6" width="28" style="267" bestFit="1" customWidth="1"/>
    <col min="7" max="7" width="12.42578125" style="267" customWidth="1"/>
    <col min="8" max="8" width="15.42578125" style="267" customWidth="1"/>
    <col min="9" max="256" width="11.42578125" style="267"/>
    <col min="257" max="259" width="11.42578125" style="267" customWidth="1"/>
    <col min="260" max="260" width="11.42578125" style="267"/>
    <col min="261" max="264" width="11.42578125" style="267" customWidth="1"/>
    <col min="265" max="512" width="11.42578125" style="267"/>
    <col min="513" max="515" width="11.42578125" style="267" customWidth="1"/>
    <col min="516" max="516" width="11.42578125" style="267"/>
    <col min="517" max="520" width="11.42578125" style="267" customWidth="1"/>
    <col min="521" max="768" width="11.42578125" style="267"/>
    <col min="769" max="771" width="11.42578125" style="267" customWidth="1"/>
    <col min="772" max="772" width="11.42578125" style="267"/>
    <col min="773" max="776" width="11.42578125" style="267" customWidth="1"/>
    <col min="777" max="1024" width="11.42578125" style="267"/>
    <col min="1025" max="1027" width="11.42578125" style="267" customWidth="1"/>
    <col min="1028" max="1028" width="11.42578125" style="267"/>
    <col min="1029" max="1032" width="11.42578125" style="267" customWidth="1"/>
    <col min="1033" max="1280" width="11.42578125" style="267"/>
    <col min="1281" max="1283" width="11.42578125" style="267" customWidth="1"/>
    <col min="1284" max="1284" width="11.42578125" style="267"/>
    <col min="1285" max="1288" width="11.42578125" style="267" customWidth="1"/>
    <col min="1289" max="1536" width="11.42578125" style="267"/>
    <col min="1537" max="1539" width="11.42578125" style="267" customWidth="1"/>
    <col min="1540" max="1540" width="11.42578125" style="267"/>
    <col min="1541" max="1544" width="11.42578125" style="267" customWidth="1"/>
    <col min="1545" max="1792" width="11.42578125" style="267"/>
    <col min="1793" max="1795" width="11.42578125" style="267" customWidth="1"/>
    <col min="1796" max="1796" width="11.42578125" style="267"/>
    <col min="1797" max="1800" width="11.42578125" style="267" customWidth="1"/>
    <col min="1801" max="2048" width="11.42578125" style="267"/>
    <col min="2049" max="2051" width="11.42578125" style="267" customWidth="1"/>
    <col min="2052" max="2052" width="11.42578125" style="267"/>
    <col min="2053" max="2056" width="11.42578125" style="267" customWidth="1"/>
    <col min="2057" max="2304" width="11.42578125" style="267"/>
    <col min="2305" max="2307" width="11.42578125" style="267" customWidth="1"/>
    <col min="2308" max="2308" width="11.42578125" style="267"/>
    <col min="2309" max="2312" width="11.42578125" style="267" customWidth="1"/>
    <col min="2313" max="2560" width="11.42578125" style="267"/>
    <col min="2561" max="2563" width="11.42578125" style="267" customWidth="1"/>
    <col min="2564" max="2564" width="11.42578125" style="267"/>
    <col min="2565" max="2568" width="11.42578125" style="267" customWidth="1"/>
    <col min="2569" max="2816" width="11.42578125" style="267"/>
    <col min="2817" max="2819" width="11.42578125" style="267" customWidth="1"/>
    <col min="2820" max="2820" width="11.42578125" style="267"/>
    <col min="2821" max="2824" width="11.42578125" style="267" customWidth="1"/>
    <col min="2825" max="3072" width="11.42578125" style="267"/>
    <col min="3073" max="3075" width="11.42578125" style="267" customWidth="1"/>
    <col min="3076" max="3076" width="11.42578125" style="267"/>
    <col min="3077" max="3080" width="11.42578125" style="267" customWidth="1"/>
    <col min="3081" max="3328" width="11.42578125" style="267"/>
    <col min="3329" max="3331" width="11.42578125" style="267" customWidth="1"/>
    <col min="3332" max="3332" width="11.42578125" style="267"/>
    <col min="3333" max="3336" width="11.42578125" style="267" customWidth="1"/>
    <col min="3337" max="3584" width="11.42578125" style="267"/>
    <col min="3585" max="3587" width="11.42578125" style="267" customWidth="1"/>
    <col min="3588" max="3588" width="11.42578125" style="267"/>
    <col min="3589" max="3592" width="11.42578125" style="267" customWidth="1"/>
    <col min="3593" max="3840" width="11.42578125" style="267"/>
    <col min="3841" max="3843" width="11.42578125" style="267" customWidth="1"/>
    <col min="3844" max="3844" width="11.42578125" style="267"/>
    <col min="3845" max="3848" width="11.42578125" style="267" customWidth="1"/>
    <col min="3849" max="4096" width="11.42578125" style="267"/>
    <col min="4097" max="4099" width="11.42578125" style="267" customWidth="1"/>
    <col min="4100" max="4100" width="11.42578125" style="267"/>
    <col min="4101" max="4104" width="11.42578125" style="267" customWidth="1"/>
    <col min="4105" max="4352" width="11.42578125" style="267"/>
    <col min="4353" max="4355" width="11.42578125" style="267" customWidth="1"/>
    <col min="4356" max="4356" width="11.42578125" style="267"/>
    <col min="4357" max="4360" width="11.42578125" style="267" customWidth="1"/>
    <col min="4361" max="4608" width="11.42578125" style="267"/>
    <col min="4609" max="4611" width="11.42578125" style="267" customWidth="1"/>
    <col min="4612" max="4612" width="11.42578125" style="267"/>
    <col min="4613" max="4616" width="11.42578125" style="267" customWidth="1"/>
    <col min="4617" max="4864" width="11.42578125" style="267"/>
    <col min="4865" max="4867" width="11.42578125" style="267" customWidth="1"/>
    <col min="4868" max="4868" width="11.42578125" style="267"/>
    <col min="4869" max="4872" width="11.42578125" style="267" customWidth="1"/>
    <col min="4873" max="5120" width="11.42578125" style="267"/>
    <col min="5121" max="5123" width="11.42578125" style="267" customWidth="1"/>
    <col min="5124" max="5124" width="11.42578125" style="267"/>
    <col min="5125" max="5128" width="11.42578125" style="267" customWidth="1"/>
    <col min="5129" max="5376" width="11.42578125" style="267"/>
    <col min="5377" max="5379" width="11.42578125" style="267" customWidth="1"/>
    <col min="5380" max="5380" width="11.42578125" style="267"/>
    <col min="5381" max="5384" width="11.42578125" style="267" customWidth="1"/>
    <col min="5385" max="5632" width="11.42578125" style="267"/>
    <col min="5633" max="5635" width="11.42578125" style="267" customWidth="1"/>
    <col min="5636" max="5636" width="11.42578125" style="267"/>
    <col min="5637" max="5640" width="11.42578125" style="267" customWidth="1"/>
    <col min="5641" max="5888" width="11.42578125" style="267"/>
    <col min="5889" max="5891" width="11.42578125" style="267" customWidth="1"/>
    <col min="5892" max="5892" width="11.42578125" style="267"/>
    <col min="5893" max="5896" width="11.42578125" style="267" customWidth="1"/>
    <col min="5897" max="6144" width="11.42578125" style="267"/>
    <col min="6145" max="6147" width="11.42578125" style="267" customWidth="1"/>
    <col min="6148" max="6148" width="11.42578125" style="267"/>
    <col min="6149" max="6152" width="11.42578125" style="267" customWidth="1"/>
    <col min="6153" max="6400" width="11.42578125" style="267"/>
    <col min="6401" max="6403" width="11.42578125" style="267" customWidth="1"/>
    <col min="6404" max="6404" width="11.42578125" style="267"/>
    <col min="6405" max="6408" width="11.42578125" style="267" customWidth="1"/>
    <col min="6409" max="6656" width="11.42578125" style="267"/>
    <col min="6657" max="6659" width="11.42578125" style="267" customWidth="1"/>
    <col min="6660" max="6660" width="11.42578125" style="267"/>
    <col min="6661" max="6664" width="11.42578125" style="267" customWidth="1"/>
    <col min="6665" max="6912" width="11.42578125" style="267"/>
    <col min="6913" max="6915" width="11.42578125" style="267" customWidth="1"/>
    <col min="6916" max="6916" width="11.42578125" style="267"/>
    <col min="6917" max="6920" width="11.42578125" style="267" customWidth="1"/>
    <col min="6921" max="7168" width="11.42578125" style="267"/>
    <col min="7169" max="7171" width="11.42578125" style="267" customWidth="1"/>
    <col min="7172" max="7172" width="11.42578125" style="267"/>
    <col min="7173" max="7176" width="11.42578125" style="267" customWidth="1"/>
    <col min="7177" max="7424" width="11.42578125" style="267"/>
    <col min="7425" max="7427" width="11.42578125" style="267" customWidth="1"/>
    <col min="7428" max="7428" width="11.42578125" style="267"/>
    <col min="7429" max="7432" width="11.42578125" style="267" customWidth="1"/>
    <col min="7433" max="7680" width="11.42578125" style="267"/>
    <col min="7681" max="7683" width="11.42578125" style="267" customWidth="1"/>
    <col min="7684" max="7684" width="11.42578125" style="267"/>
    <col min="7685" max="7688" width="11.42578125" style="267" customWidth="1"/>
    <col min="7689" max="7936" width="11.42578125" style="267"/>
    <col min="7937" max="7939" width="11.42578125" style="267" customWidth="1"/>
    <col min="7940" max="7940" width="11.42578125" style="267"/>
    <col min="7941" max="7944" width="11.42578125" style="267" customWidth="1"/>
    <col min="7945" max="8192" width="11.42578125" style="267"/>
    <col min="8193" max="8195" width="11.42578125" style="267" customWidth="1"/>
    <col min="8196" max="8196" width="11.42578125" style="267"/>
    <col min="8197" max="8200" width="11.42578125" style="267" customWidth="1"/>
    <col min="8201" max="8448" width="11.42578125" style="267"/>
    <col min="8449" max="8451" width="11.42578125" style="267" customWidth="1"/>
    <col min="8452" max="8452" width="11.42578125" style="267"/>
    <col min="8453" max="8456" width="11.42578125" style="267" customWidth="1"/>
    <col min="8457" max="8704" width="11.42578125" style="267"/>
    <col min="8705" max="8707" width="11.42578125" style="267" customWidth="1"/>
    <col min="8708" max="8708" width="11.42578125" style="267"/>
    <col min="8709" max="8712" width="11.42578125" style="267" customWidth="1"/>
    <col min="8713" max="8960" width="11.42578125" style="267"/>
    <col min="8961" max="8963" width="11.42578125" style="267" customWidth="1"/>
    <col min="8964" max="8964" width="11.42578125" style="267"/>
    <col min="8965" max="8968" width="11.42578125" style="267" customWidth="1"/>
    <col min="8969" max="9216" width="11.42578125" style="267"/>
    <col min="9217" max="9219" width="11.42578125" style="267" customWidth="1"/>
    <col min="9220" max="9220" width="11.42578125" style="267"/>
    <col min="9221" max="9224" width="11.42578125" style="267" customWidth="1"/>
    <col min="9225" max="9472" width="11.42578125" style="267"/>
    <col min="9473" max="9475" width="11.42578125" style="267" customWidth="1"/>
    <col min="9476" max="9476" width="11.42578125" style="267"/>
    <col min="9477" max="9480" width="11.42578125" style="267" customWidth="1"/>
    <col min="9481" max="9728" width="11.42578125" style="267"/>
    <col min="9729" max="9731" width="11.42578125" style="267" customWidth="1"/>
    <col min="9732" max="9732" width="11.42578125" style="267"/>
    <col min="9733" max="9736" width="11.42578125" style="267" customWidth="1"/>
    <col min="9737" max="9984" width="11.42578125" style="267"/>
    <col min="9985" max="9987" width="11.42578125" style="267" customWidth="1"/>
    <col min="9988" max="9988" width="11.42578125" style="267"/>
    <col min="9989" max="9992" width="11.42578125" style="267" customWidth="1"/>
    <col min="9993" max="10240" width="11.42578125" style="267"/>
    <col min="10241" max="10243" width="11.42578125" style="267" customWidth="1"/>
    <col min="10244" max="10244" width="11.42578125" style="267"/>
    <col min="10245" max="10248" width="11.42578125" style="267" customWidth="1"/>
    <col min="10249" max="10496" width="11.42578125" style="267"/>
    <col min="10497" max="10499" width="11.42578125" style="267" customWidth="1"/>
    <col min="10500" max="10500" width="11.42578125" style="267"/>
    <col min="10501" max="10504" width="11.42578125" style="267" customWidth="1"/>
    <col min="10505" max="10752" width="11.42578125" style="267"/>
    <col min="10753" max="10755" width="11.42578125" style="267" customWidth="1"/>
    <col min="10756" max="10756" width="11.42578125" style="267"/>
    <col min="10757" max="10760" width="11.42578125" style="267" customWidth="1"/>
    <col min="10761" max="11008" width="11.42578125" style="267"/>
    <col min="11009" max="11011" width="11.42578125" style="267" customWidth="1"/>
    <col min="11012" max="11012" width="11.42578125" style="267"/>
    <col min="11013" max="11016" width="11.42578125" style="267" customWidth="1"/>
    <col min="11017" max="11264" width="11.42578125" style="267"/>
    <col min="11265" max="11267" width="11.42578125" style="267" customWidth="1"/>
    <col min="11268" max="11268" width="11.42578125" style="267"/>
    <col min="11269" max="11272" width="11.42578125" style="267" customWidth="1"/>
    <col min="11273" max="11520" width="11.42578125" style="267"/>
    <col min="11521" max="11523" width="11.42578125" style="267" customWidth="1"/>
    <col min="11524" max="11524" width="11.42578125" style="267"/>
    <col min="11525" max="11528" width="11.42578125" style="267" customWidth="1"/>
    <col min="11529" max="11776" width="11.42578125" style="267"/>
    <col min="11777" max="11779" width="11.42578125" style="267" customWidth="1"/>
    <col min="11780" max="11780" width="11.42578125" style="267"/>
    <col min="11781" max="11784" width="11.42578125" style="267" customWidth="1"/>
    <col min="11785" max="12032" width="11.42578125" style="267"/>
    <col min="12033" max="12035" width="11.42578125" style="267" customWidth="1"/>
    <col min="12036" max="12036" width="11.42578125" style="267"/>
    <col min="12037" max="12040" width="11.42578125" style="267" customWidth="1"/>
    <col min="12041" max="12288" width="11.42578125" style="267"/>
    <col min="12289" max="12291" width="11.42578125" style="267" customWidth="1"/>
    <col min="12292" max="12292" width="11.42578125" style="267"/>
    <col min="12293" max="12296" width="11.42578125" style="267" customWidth="1"/>
    <col min="12297" max="12544" width="11.42578125" style="267"/>
    <col min="12545" max="12547" width="11.42578125" style="267" customWidth="1"/>
    <col min="12548" max="12548" width="11.42578125" style="267"/>
    <col min="12549" max="12552" width="11.42578125" style="267" customWidth="1"/>
    <col min="12553" max="12800" width="11.42578125" style="267"/>
    <col min="12801" max="12803" width="11.42578125" style="267" customWidth="1"/>
    <col min="12804" max="12804" width="11.42578125" style="267"/>
    <col min="12805" max="12808" width="11.42578125" style="267" customWidth="1"/>
    <col min="12809" max="13056" width="11.42578125" style="267"/>
    <col min="13057" max="13059" width="11.42578125" style="267" customWidth="1"/>
    <col min="13060" max="13060" width="11.42578125" style="267"/>
    <col min="13061" max="13064" width="11.42578125" style="267" customWidth="1"/>
    <col min="13065" max="13312" width="11.42578125" style="267"/>
    <col min="13313" max="13315" width="11.42578125" style="267" customWidth="1"/>
    <col min="13316" max="13316" width="11.42578125" style="267"/>
    <col min="13317" max="13320" width="11.42578125" style="267" customWidth="1"/>
    <col min="13321" max="13568" width="11.42578125" style="267"/>
    <col min="13569" max="13571" width="11.42578125" style="267" customWidth="1"/>
    <col min="13572" max="13572" width="11.42578125" style="267"/>
    <col min="13573" max="13576" width="11.42578125" style="267" customWidth="1"/>
    <col min="13577" max="13824" width="11.42578125" style="267"/>
    <col min="13825" max="13827" width="11.42578125" style="267" customWidth="1"/>
    <col min="13828" max="13828" width="11.42578125" style="267"/>
    <col min="13829" max="13832" width="11.42578125" style="267" customWidth="1"/>
    <col min="13833" max="14080" width="11.42578125" style="267"/>
    <col min="14081" max="14083" width="11.42578125" style="267" customWidth="1"/>
    <col min="14084" max="14084" width="11.42578125" style="267"/>
    <col min="14085" max="14088" width="11.42578125" style="267" customWidth="1"/>
    <col min="14089" max="14336" width="11.42578125" style="267"/>
    <col min="14337" max="14339" width="11.42578125" style="267" customWidth="1"/>
    <col min="14340" max="14340" width="11.42578125" style="267"/>
    <col min="14341" max="14344" width="11.42578125" style="267" customWidth="1"/>
    <col min="14345" max="14592" width="11.42578125" style="267"/>
    <col min="14593" max="14595" width="11.42578125" style="267" customWidth="1"/>
    <col min="14596" max="14596" width="11.42578125" style="267"/>
    <col min="14597" max="14600" width="11.42578125" style="267" customWidth="1"/>
    <col min="14601" max="14848" width="11.42578125" style="267"/>
    <col min="14849" max="14851" width="11.42578125" style="267" customWidth="1"/>
    <col min="14852" max="14852" width="11.42578125" style="267"/>
    <col min="14853" max="14856" width="11.42578125" style="267" customWidth="1"/>
    <col min="14857" max="15104" width="11.42578125" style="267"/>
    <col min="15105" max="15107" width="11.42578125" style="267" customWidth="1"/>
    <col min="15108" max="15108" width="11.42578125" style="267"/>
    <col min="15109" max="15112" width="11.42578125" style="267" customWidth="1"/>
    <col min="15113" max="15360" width="11.42578125" style="267"/>
    <col min="15361" max="15363" width="11.42578125" style="267" customWidth="1"/>
    <col min="15364" max="15364" width="11.42578125" style="267"/>
    <col min="15365" max="15368" width="11.42578125" style="267" customWidth="1"/>
    <col min="15369" max="15616" width="11.42578125" style="267"/>
    <col min="15617" max="15619" width="11.42578125" style="267" customWidth="1"/>
    <col min="15620" max="15620" width="11.42578125" style="267"/>
    <col min="15621" max="15624" width="11.42578125" style="267" customWidth="1"/>
    <col min="15625" max="15872" width="11.42578125" style="267"/>
    <col min="15873" max="15875" width="11.42578125" style="267" customWidth="1"/>
    <col min="15876" max="15876" width="11.42578125" style="267"/>
    <col min="15877" max="15880" width="11.42578125" style="267" customWidth="1"/>
    <col min="15881" max="16128" width="11.42578125" style="267"/>
    <col min="16129" max="16131" width="11.42578125" style="267" customWidth="1"/>
    <col min="16132" max="16132" width="11.42578125" style="267"/>
    <col min="16133" max="16136" width="11.42578125" style="267" customWidth="1"/>
    <col min="16137" max="16384" width="11.42578125" style="267"/>
  </cols>
  <sheetData>
    <row r="1" spans="1:8" ht="15.75" x14ac:dyDescent="0.25">
      <c r="A1" s="116" t="str">
        <f>'#9492.00 PM TIME'!A1</f>
        <v>ATOD Racking Modification</v>
      </c>
      <c r="B1" s="116"/>
      <c r="C1" s="116"/>
      <c r="D1" s="116"/>
      <c r="E1" s="193"/>
      <c r="F1" s="193"/>
      <c r="G1" s="193"/>
      <c r="H1" s="194"/>
    </row>
    <row r="2" spans="1:8" ht="15.75" x14ac:dyDescent="0.25">
      <c r="A2" s="134" t="str">
        <f>'RECAP #9492.00'!B2</f>
        <v>Project # 9492.00</v>
      </c>
      <c r="B2" s="196"/>
      <c r="C2" s="196"/>
      <c r="D2" s="196"/>
      <c r="E2" s="193"/>
      <c r="F2" s="193"/>
      <c r="G2" s="193"/>
      <c r="H2" s="194"/>
    </row>
    <row r="3" spans="1:8" ht="15.75" x14ac:dyDescent="0.25">
      <c r="A3" s="197" t="str">
        <f>'RECAP #9492.00'!B3</f>
        <v>Program code 949200</v>
      </c>
      <c r="B3" s="196"/>
      <c r="C3" s="196"/>
      <c r="D3" s="196"/>
      <c r="E3" s="198" t="str">
        <f>'RECAP #9492.00'!E3</f>
        <v>Major Program 4H06</v>
      </c>
      <c r="F3" s="196"/>
      <c r="G3" s="193"/>
      <c r="H3" s="194"/>
    </row>
    <row r="4" spans="1:8" ht="15.75" x14ac:dyDescent="0.25">
      <c r="A4" s="225" t="s">
        <v>14</v>
      </c>
      <c r="B4" s="134"/>
      <c r="C4" s="134"/>
      <c r="D4" s="134"/>
      <c r="E4" s="199"/>
      <c r="F4" s="196"/>
      <c r="G4" s="194"/>
      <c r="H4" s="194"/>
    </row>
    <row r="5" spans="1:8" ht="15.75" x14ac:dyDescent="0.25">
      <c r="A5" s="200" t="s">
        <v>66</v>
      </c>
      <c r="B5" s="195"/>
      <c r="C5" s="195"/>
      <c r="D5" s="195"/>
      <c r="E5" s="170" t="s">
        <v>58</v>
      </c>
      <c r="F5" s="196"/>
      <c r="G5" s="145"/>
      <c r="H5" s="194"/>
    </row>
    <row r="6" spans="1:8" ht="15.75" x14ac:dyDescent="0.25">
      <c r="A6" s="134" t="str">
        <f>'RECAP #9492.00'!B6</f>
        <v>Project Manager - Jennie E.</v>
      </c>
      <c r="B6" s="134"/>
      <c r="C6" s="134"/>
      <c r="D6" s="134"/>
      <c r="E6" s="198" t="s">
        <v>241</v>
      </c>
      <c r="F6" s="195"/>
      <c r="G6" s="145"/>
      <c r="H6" s="194"/>
    </row>
    <row r="7" spans="1:8" ht="15.75" x14ac:dyDescent="0.25">
      <c r="A7" s="196"/>
      <c r="B7" s="203"/>
      <c r="C7" s="203"/>
      <c r="D7" s="203"/>
      <c r="E7" s="203"/>
      <c r="F7" s="196"/>
      <c r="G7" s="194"/>
      <c r="H7" s="194"/>
    </row>
    <row r="8" spans="1:8" ht="32.25" thickBot="1" x14ac:dyDescent="0.3">
      <c r="A8" s="204" t="s">
        <v>59</v>
      </c>
      <c r="B8" s="205" t="s">
        <v>4</v>
      </c>
      <c r="C8" s="206" t="s">
        <v>56</v>
      </c>
      <c r="D8" s="206" t="s">
        <v>57</v>
      </c>
      <c r="E8" s="226" t="s">
        <v>11</v>
      </c>
      <c r="F8" s="192" t="s">
        <v>60</v>
      </c>
      <c r="G8" s="192" t="s">
        <v>52</v>
      </c>
      <c r="H8" s="192" t="s">
        <v>53</v>
      </c>
    </row>
    <row r="9" spans="1:8" x14ac:dyDescent="0.25">
      <c r="A9" s="227"/>
      <c r="B9" s="209"/>
      <c r="C9" s="223"/>
      <c r="D9" s="223"/>
      <c r="E9" s="213"/>
      <c r="F9" s="228"/>
      <c r="G9" s="224"/>
      <c r="H9" s="224">
        <f>G9</f>
        <v>0</v>
      </c>
    </row>
    <row r="10" spans="1:8" x14ac:dyDescent="0.25">
      <c r="A10" s="208"/>
      <c r="B10" s="209"/>
      <c r="C10" s="190"/>
      <c r="D10" s="190"/>
      <c r="E10" s="145"/>
      <c r="F10" s="229"/>
      <c r="G10" s="224"/>
      <c r="H10" s="224">
        <f>H9+G10</f>
        <v>0</v>
      </c>
    </row>
    <row r="11" spans="1:8" x14ac:dyDescent="0.25">
      <c r="A11" s="208"/>
      <c r="B11" s="209"/>
      <c r="C11" s="209"/>
      <c r="D11" s="209"/>
      <c r="E11" s="145"/>
      <c r="F11" s="229"/>
      <c r="G11" s="224"/>
      <c r="H11" s="224">
        <f t="shared" ref="H11:H20" si="0">H10+G11</f>
        <v>0</v>
      </c>
    </row>
    <row r="12" spans="1:8" x14ac:dyDescent="0.25">
      <c r="A12" s="208" t="s">
        <v>3</v>
      </c>
      <c r="B12" s="209" t="s">
        <v>3</v>
      </c>
      <c r="C12" s="209"/>
      <c r="D12" s="209"/>
      <c r="E12" s="145" t="s">
        <v>3</v>
      </c>
      <c r="F12" s="229"/>
      <c r="G12" s="224"/>
      <c r="H12" s="224">
        <f t="shared" si="0"/>
        <v>0</v>
      </c>
    </row>
    <row r="13" spans="1:8" x14ac:dyDescent="0.25">
      <c r="A13" s="208" t="s">
        <v>3</v>
      </c>
      <c r="B13" s="209" t="s">
        <v>3</v>
      </c>
      <c r="C13" s="209"/>
      <c r="D13" s="209"/>
      <c r="E13" s="145" t="s">
        <v>3</v>
      </c>
      <c r="F13" s="229"/>
      <c r="G13" s="224"/>
      <c r="H13" s="224">
        <f t="shared" si="0"/>
        <v>0</v>
      </c>
    </row>
    <row r="14" spans="1:8" x14ac:dyDescent="0.25">
      <c r="A14" s="208"/>
      <c r="B14" s="209"/>
      <c r="C14" s="209"/>
      <c r="D14" s="209"/>
      <c r="E14" s="145"/>
      <c r="F14" s="229"/>
      <c r="G14" s="224"/>
      <c r="H14" s="224">
        <f t="shared" si="0"/>
        <v>0</v>
      </c>
    </row>
    <row r="15" spans="1:8" x14ac:dyDescent="0.25">
      <c r="A15" s="208"/>
      <c r="B15" s="209"/>
      <c r="C15" s="209"/>
      <c r="D15" s="209"/>
      <c r="E15" s="140"/>
      <c r="F15" s="229"/>
      <c r="G15" s="224"/>
      <c r="H15" s="224">
        <f t="shared" si="0"/>
        <v>0</v>
      </c>
    </row>
    <row r="16" spans="1:8" x14ac:dyDescent="0.25">
      <c r="A16" s="208"/>
      <c r="B16" s="209"/>
      <c r="C16" s="209"/>
      <c r="D16" s="209"/>
      <c r="E16" s="145"/>
      <c r="F16" s="229"/>
      <c r="G16" s="224"/>
      <c r="H16" s="224">
        <f t="shared" si="0"/>
        <v>0</v>
      </c>
    </row>
    <row r="17" spans="1:8" x14ac:dyDescent="0.25">
      <c r="A17" s="223"/>
      <c r="B17" s="209"/>
      <c r="C17" s="209"/>
      <c r="D17" s="209"/>
      <c r="E17" s="145"/>
      <c r="F17" s="229"/>
      <c r="G17" s="224"/>
      <c r="H17" s="224">
        <f t="shared" si="0"/>
        <v>0</v>
      </c>
    </row>
    <row r="18" spans="1:8" x14ac:dyDescent="0.25">
      <c r="A18" s="223"/>
      <c r="B18" s="209"/>
      <c r="C18" s="209"/>
      <c r="D18" s="209"/>
      <c r="E18" s="145"/>
      <c r="F18" s="229"/>
      <c r="G18" s="224"/>
      <c r="H18" s="224">
        <f t="shared" si="0"/>
        <v>0</v>
      </c>
    </row>
    <row r="19" spans="1:8" x14ac:dyDescent="0.25">
      <c r="A19" s="223"/>
      <c r="B19" s="209"/>
      <c r="C19" s="209"/>
      <c r="D19" s="209"/>
      <c r="E19" s="145"/>
      <c r="F19" s="229"/>
      <c r="G19" s="224"/>
      <c r="H19" s="224">
        <f t="shared" si="0"/>
        <v>0</v>
      </c>
    </row>
    <row r="20" spans="1:8" x14ac:dyDescent="0.25">
      <c r="A20" s="223"/>
      <c r="B20" s="209"/>
      <c r="C20" s="209"/>
      <c r="D20" s="209"/>
      <c r="E20" s="145"/>
      <c r="F20" s="229"/>
      <c r="G20" s="224"/>
      <c r="H20" s="224">
        <f t="shared" si="0"/>
        <v>0</v>
      </c>
    </row>
    <row r="21" spans="1:8" x14ac:dyDescent="0.25">
      <c r="A21" s="223"/>
      <c r="B21" s="190"/>
      <c r="C21" s="190"/>
      <c r="D21" s="190"/>
      <c r="E21" s="145"/>
      <c r="F21" s="224"/>
      <c r="G21" s="145"/>
      <c r="H21" s="224"/>
    </row>
    <row r="22" spans="1:8" ht="15.75" thickBot="1" x14ac:dyDescent="0.3">
      <c r="A22" s="230"/>
      <c r="B22" s="231"/>
      <c r="C22" s="231"/>
      <c r="D22" s="231"/>
      <c r="E22" s="232" t="s">
        <v>54</v>
      </c>
      <c r="F22" s="233"/>
      <c r="G22" s="221">
        <f>SUM(G9:G21)</f>
        <v>0</v>
      </c>
      <c r="H22" s="233"/>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0A3C9-062E-437D-9C1D-113EAD14E4CC}">
  <sheetPr codeName="Sheet84">
    <tabColor rgb="FF0070C0"/>
    <pageSetUpPr fitToPage="1"/>
  </sheetPr>
  <dimension ref="A1:I26"/>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140625" style="267" customWidth="1"/>
    <col min="9" max="9" width="13.42578125"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#9492.00'!B1</f>
        <v>ATOD Racking Modification</v>
      </c>
      <c r="B1" s="116"/>
      <c r="C1" s="193"/>
      <c r="D1" s="193"/>
      <c r="E1" s="193"/>
      <c r="F1" s="194"/>
      <c r="G1" s="194"/>
      <c r="H1" s="195"/>
      <c r="I1" s="195"/>
    </row>
    <row r="2" spans="1:9" ht="15.75" x14ac:dyDescent="0.25">
      <c r="A2" s="134" t="str">
        <f>'RECAP #9492.00'!B2</f>
        <v>Project # 9492.00</v>
      </c>
      <c r="B2" s="196"/>
      <c r="C2" s="193"/>
      <c r="D2" s="193"/>
      <c r="E2" s="193"/>
      <c r="F2" s="194"/>
      <c r="G2" s="194"/>
      <c r="H2" s="195"/>
      <c r="I2" s="195"/>
    </row>
    <row r="3" spans="1:9" ht="15.75" x14ac:dyDescent="0.25">
      <c r="A3" s="197" t="str">
        <f>'RECAP #9492.00'!B3</f>
        <v>Program code 949200</v>
      </c>
      <c r="B3" s="196"/>
      <c r="C3" s="193"/>
      <c r="D3" s="198" t="str">
        <f>'RECAP #9492.00'!E3</f>
        <v>Major Program 4H06</v>
      </c>
      <c r="E3" s="193"/>
      <c r="F3" s="194"/>
      <c r="G3" s="194"/>
      <c r="H3" s="195"/>
      <c r="I3" s="195"/>
    </row>
    <row r="4" spans="1:9" ht="15.75" x14ac:dyDescent="0.25">
      <c r="A4" s="116" t="s">
        <v>298</v>
      </c>
      <c r="B4" s="134"/>
      <c r="C4" s="195"/>
      <c r="D4" s="199" t="s">
        <v>299</v>
      </c>
      <c r="E4" s="194"/>
      <c r="F4" s="194"/>
      <c r="G4" s="194"/>
      <c r="H4" s="195"/>
      <c r="I4" s="195"/>
    </row>
    <row r="5" spans="1:9" ht="15.75" x14ac:dyDescent="0.25">
      <c r="A5" s="200" t="s">
        <v>147</v>
      </c>
      <c r="B5" s="195"/>
      <c r="C5" s="201"/>
      <c r="D5" s="140" t="s">
        <v>300</v>
      </c>
      <c r="E5" s="145"/>
      <c r="F5" s="194"/>
      <c r="G5" s="194"/>
      <c r="H5" s="195"/>
      <c r="I5" s="195"/>
    </row>
    <row r="6" spans="1:9" ht="15.75" x14ac:dyDescent="0.25">
      <c r="A6" s="134" t="str">
        <f>'RECAP #9492.00'!B6</f>
        <v>Project Manager - Jennie E.</v>
      </c>
      <c r="B6" s="134"/>
      <c r="C6" s="202"/>
      <c r="D6" s="300" t="s">
        <v>156</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2" t="s">
        <v>297</v>
      </c>
    </row>
    <row r="9" spans="1:9" s="389" customFormat="1" ht="12.75" customHeight="1" x14ac:dyDescent="0.25">
      <c r="A9" s="382" t="s">
        <v>301</v>
      </c>
      <c r="B9" s="383">
        <v>45966</v>
      </c>
      <c r="C9" s="391" t="s">
        <v>146</v>
      </c>
      <c r="D9" s="419">
        <v>27500</v>
      </c>
      <c r="E9" s="386">
        <f>D9</f>
        <v>27500</v>
      </c>
      <c r="F9" s="387"/>
      <c r="G9" s="387"/>
      <c r="H9" s="387">
        <f>E9</f>
        <v>27500</v>
      </c>
      <c r="I9" s="388"/>
    </row>
    <row r="10" spans="1:9" s="389" customFormat="1" ht="12.75" customHeight="1" x14ac:dyDescent="0.25">
      <c r="A10" s="382" t="s">
        <v>301</v>
      </c>
      <c r="B10" s="390">
        <v>46001</v>
      </c>
      <c r="C10" s="391" t="s">
        <v>212</v>
      </c>
      <c r="D10" s="419">
        <v>30000</v>
      </c>
      <c r="E10" s="386">
        <f t="shared" ref="E10:E21" si="0">E9+D10</f>
        <v>57500</v>
      </c>
      <c r="F10" s="392"/>
      <c r="G10" s="387">
        <f t="shared" ref="G10:G21" si="1">G9+F10</f>
        <v>0</v>
      </c>
      <c r="H10" s="387">
        <f t="shared" ref="H10:H21" si="2">H9-F10+D10</f>
        <v>57500</v>
      </c>
      <c r="I10" s="388"/>
    </row>
    <row r="11" spans="1:9" s="389" customFormat="1" ht="12.75" customHeight="1" x14ac:dyDescent="0.25">
      <c r="A11" s="382" t="s">
        <v>531</v>
      </c>
      <c r="B11" s="383">
        <v>46084</v>
      </c>
      <c r="C11" s="391" t="s">
        <v>532</v>
      </c>
      <c r="D11" s="386"/>
      <c r="E11" s="386">
        <f t="shared" si="0"/>
        <v>57500</v>
      </c>
      <c r="F11" s="392">
        <v>55508.25</v>
      </c>
      <c r="G11" s="387">
        <f t="shared" si="1"/>
        <v>55508.25</v>
      </c>
      <c r="H11" s="387">
        <f t="shared" si="2"/>
        <v>1991.75</v>
      </c>
      <c r="I11" s="392">
        <v>1716.75</v>
      </c>
    </row>
    <row r="12" spans="1:9" s="389" customFormat="1" ht="12.75" customHeight="1" x14ac:dyDescent="0.25">
      <c r="A12" s="382" t="s">
        <v>669</v>
      </c>
      <c r="B12" s="383">
        <v>46128</v>
      </c>
      <c r="C12" s="391" t="s">
        <v>670</v>
      </c>
      <c r="D12" s="386"/>
      <c r="E12" s="386">
        <f t="shared" si="0"/>
        <v>57500</v>
      </c>
      <c r="F12" s="392">
        <v>266.75</v>
      </c>
      <c r="G12" s="387">
        <f t="shared" si="1"/>
        <v>55775</v>
      </c>
      <c r="H12" s="387">
        <f t="shared" si="2"/>
        <v>1725</v>
      </c>
      <c r="I12" s="392">
        <f>I11+8.25</f>
        <v>1725</v>
      </c>
    </row>
    <row r="13" spans="1:9" s="389" customFormat="1" ht="12.75" customHeight="1" x14ac:dyDescent="0.25">
      <c r="A13" s="382" t="s">
        <v>697</v>
      </c>
      <c r="B13" s="383">
        <v>46135</v>
      </c>
      <c r="C13" s="391" t="s">
        <v>698</v>
      </c>
      <c r="D13" s="386"/>
      <c r="E13" s="386">
        <f t="shared" si="0"/>
        <v>57500</v>
      </c>
      <c r="F13" s="392">
        <v>1725</v>
      </c>
      <c r="G13" s="387">
        <f t="shared" si="1"/>
        <v>57500</v>
      </c>
      <c r="H13" s="387">
        <f t="shared" si="2"/>
        <v>0</v>
      </c>
      <c r="I13" s="392"/>
    </row>
    <row r="14" spans="1:9" s="389" customFormat="1" ht="12.75" customHeight="1" x14ac:dyDescent="0.25">
      <c r="A14" s="382"/>
      <c r="B14" s="383"/>
      <c r="C14" s="391"/>
      <c r="D14" s="386"/>
      <c r="E14" s="386">
        <f t="shared" si="0"/>
        <v>57500</v>
      </c>
      <c r="F14" s="387"/>
      <c r="G14" s="387">
        <f t="shared" si="1"/>
        <v>57500</v>
      </c>
      <c r="H14" s="387">
        <f t="shared" si="2"/>
        <v>0</v>
      </c>
      <c r="I14" s="392"/>
    </row>
    <row r="15" spans="1:9" s="389" customFormat="1" ht="12.75" customHeight="1" x14ac:dyDescent="0.25">
      <c r="A15" s="382"/>
      <c r="B15" s="383"/>
      <c r="C15" s="391"/>
      <c r="D15" s="386"/>
      <c r="E15" s="386">
        <f t="shared" si="0"/>
        <v>57500</v>
      </c>
      <c r="F15" s="392"/>
      <c r="G15" s="387">
        <f t="shared" si="1"/>
        <v>57500</v>
      </c>
      <c r="H15" s="387">
        <f t="shared" si="2"/>
        <v>0</v>
      </c>
      <c r="I15" s="392"/>
    </row>
    <row r="16" spans="1:9" s="389" customFormat="1" ht="12.75" customHeight="1" x14ac:dyDescent="0.25">
      <c r="A16" s="382"/>
      <c r="B16" s="383"/>
      <c r="C16" s="391"/>
      <c r="D16" s="386"/>
      <c r="E16" s="386">
        <f t="shared" si="0"/>
        <v>57500</v>
      </c>
      <c r="F16" s="392"/>
      <c r="G16" s="387">
        <f t="shared" si="1"/>
        <v>57500</v>
      </c>
      <c r="H16" s="387">
        <f t="shared" si="2"/>
        <v>0</v>
      </c>
      <c r="I16" s="392"/>
    </row>
    <row r="17" spans="1:9" s="389" customFormat="1" ht="12.75" customHeight="1" x14ac:dyDescent="0.25">
      <c r="A17" s="382"/>
      <c r="B17" s="383"/>
      <c r="C17" s="391"/>
      <c r="D17" s="386"/>
      <c r="E17" s="386">
        <f t="shared" si="0"/>
        <v>57500</v>
      </c>
      <c r="F17" s="392"/>
      <c r="G17" s="387">
        <f t="shared" si="1"/>
        <v>57500</v>
      </c>
      <c r="H17" s="387">
        <f t="shared" si="2"/>
        <v>0</v>
      </c>
      <c r="I17" s="392"/>
    </row>
    <row r="18" spans="1:9" s="389" customFormat="1" ht="12.75" customHeight="1" x14ac:dyDescent="0.25">
      <c r="A18" s="382"/>
      <c r="B18" s="383"/>
      <c r="C18" s="391"/>
      <c r="D18" s="386"/>
      <c r="E18" s="386">
        <f t="shared" si="0"/>
        <v>57500</v>
      </c>
      <c r="F18" s="392"/>
      <c r="G18" s="387">
        <f t="shared" si="1"/>
        <v>57500</v>
      </c>
      <c r="H18" s="387">
        <f t="shared" si="2"/>
        <v>0</v>
      </c>
      <c r="I18" s="392"/>
    </row>
    <row r="19" spans="1:9" s="389" customFormat="1" ht="12.75" customHeight="1" x14ac:dyDescent="0.25">
      <c r="A19" s="382"/>
      <c r="B19" s="383"/>
      <c r="C19" s="391"/>
      <c r="D19" s="386"/>
      <c r="E19" s="386">
        <f t="shared" si="0"/>
        <v>57500</v>
      </c>
      <c r="F19" s="387"/>
      <c r="G19" s="387">
        <f t="shared" si="1"/>
        <v>57500</v>
      </c>
      <c r="H19" s="387">
        <f t="shared" si="2"/>
        <v>0</v>
      </c>
      <c r="I19" s="392"/>
    </row>
    <row r="20" spans="1:9" s="389" customFormat="1" ht="12.75" customHeight="1" x14ac:dyDescent="0.25">
      <c r="A20" s="382"/>
      <c r="B20" s="383"/>
      <c r="C20" s="391"/>
      <c r="D20" s="386"/>
      <c r="E20" s="386">
        <f t="shared" si="0"/>
        <v>57500</v>
      </c>
      <c r="F20" s="387"/>
      <c r="G20" s="387">
        <f t="shared" si="1"/>
        <v>57500</v>
      </c>
      <c r="H20" s="387">
        <f t="shared" si="2"/>
        <v>0</v>
      </c>
      <c r="I20" s="392"/>
    </row>
    <row r="21" spans="1:9" s="389" customFormat="1" ht="12.75" customHeight="1" x14ac:dyDescent="0.25">
      <c r="A21" s="382"/>
      <c r="B21" s="383"/>
      <c r="C21" s="393"/>
      <c r="D21" s="386"/>
      <c r="E21" s="386">
        <f t="shared" si="0"/>
        <v>57500</v>
      </c>
      <c r="F21" s="387"/>
      <c r="G21" s="387">
        <f t="shared" si="1"/>
        <v>57500</v>
      </c>
      <c r="H21" s="387">
        <f t="shared" si="2"/>
        <v>0</v>
      </c>
      <c r="I21" s="392"/>
    </row>
    <row r="22" spans="1:9" x14ac:dyDescent="0.25">
      <c r="A22" s="223"/>
      <c r="B22" s="218"/>
      <c r="C22" s="190"/>
      <c r="D22" s="212"/>
      <c r="E22" s="212"/>
      <c r="F22" s="212"/>
      <c r="G22" s="212"/>
      <c r="H22" s="212"/>
      <c r="I22" s="145"/>
    </row>
    <row r="23" spans="1:9" ht="15.75" thickBot="1" x14ac:dyDescent="0.3">
      <c r="A23" s="223"/>
      <c r="B23" s="219"/>
      <c r="C23" s="220" t="s">
        <v>54</v>
      </c>
      <c r="D23" s="221">
        <f>SUM(D9:D22)</f>
        <v>57500</v>
      </c>
      <c r="E23" s="221"/>
      <c r="F23" s="221">
        <f>SUM(F9:F22)</f>
        <v>57500</v>
      </c>
      <c r="G23" s="221"/>
      <c r="H23" s="221">
        <f>D23-F23</f>
        <v>0</v>
      </c>
      <c r="I23" s="140" t="s">
        <v>341</v>
      </c>
    </row>
    <row r="24" spans="1:9" ht="15" customHeight="1" thickTop="1" x14ac:dyDescent="0.25"/>
    <row r="26" spans="1:9" ht="15" customHeight="1" x14ac:dyDescent="0.25">
      <c r="A26" s="425" t="s">
        <v>671</v>
      </c>
    </row>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BC3F1-B33E-4718-9180-81D0DE59BA64}">
  <sheetPr codeName="Sheet85">
    <pageSetUpPr fitToPage="1"/>
  </sheetPr>
  <dimension ref="A1:G15"/>
  <sheetViews>
    <sheetView topLeftCell="A3"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359</v>
      </c>
      <c r="C1" s="86"/>
      <c r="D1" s="6"/>
      <c r="E1" s="6"/>
      <c r="F1" s="6"/>
      <c r="G1" s="6"/>
    </row>
    <row r="2" spans="1:7" ht="15.75" x14ac:dyDescent="0.25">
      <c r="A2" s="84"/>
      <c r="B2" s="88" t="s">
        <v>360</v>
      </c>
      <c r="C2" s="87"/>
      <c r="D2" s="6"/>
      <c r="E2" s="6"/>
      <c r="F2" s="6"/>
      <c r="G2" s="6"/>
    </row>
    <row r="3" spans="1:7" ht="15.75" x14ac:dyDescent="0.25">
      <c r="A3" s="84"/>
      <c r="B3" s="89" t="s">
        <v>361</v>
      </c>
      <c r="C3" s="87"/>
      <c r="D3" s="6"/>
      <c r="E3" s="90" t="s">
        <v>362</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78</v>
      </c>
      <c r="C6" s="94"/>
      <c r="D6" s="95" t="s">
        <v>3</v>
      </c>
      <c r="E6" s="6"/>
      <c r="F6" s="6"/>
      <c r="G6" s="6"/>
    </row>
    <row r="7" spans="1:7" ht="36.75" customHeight="1" thickBot="1" x14ac:dyDescent="0.3">
      <c r="A7" s="84"/>
      <c r="B7" s="96" t="s">
        <v>3</v>
      </c>
      <c r="C7" s="97" t="s">
        <v>0</v>
      </c>
      <c r="D7" s="98" t="s">
        <v>1</v>
      </c>
      <c r="E7" s="99" t="s">
        <v>2</v>
      </c>
      <c r="F7" s="100" t="s">
        <v>37</v>
      </c>
      <c r="G7" s="100" t="s">
        <v>38</v>
      </c>
    </row>
    <row r="8" spans="1:7" ht="28.35" customHeight="1" x14ac:dyDescent="0.25">
      <c r="A8" s="84"/>
      <c r="B8" s="87" t="s">
        <v>39</v>
      </c>
      <c r="C8" s="101">
        <f>'#9515.00 Funds Rec''d'!H24</f>
        <v>100000</v>
      </c>
      <c r="D8" s="102"/>
      <c r="E8" s="102"/>
      <c r="F8" s="102"/>
      <c r="G8" s="103"/>
    </row>
    <row r="9" spans="1:7" ht="12.75" customHeight="1" x14ac:dyDescent="0.25">
      <c r="A9" s="84"/>
      <c r="B9" s="87"/>
      <c r="C9" s="104"/>
      <c r="D9" s="105"/>
      <c r="E9" s="105"/>
      <c r="F9" s="105"/>
      <c r="G9" s="103"/>
    </row>
    <row r="10" spans="1:7" ht="12.75" customHeight="1" x14ac:dyDescent="0.25">
      <c r="A10" s="84"/>
      <c r="B10" s="87" t="s">
        <v>739</v>
      </c>
      <c r="C10" s="104"/>
      <c r="D10" s="102">
        <f>'#9515.00 Kezlo Group'!D23</f>
        <v>29400</v>
      </c>
      <c r="E10" s="102">
        <f>'#9515.00 Kezlo Group'!F23</f>
        <v>22470</v>
      </c>
      <c r="F10" s="102">
        <f>'#9515.00 Kezlo Group'!H23</f>
        <v>6930</v>
      </c>
      <c r="G10" s="103"/>
    </row>
    <row r="11" spans="1:7" ht="12.75" customHeight="1" x14ac:dyDescent="0.25">
      <c r="A11" s="84"/>
      <c r="B11" s="87" t="s">
        <v>41</v>
      </c>
      <c r="C11" s="104"/>
      <c r="D11" s="102">
        <f>'#9515.00 PM TIME '!E23</f>
        <v>10000</v>
      </c>
      <c r="E11" s="102">
        <f>'#9515.00 PM TIME '!G23</f>
        <v>7305.9</v>
      </c>
      <c r="F11" s="102">
        <f>'#9515.00 PM TIME '!I23</f>
        <v>2694.1000000000004</v>
      </c>
      <c r="G11" s="103"/>
    </row>
    <row r="12" spans="1:7" ht="12.75" customHeight="1" x14ac:dyDescent="0.25">
      <c r="A12" s="84"/>
      <c r="B12" s="87" t="s">
        <v>42</v>
      </c>
      <c r="C12" s="105"/>
      <c r="D12" s="106">
        <f>'#9515.00 Misc '!G22</f>
        <v>0</v>
      </c>
      <c r="E12" s="106">
        <f>'#9515.00 Misc '!G22</f>
        <v>0</v>
      </c>
      <c r="F12" s="102">
        <f>D12-E12</f>
        <v>0</v>
      </c>
      <c r="G12" s="103"/>
    </row>
    <row r="13" spans="1:7" ht="12.75" customHeight="1" x14ac:dyDescent="0.25">
      <c r="A13" s="84"/>
      <c r="B13" s="87"/>
      <c r="C13" s="105"/>
      <c r="D13" s="106"/>
      <c r="E13" s="106"/>
      <c r="F13" s="102"/>
      <c r="G13" s="103"/>
    </row>
    <row r="14" spans="1:7" ht="24" customHeight="1" thickBot="1" x14ac:dyDescent="0.3">
      <c r="A14" s="107"/>
      <c r="B14" s="108" t="s">
        <v>43</v>
      </c>
      <c r="C14" s="109">
        <f>SUM(C8:C13)</f>
        <v>100000</v>
      </c>
      <c r="D14" s="109">
        <f>SUM(D8:D13)</f>
        <v>39400</v>
      </c>
      <c r="E14" s="109">
        <f>SUM(E8:E13)</f>
        <v>29775.9</v>
      </c>
      <c r="F14" s="109">
        <f>SUM(D14-E14)</f>
        <v>9624.0999999999985</v>
      </c>
      <c r="G14" s="109">
        <f>C8-D14</f>
        <v>60600</v>
      </c>
    </row>
    <row r="15"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 0506-335-DA26&amp;C&amp;Z&amp;F
&amp;R&amp;P/&amp;N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D6DD-59C0-47E9-9AA1-9190D55AA450}">
  <sheetPr codeName="Sheet86">
    <pageSetUpPr fitToPage="1"/>
  </sheetPr>
  <dimension ref="A1:H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#9515.00'!B1</f>
        <v>DPS District 1 Intel Remodel</v>
      </c>
      <c r="B1" s="7"/>
      <c r="C1" s="2"/>
      <c r="D1" s="3"/>
      <c r="E1" s="3"/>
      <c r="F1" s="7"/>
      <c r="G1" s="7"/>
      <c r="H1" s="7"/>
    </row>
    <row r="2" spans="1:8" x14ac:dyDescent="0.25">
      <c r="A2" s="112" t="str">
        <f>'RECAP #9515.00'!B2</f>
        <v>Project # 9515.00</v>
      </c>
      <c r="B2" s="7"/>
      <c r="C2" s="113" t="s">
        <v>3</v>
      </c>
      <c r="D2" s="1"/>
      <c r="E2" s="1"/>
      <c r="F2" s="7"/>
      <c r="G2" s="7"/>
      <c r="H2" s="7"/>
    </row>
    <row r="3" spans="1:8" x14ac:dyDescent="0.25">
      <c r="A3" s="114" t="str">
        <f>'RECAP #9515.00'!B3</f>
        <v>Program code 951500</v>
      </c>
      <c r="B3" s="7"/>
      <c r="C3" s="113" t="s">
        <v>3</v>
      </c>
      <c r="D3" s="115" t="str">
        <f>'RECAP #9515.00'!E3</f>
        <v>Major Program 4E08</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#9515.00'!B6</f>
        <v>Project Manager - Brandon A</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457</v>
      </c>
      <c r="E9" s="334" t="s">
        <v>458</v>
      </c>
      <c r="F9" s="335">
        <v>46050</v>
      </c>
      <c r="G9" s="405">
        <v>25000</v>
      </c>
      <c r="H9" s="405">
        <v>25000</v>
      </c>
    </row>
    <row r="10" spans="1:8" s="308" customFormat="1" ht="12.75" customHeight="1" x14ac:dyDescent="0.25">
      <c r="A10" s="331"/>
      <c r="B10" s="331"/>
      <c r="C10" s="336"/>
      <c r="D10" s="334" t="s">
        <v>457</v>
      </c>
      <c r="E10" s="334" t="s">
        <v>731</v>
      </c>
      <c r="F10" s="331">
        <v>46150</v>
      </c>
      <c r="G10" s="469">
        <v>75000</v>
      </c>
      <c r="H10" s="469">
        <v>75000</v>
      </c>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s="308" customFormat="1" ht="12.75" customHeight="1" thickBot="1" x14ac:dyDescent="0.3">
      <c r="A24" s="353"/>
      <c r="B24" s="354" t="s">
        <v>9</v>
      </c>
      <c r="C24" s="355">
        <f>SUM(C9:C23)</f>
        <v>0</v>
      </c>
      <c r="D24" s="356" t="s">
        <v>10</v>
      </c>
      <c r="E24" s="357"/>
      <c r="F24" s="358"/>
      <c r="G24" s="184">
        <f>SUM(G9:G23)</f>
        <v>100000</v>
      </c>
      <c r="H24" s="184">
        <f>SUM(H9:H22)</f>
        <v>100000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DC67-4A10-456E-B84D-28EE7A440D13}">
  <sheetPr codeName="Sheet87">
    <pageSetUpPr fitToPage="1"/>
  </sheetPr>
  <dimension ref="A1:I30"/>
  <sheetViews>
    <sheetView zoomScaleNormal="100" workbookViewId="0">
      <selection activeCell="F11" sqref="F1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#9515.00'!B1</f>
        <v>DPS District 1 Intel Remodel</v>
      </c>
      <c r="B1" s="86"/>
      <c r="C1" s="6"/>
      <c r="D1" s="6"/>
      <c r="E1" s="6"/>
      <c r="F1" s="132"/>
      <c r="G1" s="132"/>
      <c r="H1" s="133"/>
      <c r="I1" s="133"/>
    </row>
    <row r="2" spans="1:9" ht="15.75" x14ac:dyDescent="0.25">
      <c r="A2" s="88" t="str">
        <f>'RECAP #9515.00'!B2</f>
        <v>Project # 9515.00</v>
      </c>
      <c r="B2" s="87"/>
      <c r="C2" s="6"/>
      <c r="D2" s="6"/>
      <c r="E2" s="6"/>
      <c r="F2" s="132"/>
      <c r="G2" s="132"/>
      <c r="H2" s="133"/>
      <c r="I2" s="133"/>
    </row>
    <row r="3" spans="1:9" ht="15.75" x14ac:dyDescent="0.25">
      <c r="A3" s="89" t="str">
        <f>'RECAP #9515.00'!B3</f>
        <v>Program code 951500</v>
      </c>
      <c r="B3" s="87"/>
      <c r="C3" s="6"/>
      <c r="D3" s="90" t="str">
        <f>'RECAP #9515.00'!E3</f>
        <v>Major Program 4E08</v>
      </c>
      <c r="E3" s="6"/>
      <c r="F3" s="132"/>
      <c r="G3" s="132"/>
      <c r="H3" s="133"/>
      <c r="I3" s="133"/>
    </row>
    <row r="4" spans="1:9" ht="15.75" x14ac:dyDescent="0.25">
      <c r="A4" s="116" t="s">
        <v>739</v>
      </c>
      <c r="B4" s="134"/>
      <c r="C4" s="135"/>
      <c r="D4" s="136" t="s">
        <v>740</v>
      </c>
      <c r="E4" s="132"/>
      <c r="F4" s="132"/>
      <c r="G4" s="132"/>
      <c r="H4" s="133"/>
      <c r="I4" s="133"/>
    </row>
    <row r="5" spans="1:9" ht="15.75" x14ac:dyDescent="0.25">
      <c r="A5" s="137" t="s">
        <v>182</v>
      </c>
      <c r="B5" s="138"/>
      <c r="C5" s="139"/>
      <c r="D5" s="140" t="s">
        <v>741</v>
      </c>
      <c r="E5" s="141"/>
      <c r="F5" s="142"/>
      <c r="G5" s="142"/>
      <c r="H5" s="138"/>
      <c r="I5" s="133"/>
    </row>
    <row r="6" spans="1:9" ht="15.75" x14ac:dyDescent="0.25">
      <c r="A6" s="93" t="str">
        <f>'RECAP #9515.00'!B6</f>
        <v>Project Manager - Brandon A</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742</v>
      </c>
      <c r="B9" s="318">
        <v>46154</v>
      </c>
      <c r="C9" s="324" t="s">
        <v>146</v>
      </c>
      <c r="D9" s="186">
        <v>29400</v>
      </c>
      <c r="E9" s="320">
        <f>D9</f>
        <v>29400</v>
      </c>
      <c r="F9" s="321"/>
      <c r="G9" s="321"/>
      <c r="H9" s="321">
        <f>E9</f>
        <v>29400</v>
      </c>
      <c r="I9" s="322"/>
    </row>
    <row r="10" spans="1:9" s="308" customFormat="1" ht="12.75" customHeight="1" x14ac:dyDescent="0.25">
      <c r="A10" s="317" t="s">
        <v>851</v>
      </c>
      <c r="B10" s="323">
        <v>46188</v>
      </c>
      <c r="C10" s="324" t="s">
        <v>852</v>
      </c>
      <c r="D10" s="320"/>
      <c r="E10" s="320">
        <f t="shared" ref="E10:E21" si="0">E9+D10</f>
        <v>29400</v>
      </c>
      <c r="F10" s="325">
        <v>21850</v>
      </c>
      <c r="G10" s="321">
        <f t="shared" ref="G10:G21" si="1">G9+F10</f>
        <v>21850</v>
      </c>
      <c r="H10" s="321">
        <f t="shared" ref="H10:H21" si="2">H9-F10+D10</f>
        <v>7550</v>
      </c>
      <c r="I10" s="322"/>
    </row>
    <row r="11" spans="1:9" s="308" customFormat="1" ht="12.75" customHeight="1" x14ac:dyDescent="0.25">
      <c r="A11" s="317" t="s">
        <v>1028</v>
      </c>
      <c r="B11" s="318">
        <v>46218</v>
      </c>
      <c r="C11" s="324" t="s">
        <v>1032</v>
      </c>
      <c r="D11" s="320"/>
      <c r="E11" s="320">
        <f t="shared" si="0"/>
        <v>29400</v>
      </c>
      <c r="F11" s="325">
        <v>620</v>
      </c>
      <c r="G11" s="321">
        <f t="shared" si="1"/>
        <v>22470</v>
      </c>
      <c r="H11" s="321">
        <f t="shared" si="2"/>
        <v>6930</v>
      </c>
      <c r="I11" s="322"/>
    </row>
    <row r="12" spans="1:9" s="308" customFormat="1" ht="12.75" customHeight="1" x14ac:dyDescent="0.25">
      <c r="A12" s="317"/>
      <c r="B12" s="318"/>
      <c r="C12" s="324"/>
      <c r="D12" s="320"/>
      <c r="E12" s="320">
        <f t="shared" si="0"/>
        <v>29400</v>
      </c>
      <c r="F12" s="326"/>
      <c r="G12" s="321">
        <f t="shared" si="1"/>
        <v>22470</v>
      </c>
      <c r="H12" s="321">
        <f t="shared" si="2"/>
        <v>6930</v>
      </c>
      <c r="I12" s="322"/>
    </row>
    <row r="13" spans="1:9" s="308" customFormat="1" ht="12.75" customHeight="1" x14ac:dyDescent="0.25">
      <c r="A13" s="317"/>
      <c r="B13" s="318"/>
      <c r="C13" s="324"/>
      <c r="D13" s="320"/>
      <c r="E13" s="320">
        <f t="shared" si="0"/>
        <v>29400</v>
      </c>
      <c r="F13" s="326"/>
      <c r="G13" s="321">
        <f t="shared" si="1"/>
        <v>22470</v>
      </c>
      <c r="H13" s="321">
        <f t="shared" si="2"/>
        <v>6930</v>
      </c>
      <c r="I13" s="322"/>
    </row>
    <row r="14" spans="1:9" s="308" customFormat="1" ht="12.75" customHeight="1" x14ac:dyDescent="0.25">
      <c r="A14" s="317"/>
      <c r="B14" s="318"/>
      <c r="C14" s="324"/>
      <c r="D14" s="320"/>
      <c r="E14" s="320">
        <f t="shared" si="0"/>
        <v>29400</v>
      </c>
      <c r="F14" s="321"/>
      <c r="G14" s="321">
        <f t="shared" si="1"/>
        <v>22470</v>
      </c>
      <c r="H14" s="321">
        <f t="shared" si="2"/>
        <v>6930</v>
      </c>
      <c r="I14" s="322"/>
    </row>
    <row r="15" spans="1:9" s="308" customFormat="1" ht="12.75" customHeight="1" x14ac:dyDescent="0.25">
      <c r="A15" s="317"/>
      <c r="B15" s="318"/>
      <c r="C15" s="324"/>
      <c r="D15" s="320"/>
      <c r="E15" s="320">
        <f t="shared" si="0"/>
        <v>29400</v>
      </c>
      <c r="F15" s="326"/>
      <c r="G15" s="321">
        <f t="shared" si="1"/>
        <v>22470</v>
      </c>
      <c r="H15" s="321">
        <f t="shared" si="2"/>
        <v>6930</v>
      </c>
      <c r="I15" s="322"/>
    </row>
    <row r="16" spans="1:9" s="308" customFormat="1" ht="12.75" customHeight="1" x14ac:dyDescent="0.25">
      <c r="A16" s="317"/>
      <c r="B16" s="318"/>
      <c r="C16" s="324"/>
      <c r="D16" s="320"/>
      <c r="E16" s="320">
        <f t="shared" si="0"/>
        <v>29400</v>
      </c>
      <c r="F16" s="326"/>
      <c r="G16" s="321">
        <f t="shared" si="1"/>
        <v>22470</v>
      </c>
      <c r="H16" s="321">
        <f t="shared" si="2"/>
        <v>6930</v>
      </c>
      <c r="I16" s="322"/>
    </row>
    <row r="17" spans="1:9" s="308" customFormat="1" ht="12.75" customHeight="1" x14ac:dyDescent="0.25">
      <c r="A17" s="317"/>
      <c r="B17" s="318"/>
      <c r="C17" s="324"/>
      <c r="D17" s="320"/>
      <c r="E17" s="320">
        <f t="shared" si="0"/>
        <v>29400</v>
      </c>
      <c r="F17" s="326"/>
      <c r="G17" s="321">
        <f t="shared" si="1"/>
        <v>22470</v>
      </c>
      <c r="H17" s="321">
        <f t="shared" si="2"/>
        <v>6930</v>
      </c>
      <c r="I17" s="322"/>
    </row>
    <row r="18" spans="1:9" s="308" customFormat="1" ht="12.75" customHeight="1" x14ac:dyDescent="0.25">
      <c r="A18" s="317"/>
      <c r="B18" s="318"/>
      <c r="C18" s="324"/>
      <c r="D18" s="320"/>
      <c r="E18" s="320">
        <f t="shared" si="0"/>
        <v>29400</v>
      </c>
      <c r="F18" s="326"/>
      <c r="G18" s="321">
        <f t="shared" si="1"/>
        <v>22470</v>
      </c>
      <c r="H18" s="321">
        <f t="shared" si="2"/>
        <v>6930</v>
      </c>
      <c r="I18" s="322"/>
    </row>
    <row r="19" spans="1:9" s="308" customFormat="1" ht="12.75" customHeight="1" x14ac:dyDescent="0.25">
      <c r="A19" s="317"/>
      <c r="B19" s="318"/>
      <c r="C19" s="324"/>
      <c r="D19" s="320"/>
      <c r="E19" s="320">
        <f t="shared" si="0"/>
        <v>29400</v>
      </c>
      <c r="F19" s="321"/>
      <c r="G19" s="321">
        <f t="shared" si="1"/>
        <v>22470</v>
      </c>
      <c r="H19" s="321">
        <f t="shared" si="2"/>
        <v>6930</v>
      </c>
      <c r="I19" s="322"/>
    </row>
    <row r="20" spans="1:9" s="308" customFormat="1" ht="12.75" customHeight="1" x14ac:dyDescent="0.25">
      <c r="A20" s="317"/>
      <c r="B20" s="318"/>
      <c r="C20" s="324"/>
      <c r="D20" s="320"/>
      <c r="E20" s="320">
        <f t="shared" si="0"/>
        <v>29400</v>
      </c>
      <c r="F20" s="321"/>
      <c r="G20" s="321">
        <f t="shared" si="1"/>
        <v>22470</v>
      </c>
      <c r="H20" s="321">
        <f t="shared" si="2"/>
        <v>6930</v>
      </c>
      <c r="I20" s="322"/>
    </row>
    <row r="21" spans="1:9" s="308" customFormat="1" ht="12.75" customHeight="1" x14ac:dyDescent="0.25">
      <c r="A21" s="317"/>
      <c r="B21" s="318"/>
      <c r="C21" s="327"/>
      <c r="D21" s="320"/>
      <c r="E21" s="320">
        <f t="shared" si="0"/>
        <v>29400</v>
      </c>
      <c r="F21" s="321"/>
      <c r="G21" s="321">
        <f t="shared" si="1"/>
        <v>22470</v>
      </c>
      <c r="H21" s="321">
        <f t="shared" si="2"/>
        <v>6930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29400</v>
      </c>
      <c r="E23" s="184"/>
      <c r="F23" s="184">
        <f>SUM(F9:F22)</f>
        <v>22470</v>
      </c>
      <c r="G23" s="184"/>
      <c r="H23" s="184">
        <f>D23-F23</f>
        <v>6930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233</v>
      </c>
      <c r="D26" s="321">
        <v>21850</v>
      </c>
      <c r="E26" s="321"/>
      <c r="F26" s="321">
        <f>21850</f>
        <v>21850</v>
      </c>
      <c r="G26" s="321"/>
      <c r="H26" s="321">
        <f>D26-F26</f>
        <v>0</v>
      </c>
      <c r="I26" s="322"/>
    </row>
    <row r="27" spans="1:9" s="308" customFormat="1" ht="12.75" customHeight="1" x14ac:dyDescent="0.25">
      <c r="A27" s="317"/>
      <c r="B27" s="324"/>
      <c r="C27" s="328" t="s">
        <v>448</v>
      </c>
      <c r="D27" s="321">
        <v>620</v>
      </c>
      <c r="E27" s="321"/>
      <c r="F27" s="321">
        <f>620</f>
        <v>620</v>
      </c>
      <c r="G27" s="321"/>
      <c r="H27" s="321">
        <f t="shared" ref="H27:H28" si="3">D27-F27</f>
        <v>0</v>
      </c>
      <c r="I27" s="322"/>
    </row>
    <row r="28" spans="1:9" s="308" customFormat="1" ht="12.75" customHeight="1" x14ac:dyDescent="0.25">
      <c r="A28" s="317"/>
      <c r="B28" s="324"/>
      <c r="C28" s="328" t="s">
        <v>619</v>
      </c>
      <c r="D28" s="321">
        <v>6930</v>
      </c>
      <c r="E28" s="321"/>
      <c r="F28" s="321"/>
      <c r="G28" s="321"/>
      <c r="H28" s="321">
        <f t="shared" si="3"/>
        <v>6930</v>
      </c>
      <c r="I28" s="322"/>
    </row>
    <row r="29" spans="1:9" s="308" customFormat="1" ht="12.75" customHeight="1" thickBot="1" x14ac:dyDescent="0.3">
      <c r="A29" s="317"/>
      <c r="B29" s="324"/>
      <c r="C29" s="359" t="s">
        <v>157</v>
      </c>
      <c r="D29" s="360">
        <f>SUM(D25:D28)</f>
        <v>29400</v>
      </c>
      <c r="E29" s="326"/>
      <c r="F29" s="360">
        <f>SUM(F25:F28)</f>
        <v>22470</v>
      </c>
      <c r="G29" s="326"/>
      <c r="H29" s="360">
        <f>SUM(H25:H28)</f>
        <v>6930</v>
      </c>
      <c r="I29" s="322"/>
    </row>
    <row r="30" spans="1:9" s="308" customFormat="1" ht="12.75" customHeight="1" thickTop="1" x14ac:dyDescent="0.25"/>
  </sheetData>
  <conditionalFormatting sqref="I9:I27">
    <cfRule type="cellIs" dxfId="11"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E26BC-F5F6-4D96-B50C-53F574E6038C}">
  <sheetPr codeName="Sheet88">
    <pageSetUpPr fitToPage="1"/>
  </sheetPr>
  <dimension ref="A1:J24"/>
  <sheetViews>
    <sheetView zoomScaleNormal="100" workbookViewId="0">
      <selection activeCell="G20" sqref="G20"/>
    </sheetView>
  </sheetViews>
  <sheetFormatPr defaultColWidth="11.42578125" defaultRowHeight="15" customHeight="1" x14ac:dyDescent="0.25"/>
  <cols>
    <col min="1" max="1" width="24.5703125" customWidth="1"/>
    <col min="2" max="3" width="9.42578125" customWidth="1"/>
    <col min="4" max="4" width="35.7109375" customWidth="1"/>
    <col min="5" max="5" width="1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#9515.00'!B1</f>
        <v>DPS District 1 Intel Remodel</v>
      </c>
      <c r="B1" s="86"/>
      <c r="C1" s="86"/>
      <c r="D1" s="6"/>
      <c r="E1" s="6"/>
      <c r="F1" s="6"/>
      <c r="G1" s="132"/>
      <c r="H1" s="132"/>
      <c r="I1" s="133"/>
      <c r="J1" s="133"/>
    </row>
    <row r="2" spans="1:10" ht="15.75" x14ac:dyDescent="0.25">
      <c r="A2" s="88" t="str">
        <f>'RECAP #9515.00'!B2</f>
        <v>Project # 9515.00</v>
      </c>
      <c r="B2" s="87"/>
      <c r="C2" s="87"/>
      <c r="D2" s="6"/>
      <c r="E2" s="6"/>
      <c r="F2" s="6"/>
      <c r="G2" s="132"/>
      <c r="H2" s="132"/>
      <c r="I2" s="133"/>
      <c r="J2" s="133"/>
    </row>
    <row r="3" spans="1:10" ht="15.75" x14ac:dyDescent="0.25">
      <c r="A3" s="89" t="str">
        <f>'RECAP #9515.00'!B3</f>
        <v>Program code 951500</v>
      </c>
      <c r="B3" s="87"/>
      <c r="C3" s="87"/>
      <c r="D3" s="6"/>
      <c r="E3" s="90" t="str">
        <f>'RECAP #9515.00'!E3</f>
        <v>Major Program 4E08</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#9515.00'!B6</f>
        <v>Project Manager - Brandon A</v>
      </c>
      <c r="B6" s="93"/>
      <c r="C6" s="93"/>
      <c r="D6" s="143"/>
      <c r="E6" s="140" t="s">
        <v>363</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2500+3000+4500</f>
        <v>10000</v>
      </c>
      <c r="F9" s="320">
        <f>E9</f>
        <v>10000</v>
      </c>
      <c r="G9" s="321"/>
      <c r="H9" s="321"/>
      <c r="I9" s="321">
        <f>F9</f>
        <v>10000</v>
      </c>
      <c r="J9" s="322"/>
    </row>
    <row r="10" spans="1:10" s="308" customFormat="1" ht="12.75" customHeight="1" x14ac:dyDescent="0.2">
      <c r="A10" s="171" t="s">
        <v>418</v>
      </c>
      <c r="B10" s="153">
        <v>46030</v>
      </c>
      <c r="C10" s="155" t="s">
        <v>274</v>
      </c>
      <c r="D10" s="181" t="s">
        <v>419</v>
      </c>
      <c r="E10" s="320"/>
      <c r="F10" s="320">
        <f>E10+F9</f>
        <v>10000</v>
      </c>
      <c r="G10" s="325">
        <v>62.08</v>
      </c>
      <c r="H10" s="321">
        <f t="shared" ref="H10:H21" si="0">H9+G10</f>
        <v>62.08</v>
      </c>
      <c r="I10" s="321">
        <f>I9-G10+E10</f>
        <v>9937.92</v>
      </c>
      <c r="J10" s="322"/>
    </row>
    <row r="11" spans="1:10" s="308" customFormat="1" ht="12.75" customHeight="1" x14ac:dyDescent="0.2">
      <c r="A11" s="171" t="s">
        <v>418</v>
      </c>
      <c r="B11" s="153">
        <v>46030</v>
      </c>
      <c r="C11" s="401">
        <v>9500</v>
      </c>
      <c r="D11" s="126" t="s">
        <v>420</v>
      </c>
      <c r="E11" s="320"/>
      <c r="F11" s="320">
        <f t="shared" ref="F11:F21" si="1">E11+F10</f>
        <v>10000</v>
      </c>
      <c r="G11" s="325">
        <v>700.4</v>
      </c>
      <c r="H11" s="321">
        <f t="shared" si="0"/>
        <v>762.48</v>
      </c>
      <c r="I11" s="321">
        <f t="shared" ref="I11:I21" si="2">I10-G11+E11</f>
        <v>9237.52</v>
      </c>
      <c r="J11" s="322"/>
    </row>
    <row r="12" spans="1:10" s="308" customFormat="1" ht="12.75" customHeight="1" x14ac:dyDescent="0.2">
      <c r="A12" s="171" t="s">
        <v>492</v>
      </c>
      <c r="B12" s="153">
        <v>46062</v>
      </c>
      <c r="C12" s="155" t="s">
        <v>274</v>
      </c>
      <c r="D12" s="181" t="s">
        <v>493</v>
      </c>
      <c r="E12" s="320"/>
      <c r="F12" s="320">
        <f t="shared" si="1"/>
        <v>10000</v>
      </c>
      <c r="G12" s="325">
        <v>68.260000000000005</v>
      </c>
      <c r="H12" s="321">
        <f t="shared" si="0"/>
        <v>830.74</v>
      </c>
      <c r="I12" s="321">
        <f t="shared" si="2"/>
        <v>9169.26</v>
      </c>
      <c r="J12" s="322"/>
    </row>
    <row r="13" spans="1:10" s="308" customFormat="1" ht="12.75" customHeight="1" x14ac:dyDescent="0.2">
      <c r="A13" s="171" t="s">
        <v>492</v>
      </c>
      <c r="B13" s="153">
        <v>46062</v>
      </c>
      <c r="C13" s="401">
        <v>9500</v>
      </c>
      <c r="D13" s="126" t="s">
        <v>494</v>
      </c>
      <c r="E13" s="320"/>
      <c r="F13" s="320">
        <f t="shared" si="1"/>
        <v>10000</v>
      </c>
      <c r="G13" s="325">
        <v>852.4</v>
      </c>
      <c r="H13" s="321">
        <f t="shared" si="0"/>
        <v>1683.1399999999999</v>
      </c>
      <c r="I13" s="321">
        <f t="shared" si="2"/>
        <v>8316.86</v>
      </c>
      <c r="J13" s="322"/>
    </row>
    <row r="14" spans="1:10" s="308" customFormat="1" ht="12.75" customHeight="1" x14ac:dyDescent="0.2">
      <c r="A14" s="171" t="s">
        <v>550</v>
      </c>
      <c r="B14" s="153">
        <v>46090</v>
      </c>
      <c r="C14" s="155" t="s">
        <v>274</v>
      </c>
      <c r="D14" s="181" t="s">
        <v>551</v>
      </c>
      <c r="E14" s="320"/>
      <c r="F14" s="320">
        <f t="shared" si="1"/>
        <v>10000</v>
      </c>
      <c r="G14" s="325">
        <v>33.1</v>
      </c>
      <c r="H14" s="321">
        <f t="shared" si="0"/>
        <v>1716.2399999999998</v>
      </c>
      <c r="I14" s="321">
        <f t="shared" si="2"/>
        <v>8283.76</v>
      </c>
      <c r="J14" s="322"/>
    </row>
    <row r="15" spans="1:10" s="308" customFormat="1" ht="12.75" customHeight="1" x14ac:dyDescent="0.2">
      <c r="A15" s="171" t="s">
        <v>550</v>
      </c>
      <c r="B15" s="153">
        <v>46090</v>
      </c>
      <c r="C15" s="401">
        <v>9500</v>
      </c>
      <c r="D15" s="126" t="s">
        <v>552</v>
      </c>
      <c r="E15" s="320"/>
      <c r="F15" s="320">
        <f t="shared" si="1"/>
        <v>10000</v>
      </c>
      <c r="G15" s="325">
        <v>383.8</v>
      </c>
      <c r="H15" s="321">
        <f t="shared" si="0"/>
        <v>2100.04</v>
      </c>
      <c r="I15" s="321">
        <f t="shared" si="2"/>
        <v>7899.96</v>
      </c>
      <c r="J15" s="322"/>
    </row>
    <row r="16" spans="1:10" s="308" customFormat="1" ht="12.75" customHeight="1" x14ac:dyDescent="0.2">
      <c r="A16" s="171" t="s">
        <v>626</v>
      </c>
      <c r="B16" s="153">
        <v>46118</v>
      </c>
      <c r="C16" s="155" t="s">
        <v>274</v>
      </c>
      <c r="D16" s="181" t="s">
        <v>627</v>
      </c>
      <c r="E16" s="320"/>
      <c r="F16" s="320">
        <f t="shared" si="1"/>
        <v>10000</v>
      </c>
      <c r="G16" s="325">
        <v>273.26</v>
      </c>
      <c r="H16" s="321">
        <f t="shared" si="0"/>
        <v>2373.3000000000002</v>
      </c>
      <c r="I16" s="321">
        <f t="shared" si="2"/>
        <v>7626.7</v>
      </c>
      <c r="J16" s="322"/>
    </row>
    <row r="17" spans="1:10" s="308" customFormat="1" ht="12.75" customHeight="1" x14ac:dyDescent="0.2">
      <c r="A17" s="171" t="s">
        <v>626</v>
      </c>
      <c r="B17" s="153">
        <v>46118</v>
      </c>
      <c r="C17" s="401">
        <v>9500</v>
      </c>
      <c r="D17" s="126" t="s">
        <v>628</v>
      </c>
      <c r="E17" s="320"/>
      <c r="F17" s="320">
        <f t="shared" si="1"/>
        <v>10000</v>
      </c>
      <c r="G17" s="325">
        <v>2237.6</v>
      </c>
      <c r="H17" s="321">
        <f t="shared" si="0"/>
        <v>4610.8999999999996</v>
      </c>
      <c r="I17" s="321">
        <f t="shared" si="2"/>
        <v>5389.1</v>
      </c>
      <c r="J17" s="322"/>
    </row>
    <row r="18" spans="1:10" s="308" customFormat="1" ht="12.75" customHeight="1" x14ac:dyDescent="0.25">
      <c r="A18" s="171" t="s">
        <v>752</v>
      </c>
      <c r="B18" s="153">
        <v>46149</v>
      </c>
      <c r="C18" s="401">
        <v>9500</v>
      </c>
      <c r="D18" s="126" t="s">
        <v>754</v>
      </c>
      <c r="E18"/>
      <c r="F18" s="320">
        <f t="shared" si="1"/>
        <v>10000</v>
      </c>
      <c r="G18" s="325">
        <v>907.5</v>
      </c>
      <c r="H18" s="321">
        <f t="shared" si="0"/>
        <v>5518.4</v>
      </c>
      <c r="I18" s="321">
        <f t="shared" si="2"/>
        <v>4481.6000000000004</v>
      </c>
      <c r="J18" s="322"/>
    </row>
    <row r="19" spans="1:10" s="308" customFormat="1" ht="12.75" customHeight="1" x14ac:dyDescent="0.25">
      <c r="A19" s="171" t="s">
        <v>844</v>
      </c>
      <c r="B19" s="153">
        <v>46181</v>
      </c>
      <c r="C19" s="401">
        <v>9500</v>
      </c>
      <c r="D19" s="126" t="s">
        <v>846</v>
      </c>
      <c r="E19"/>
      <c r="F19" s="320">
        <f t="shared" si="1"/>
        <v>10000</v>
      </c>
      <c r="G19" s="325">
        <v>660</v>
      </c>
      <c r="H19" s="321">
        <f t="shared" si="0"/>
        <v>6178.4</v>
      </c>
      <c r="I19" s="321">
        <f t="shared" si="2"/>
        <v>3821.6000000000004</v>
      </c>
      <c r="J19" s="322"/>
    </row>
    <row r="20" spans="1:10" s="308" customFormat="1" ht="12.75" customHeight="1" x14ac:dyDescent="0.25">
      <c r="A20" s="171" t="s">
        <v>989</v>
      </c>
      <c r="B20" s="153">
        <v>46211</v>
      </c>
      <c r="C20" s="401">
        <v>9500</v>
      </c>
      <c r="D20" s="126" t="s">
        <v>993</v>
      </c>
      <c r="E20"/>
      <c r="F20" s="320">
        <f t="shared" si="1"/>
        <v>10000</v>
      </c>
      <c r="G20" s="325">
        <v>1127.5</v>
      </c>
      <c r="H20" s="321">
        <f t="shared" si="0"/>
        <v>7305.9</v>
      </c>
      <c r="I20" s="321">
        <f t="shared" si="2"/>
        <v>2694.1000000000004</v>
      </c>
      <c r="J20" s="322"/>
    </row>
    <row r="21" spans="1:10" s="308" customFormat="1" ht="12.75" customHeight="1" x14ac:dyDescent="0.25">
      <c r="A21" s="332"/>
      <c r="B21" s="318"/>
      <c r="C21" s="318"/>
      <c r="D21" s="363"/>
      <c r="E21" s="320"/>
      <c r="F21" s="320">
        <f t="shared" si="1"/>
        <v>10000</v>
      </c>
      <c r="G21" s="321"/>
      <c r="H21" s="321">
        <f t="shared" si="0"/>
        <v>7305.9</v>
      </c>
      <c r="I21" s="321">
        <f t="shared" si="2"/>
        <v>2694.1000000000004</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10000</v>
      </c>
      <c r="F23" s="184"/>
      <c r="G23" s="184">
        <f>SUM(G9:G22)</f>
        <v>7305.9</v>
      </c>
      <c r="H23" s="184"/>
      <c r="I23" s="184">
        <f>SUM(E23-G23)</f>
        <v>2694.1000000000004</v>
      </c>
      <c r="J23" s="322"/>
    </row>
    <row r="24" spans="1:10" s="308" customFormat="1" ht="12.75" customHeight="1" thickTop="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6D883-D30E-4CC9-BCA2-2A84D5E0368C}">
  <sheetPr codeName="Sheet89">
    <tabColor indexed="30"/>
    <pageSetUpPr fitToPage="1"/>
  </sheetPr>
  <dimension ref="A1:H23"/>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'#9515.00 PM TIME '!A1</f>
        <v>DPS District 1 Intel Remodel</v>
      </c>
      <c r="B1" s="86"/>
      <c r="C1" s="86"/>
      <c r="D1" s="86"/>
      <c r="E1" s="6"/>
      <c r="F1" s="6"/>
      <c r="G1" s="6"/>
      <c r="H1" s="132"/>
    </row>
    <row r="2" spans="1:8" ht="15.75" x14ac:dyDescent="0.25">
      <c r="A2" s="88" t="str">
        <f>'RECAP #9515.00'!B2</f>
        <v>Project # 9515.00</v>
      </c>
      <c r="B2" s="87"/>
      <c r="C2" s="87"/>
      <c r="D2" s="87"/>
      <c r="E2" s="6"/>
      <c r="F2" s="6"/>
      <c r="G2" s="6"/>
      <c r="H2" s="132"/>
    </row>
    <row r="3" spans="1:8" ht="15.75" x14ac:dyDescent="0.25">
      <c r="A3" s="89" t="str">
        <f>'RECAP #9515.00'!B3</f>
        <v>Program code 951500</v>
      </c>
      <c r="B3" s="87"/>
      <c r="C3" s="87"/>
      <c r="D3" s="87"/>
      <c r="E3" s="90" t="str">
        <f>'RECAP #9515.00'!E3</f>
        <v>Major Program 4E08</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#9515.00'!B6</f>
        <v>Project Manager - Brandon A</v>
      </c>
      <c r="B6" s="93"/>
      <c r="C6" s="93"/>
      <c r="D6" s="93"/>
      <c r="E6" s="90" t="s">
        <v>743</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27"/>
      <c r="B9" s="318"/>
      <c r="C9" s="317"/>
      <c r="D9" s="317"/>
      <c r="E9" s="364"/>
      <c r="F9" s="365"/>
      <c r="G9" s="366"/>
      <c r="H9" s="366">
        <f>G9</f>
        <v>0</v>
      </c>
    </row>
    <row r="10" spans="1:8" s="308" customFormat="1" ht="12.75" customHeight="1" x14ac:dyDescent="0.25">
      <c r="A10" s="361"/>
      <c r="B10" s="318"/>
      <c r="C10" s="328"/>
      <c r="D10" s="328"/>
      <c r="E10" s="363"/>
      <c r="F10" s="367"/>
      <c r="G10" s="366"/>
      <c r="H10" s="366">
        <f>H9+G10</f>
        <v>0</v>
      </c>
    </row>
    <row r="11" spans="1:8" s="308" customFormat="1" ht="12.75" customHeight="1" x14ac:dyDescent="0.25">
      <c r="A11" s="361"/>
      <c r="B11" s="318"/>
      <c r="C11" s="318"/>
      <c r="D11" s="318"/>
      <c r="E11" s="363"/>
      <c r="F11" s="367"/>
      <c r="G11" s="366"/>
      <c r="H11" s="366">
        <f t="shared" ref="H11:H20" si="0">H10+G11</f>
        <v>0</v>
      </c>
    </row>
    <row r="12" spans="1:8" s="308" customFormat="1" ht="12.75" customHeight="1" x14ac:dyDescent="0.25">
      <c r="A12" s="361" t="s">
        <v>3</v>
      </c>
      <c r="B12" s="318" t="s">
        <v>3</v>
      </c>
      <c r="C12" s="318"/>
      <c r="D12" s="318"/>
      <c r="E12" s="363" t="s">
        <v>3</v>
      </c>
      <c r="F12" s="367"/>
      <c r="G12" s="366"/>
      <c r="H12" s="366">
        <f t="shared" si="0"/>
        <v>0</v>
      </c>
    </row>
    <row r="13" spans="1:8" s="308" customFormat="1" ht="12.75" customHeight="1" x14ac:dyDescent="0.25">
      <c r="A13" s="361" t="s">
        <v>3</v>
      </c>
      <c r="B13" s="318" t="s">
        <v>3</v>
      </c>
      <c r="C13" s="318"/>
      <c r="D13" s="318"/>
      <c r="E13" s="363" t="s">
        <v>3</v>
      </c>
      <c r="F13" s="367"/>
      <c r="G13" s="366"/>
      <c r="H13" s="366">
        <f t="shared" si="0"/>
        <v>0</v>
      </c>
    </row>
    <row r="14" spans="1:8" s="308" customFormat="1" ht="12.75" customHeight="1" x14ac:dyDescent="0.25">
      <c r="A14" s="361"/>
      <c r="B14" s="318"/>
      <c r="C14" s="318"/>
      <c r="D14" s="318"/>
      <c r="E14" s="363"/>
      <c r="F14" s="367"/>
      <c r="G14" s="366"/>
      <c r="H14" s="366">
        <f t="shared" si="0"/>
        <v>0</v>
      </c>
    </row>
    <row r="15" spans="1:8" s="308" customFormat="1" ht="12.75" customHeight="1" x14ac:dyDescent="0.25">
      <c r="A15" s="361"/>
      <c r="B15" s="318"/>
      <c r="C15" s="318"/>
      <c r="D15" s="318"/>
      <c r="E15" s="368"/>
      <c r="F15" s="367"/>
      <c r="G15" s="366"/>
      <c r="H15" s="366">
        <f t="shared" si="0"/>
        <v>0</v>
      </c>
    </row>
    <row r="16" spans="1:8" s="308" customFormat="1" ht="12.75" customHeight="1" x14ac:dyDescent="0.25">
      <c r="A16" s="361"/>
      <c r="B16" s="318"/>
      <c r="C16" s="318"/>
      <c r="D16" s="318"/>
      <c r="E16" s="363"/>
      <c r="F16" s="367"/>
      <c r="G16" s="366"/>
      <c r="H16" s="366">
        <f t="shared" si="0"/>
        <v>0</v>
      </c>
    </row>
    <row r="17" spans="1:8" s="308" customFormat="1" ht="12.75" customHeight="1" x14ac:dyDescent="0.25">
      <c r="A17" s="317"/>
      <c r="B17" s="318"/>
      <c r="C17" s="318"/>
      <c r="D17" s="318"/>
      <c r="E17" s="363"/>
      <c r="F17" s="367"/>
      <c r="G17" s="366"/>
      <c r="H17" s="366">
        <f t="shared" si="0"/>
        <v>0</v>
      </c>
    </row>
    <row r="18" spans="1:8" s="308" customFormat="1" ht="12.75" customHeight="1" x14ac:dyDescent="0.25">
      <c r="A18" s="317"/>
      <c r="B18" s="318"/>
      <c r="C18" s="318"/>
      <c r="D18" s="318"/>
      <c r="E18" s="363"/>
      <c r="F18" s="367"/>
      <c r="G18" s="366"/>
      <c r="H18" s="366">
        <f t="shared" si="0"/>
        <v>0</v>
      </c>
    </row>
    <row r="19" spans="1:8" s="308" customFormat="1" ht="12.75" customHeight="1" x14ac:dyDescent="0.25">
      <c r="A19" s="317"/>
      <c r="B19" s="318"/>
      <c r="C19" s="318"/>
      <c r="D19" s="318"/>
      <c r="E19" s="363"/>
      <c r="F19" s="367"/>
      <c r="G19" s="366"/>
      <c r="H19" s="366">
        <f t="shared" si="0"/>
        <v>0</v>
      </c>
    </row>
    <row r="20" spans="1:8" s="308" customFormat="1" ht="12.75" customHeight="1" x14ac:dyDescent="0.25">
      <c r="A20" s="317"/>
      <c r="B20" s="318"/>
      <c r="C20" s="318"/>
      <c r="D20" s="318"/>
      <c r="E20" s="363"/>
      <c r="F20" s="367"/>
      <c r="G20" s="366"/>
      <c r="H20" s="366">
        <f t="shared" si="0"/>
        <v>0</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0</v>
      </c>
      <c r="H22" s="371"/>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8987-E042-45FC-8F7C-6ADF99E8232C}">
  <sheetPr codeName="Sheet90">
    <pageSetUpPr fitToPage="1"/>
  </sheetPr>
  <dimension ref="A1:G51"/>
  <sheetViews>
    <sheetView topLeftCell="A3"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554</v>
      </c>
      <c r="C1" s="86"/>
      <c r="D1" s="6"/>
      <c r="E1" s="6"/>
      <c r="F1" s="6"/>
      <c r="G1" s="6"/>
    </row>
    <row r="2" spans="1:7" ht="15.75" x14ac:dyDescent="0.25">
      <c r="A2" s="84"/>
      <c r="B2" s="88" t="s">
        <v>555</v>
      </c>
      <c r="C2" s="87"/>
      <c r="D2" s="6"/>
      <c r="E2" s="6"/>
      <c r="F2" s="6"/>
      <c r="G2" s="6"/>
    </row>
    <row r="3" spans="1:7" ht="15.75" x14ac:dyDescent="0.25">
      <c r="A3" s="84"/>
      <c r="B3" s="89" t="s">
        <v>556</v>
      </c>
      <c r="C3" s="87"/>
      <c r="D3" s="6"/>
      <c r="E3" s="90" t="s">
        <v>557</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111</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'#9516.00 Funds Rec''d'!H24</f>
        <v>185000</v>
      </c>
      <c r="D8" s="102"/>
      <c r="E8" s="102"/>
      <c r="F8" s="102"/>
      <c r="G8" s="103"/>
    </row>
    <row r="9" spans="1:7" x14ac:dyDescent="0.25">
      <c r="A9" s="84"/>
      <c r="B9" s="87"/>
      <c r="C9" s="104"/>
      <c r="D9" s="105"/>
      <c r="E9" s="105"/>
      <c r="F9" s="105"/>
      <c r="G9" s="103"/>
    </row>
    <row r="10" spans="1:7" x14ac:dyDescent="0.25">
      <c r="A10" s="84"/>
      <c r="B10" s="87" t="s">
        <v>197</v>
      </c>
      <c r="C10" s="104"/>
      <c r="D10" s="102">
        <f>'#9516.00 DCI Group'!D23</f>
        <v>22487.1</v>
      </c>
      <c r="E10" s="102">
        <f>'#9516.00 DCI Group'!F23</f>
        <v>5264.96</v>
      </c>
      <c r="F10" s="102">
        <f>'#9516.00 DCI Group'!H23</f>
        <v>17222.14</v>
      </c>
      <c r="G10" s="103"/>
    </row>
    <row r="11" spans="1:7" x14ac:dyDescent="0.25">
      <c r="A11" s="84"/>
      <c r="B11" s="87" t="s">
        <v>41</v>
      </c>
      <c r="C11" s="104"/>
      <c r="D11" s="102">
        <f>'#9516.00 PM TIME'!E23</f>
        <v>3853.21</v>
      </c>
      <c r="E11" s="102">
        <f>'#9516.00 PM TIME'!G23</f>
        <v>3853.21</v>
      </c>
      <c r="F11" s="102">
        <f>'#9516.00 PM TIME'!I23</f>
        <v>0</v>
      </c>
      <c r="G11" s="103"/>
    </row>
    <row r="12" spans="1:7" x14ac:dyDescent="0.25">
      <c r="A12" s="84"/>
      <c r="B12" s="87" t="s">
        <v>42</v>
      </c>
      <c r="C12" s="105"/>
      <c r="D12" s="106">
        <f>'#9516.00 Misc'!G22</f>
        <v>4821.25</v>
      </c>
      <c r="E12" s="106">
        <f>'#9516.00 Misc'!G22</f>
        <v>4821.25</v>
      </c>
      <c r="F12" s="102">
        <f>D12-E12</f>
        <v>0</v>
      </c>
      <c r="G12" s="103"/>
    </row>
    <row r="13" spans="1:7" x14ac:dyDescent="0.25">
      <c r="A13" s="84"/>
      <c r="B13" s="87" t="s">
        <v>805</v>
      </c>
      <c r="C13" s="105"/>
      <c r="D13" s="106">
        <f>'#9516.00 Substance LLC'!D23</f>
        <v>139350</v>
      </c>
      <c r="E13" s="106">
        <f>'#9516.00 Substance LLC'!F23</f>
        <v>36870</v>
      </c>
      <c r="F13" s="102">
        <f>'#9516.00 Substance LLC'!H23</f>
        <v>102480</v>
      </c>
      <c r="G13" s="103"/>
    </row>
    <row r="14" spans="1:7" ht="13.35" customHeight="1" x14ac:dyDescent="0.25">
      <c r="A14" s="84"/>
      <c r="B14" s="87"/>
      <c r="C14" s="105"/>
      <c r="D14" s="106"/>
      <c r="E14" s="106"/>
      <c r="F14" s="102"/>
      <c r="G14" s="103"/>
    </row>
    <row r="15" spans="1:7" ht="24" customHeight="1" thickBot="1" x14ac:dyDescent="0.3">
      <c r="A15" s="107"/>
      <c r="B15" s="108" t="s">
        <v>43</v>
      </c>
      <c r="C15" s="109">
        <f>SUM(C8:C14)</f>
        <v>185000</v>
      </c>
      <c r="D15" s="109">
        <f>SUM(D8:D14)</f>
        <v>170511.56</v>
      </c>
      <c r="E15" s="109">
        <f>SUM(E8:E14)</f>
        <v>50809.42</v>
      </c>
      <c r="F15" s="109">
        <f>SUM(D15-E15)</f>
        <v>119702.14</v>
      </c>
      <c r="G15" s="109">
        <f>C8-D15</f>
        <v>14488.440000000002</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60F4B-DC1A-4FE5-B9F9-1F255F80C7C7}">
  <sheetPr codeName="Sheet6">
    <pageSetUpPr fitToPage="1"/>
  </sheetPr>
  <dimension ref="A1:H36"/>
  <sheetViews>
    <sheetView topLeftCell="A3" zoomScaleNormal="100" workbookViewId="0">
      <selection activeCell="B25" sqref="B25"/>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7.140625" customWidth="1"/>
    <col min="6" max="6" width="13.710937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'RECAP #9279.50'!B1</f>
        <v>HHS WRC Campus Utility Decentralization Phase 5</v>
      </c>
      <c r="B1" s="86"/>
      <c r="C1" s="86"/>
      <c r="D1" s="86"/>
      <c r="E1" s="6"/>
      <c r="F1" s="6"/>
      <c r="G1" s="6"/>
      <c r="H1" s="132"/>
    </row>
    <row r="2" spans="1:8" ht="15.75" x14ac:dyDescent="0.25">
      <c r="A2" s="88" t="str">
        <f>'RECAP #9279.50'!B2</f>
        <v>Project # 9279.50</v>
      </c>
      <c r="B2" s="87"/>
      <c r="C2" s="87"/>
      <c r="D2" s="87"/>
      <c r="E2" s="6"/>
      <c r="F2" s="6"/>
      <c r="G2" s="6"/>
      <c r="H2" s="132"/>
    </row>
    <row r="3" spans="1:8" ht="15.75" x14ac:dyDescent="0.25">
      <c r="A3" s="89" t="str">
        <f>'RECAP #9279.50'!B3</f>
        <v>Program code 927950</v>
      </c>
      <c r="B3" s="87"/>
      <c r="C3" s="87"/>
      <c r="D3" s="87"/>
      <c r="E3" s="90" t="str">
        <f>'RECAP #9279.50'!E3</f>
        <v>Major Program 4B02</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#9279.50'!B6</f>
        <v>Project Manager - Jennifer K.</v>
      </c>
      <c r="B6" s="93"/>
      <c r="C6" s="93"/>
      <c r="D6" s="93"/>
      <c r="E6" s="90" t="s">
        <v>319</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27" t="s">
        <v>520</v>
      </c>
      <c r="B9" s="318">
        <v>46072</v>
      </c>
      <c r="C9" s="361" t="s">
        <v>209</v>
      </c>
      <c r="D9" s="361" t="s">
        <v>372</v>
      </c>
      <c r="E9" s="363" t="s">
        <v>522</v>
      </c>
      <c r="F9" s="365" t="s">
        <v>521</v>
      </c>
      <c r="G9" s="325">
        <v>63.74</v>
      </c>
      <c r="H9" s="366">
        <f>G9</f>
        <v>63.74</v>
      </c>
    </row>
    <row r="10" spans="1:8" s="308" customFormat="1" ht="12.75" customHeight="1" x14ac:dyDescent="0.25">
      <c r="A10" s="327" t="s">
        <v>869</v>
      </c>
      <c r="B10" s="318">
        <v>46190</v>
      </c>
      <c r="C10" s="361" t="s">
        <v>209</v>
      </c>
      <c r="D10" s="361" t="s">
        <v>372</v>
      </c>
      <c r="E10" s="363" t="s">
        <v>522</v>
      </c>
      <c r="F10" s="407" t="s">
        <v>870</v>
      </c>
      <c r="G10" s="325">
        <v>74.739999999999995</v>
      </c>
      <c r="H10" s="366">
        <f>H9+G10</f>
        <v>138.47999999999999</v>
      </c>
    </row>
    <row r="11" spans="1:8" s="308" customFormat="1" ht="12.75" customHeight="1" x14ac:dyDescent="0.25">
      <c r="A11" s="364" t="s">
        <v>895</v>
      </c>
      <c r="B11" s="318">
        <v>46195</v>
      </c>
      <c r="C11" s="361" t="s">
        <v>209</v>
      </c>
      <c r="D11" s="361" t="s">
        <v>372</v>
      </c>
      <c r="E11" s="363" t="s">
        <v>522</v>
      </c>
      <c r="F11" s="407" t="s">
        <v>896</v>
      </c>
      <c r="G11" s="325">
        <v>487.8</v>
      </c>
      <c r="H11" s="366">
        <f t="shared" ref="H11:H20" si="0">H10+G11</f>
        <v>626.28</v>
      </c>
    </row>
    <row r="12" spans="1:8" s="308" customFormat="1" ht="12.75" customHeight="1" x14ac:dyDescent="0.25">
      <c r="A12" s="361" t="s">
        <v>3</v>
      </c>
      <c r="B12" s="318" t="s">
        <v>3</v>
      </c>
      <c r="C12" s="318"/>
      <c r="D12" s="318"/>
      <c r="E12" s="363" t="s">
        <v>3</v>
      </c>
      <c r="F12" s="367"/>
      <c r="G12" s="366"/>
      <c r="H12" s="366">
        <f t="shared" si="0"/>
        <v>626.28</v>
      </c>
    </row>
    <row r="13" spans="1:8" s="308" customFormat="1" ht="12.75" customHeight="1" x14ac:dyDescent="0.25">
      <c r="A13" s="361" t="s">
        <v>3</v>
      </c>
      <c r="B13" s="318" t="s">
        <v>3</v>
      </c>
      <c r="C13" s="318"/>
      <c r="D13" s="318"/>
      <c r="E13" s="363" t="s">
        <v>3</v>
      </c>
      <c r="F13" s="367"/>
      <c r="G13" s="366"/>
      <c r="H13" s="366">
        <f t="shared" si="0"/>
        <v>626.28</v>
      </c>
    </row>
    <row r="14" spans="1:8" s="308" customFormat="1" ht="12.75" customHeight="1" x14ac:dyDescent="0.25">
      <c r="A14" s="361"/>
      <c r="B14" s="318"/>
      <c r="C14" s="318"/>
      <c r="D14" s="318"/>
      <c r="E14" s="363"/>
      <c r="F14" s="367"/>
      <c r="G14" s="366"/>
      <c r="H14" s="366">
        <f t="shared" si="0"/>
        <v>626.28</v>
      </c>
    </row>
    <row r="15" spans="1:8" s="308" customFormat="1" ht="12.75" customHeight="1" x14ac:dyDescent="0.25">
      <c r="A15" s="361"/>
      <c r="B15" s="318"/>
      <c r="C15" s="318"/>
      <c r="D15" s="318"/>
      <c r="E15" s="368"/>
      <c r="F15" s="367"/>
      <c r="G15" s="366"/>
      <c r="H15" s="366">
        <f t="shared" si="0"/>
        <v>626.28</v>
      </c>
    </row>
    <row r="16" spans="1:8" s="308" customFormat="1" ht="12.75" customHeight="1" x14ac:dyDescent="0.25">
      <c r="A16" s="361"/>
      <c r="B16" s="318"/>
      <c r="C16" s="318"/>
      <c r="D16" s="318"/>
      <c r="E16" s="363"/>
      <c r="F16" s="367"/>
      <c r="G16" s="366"/>
      <c r="H16" s="366">
        <f t="shared" si="0"/>
        <v>626.28</v>
      </c>
    </row>
    <row r="17" spans="1:8" s="308" customFormat="1" ht="12.75" customHeight="1" x14ac:dyDescent="0.25">
      <c r="A17" s="317"/>
      <c r="B17" s="318"/>
      <c r="C17" s="318"/>
      <c r="D17" s="318"/>
      <c r="E17" s="363"/>
      <c r="F17" s="367"/>
      <c r="G17" s="366"/>
      <c r="H17" s="366">
        <f t="shared" si="0"/>
        <v>626.28</v>
      </c>
    </row>
    <row r="18" spans="1:8" s="308" customFormat="1" ht="12.75" customHeight="1" x14ac:dyDescent="0.25">
      <c r="A18" s="317"/>
      <c r="B18" s="318"/>
      <c r="C18" s="318"/>
      <c r="D18" s="318"/>
      <c r="E18" s="363"/>
      <c r="F18" s="367"/>
      <c r="G18" s="366"/>
      <c r="H18" s="366">
        <f t="shared" si="0"/>
        <v>626.28</v>
      </c>
    </row>
    <row r="19" spans="1:8" s="308" customFormat="1" ht="12.75" customHeight="1" x14ac:dyDescent="0.25">
      <c r="A19" s="317"/>
      <c r="B19" s="318"/>
      <c r="C19" s="318"/>
      <c r="D19" s="318"/>
      <c r="E19" s="363"/>
      <c r="F19" s="367"/>
      <c r="G19" s="366"/>
      <c r="H19" s="366">
        <f t="shared" si="0"/>
        <v>626.28</v>
      </c>
    </row>
    <row r="20" spans="1:8" s="308" customFormat="1" ht="12.75" customHeight="1" x14ac:dyDescent="0.25">
      <c r="A20" s="317"/>
      <c r="B20" s="318"/>
      <c r="C20" s="318"/>
      <c r="D20" s="318"/>
      <c r="E20" s="363"/>
      <c r="F20" s="367"/>
      <c r="G20" s="366"/>
      <c r="H20" s="366">
        <f t="shared" si="0"/>
        <v>626.28</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626.28</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D02AB-D444-4E88-9D34-831789E07F17}">
  <sheetPr codeName="Sheet91">
    <pageSetUpPr fitToPage="1"/>
  </sheetPr>
  <dimension ref="A1:H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#9516.00'!B1</f>
        <v>IDR State of Iowa Building Renovation</v>
      </c>
      <c r="B1" s="7"/>
      <c r="C1" s="2"/>
      <c r="D1" s="3"/>
      <c r="E1" s="3"/>
      <c r="F1" s="7"/>
      <c r="G1" s="7"/>
      <c r="H1" s="7"/>
    </row>
    <row r="2" spans="1:8" x14ac:dyDescent="0.25">
      <c r="A2" s="112" t="str">
        <f>'RECAP #9516.00'!B2</f>
        <v>Project # 9516.00</v>
      </c>
      <c r="B2" s="7"/>
      <c r="C2" s="113" t="s">
        <v>3</v>
      </c>
      <c r="D2" s="1"/>
      <c r="E2" s="1"/>
      <c r="F2" s="7"/>
      <c r="G2" s="7"/>
      <c r="H2" s="7"/>
    </row>
    <row r="3" spans="1:8" x14ac:dyDescent="0.25">
      <c r="A3" s="114" t="str">
        <f>'RECAP #9516.00'!B3</f>
        <v>Program code 951600</v>
      </c>
      <c r="B3" s="7"/>
      <c r="C3" s="113" t="s">
        <v>3</v>
      </c>
      <c r="D3" s="115" t="str">
        <f>'RECAP #9516.00'!E3</f>
        <v>Major Program 4E19</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#9516.00'!B6</f>
        <v>Project Manager - Jennie E</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672</v>
      </c>
      <c r="F9" s="127">
        <v>46128</v>
      </c>
      <c r="G9" s="405">
        <v>185000</v>
      </c>
      <c r="H9" s="405">
        <v>185000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185000</v>
      </c>
      <c r="H24" s="131">
        <f>SUM(H9:H22)</f>
        <v>185000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A720-63DC-47B2-A938-46716C6E1315}">
  <sheetPr codeName="Sheet93">
    <pageSetUpPr fitToPage="1"/>
  </sheetPr>
  <dimension ref="A1:J182"/>
  <sheetViews>
    <sheetView topLeftCell="A3" zoomScaleNormal="100" workbookViewId="0">
      <selection activeCell="D15" sqref="D15"/>
    </sheetView>
  </sheetViews>
  <sheetFormatPr defaultColWidth="11.42578125" defaultRowHeight="15" customHeight="1" x14ac:dyDescent="0.25"/>
  <cols>
    <col min="1" max="1" width="24.5703125" customWidth="1"/>
    <col min="2" max="3" width="9.42578125" customWidth="1"/>
    <col min="4" max="4" width="42.42578125" customWidth="1"/>
    <col min="5" max="5" width="13.285156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#9516.00'!B1</f>
        <v>IDR State of Iowa Building Renovation</v>
      </c>
      <c r="B1" s="86"/>
      <c r="C1" s="86"/>
      <c r="D1" s="6"/>
      <c r="E1" s="6"/>
      <c r="F1" s="6"/>
      <c r="G1" s="132"/>
      <c r="H1" s="132"/>
      <c r="I1" s="133"/>
      <c r="J1" s="133"/>
    </row>
    <row r="2" spans="1:10" ht="15.75" x14ac:dyDescent="0.25">
      <c r="A2" s="88" t="str">
        <f>'RECAP #9516.00'!B2</f>
        <v>Project # 9516.00</v>
      </c>
      <c r="B2" s="87"/>
      <c r="C2" s="87"/>
      <c r="D2" s="6"/>
      <c r="E2" s="6"/>
      <c r="F2" s="6"/>
      <c r="G2" s="132"/>
      <c r="H2" s="132"/>
      <c r="I2" s="133"/>
      <c r="J2" s="133"/>
    </row>
    <row r="3" spans="1:10" ht="15.75" x14ac:dyDescent="0.25">
      <c r="A3" s="89" t="str">
        <f>'RECAP #9516.00'!B3</f>
        <v>Program code 951600</v>
      </c>
      <c r="B3" s="87"/>
      <c r="C3" s="87"/>
      <c r="D3" s="6"/>
      <c r="E3" s="90" t="str">
        <f>'RECAP #9516.00'!E3</f>
        <v>Major Program 4E19</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#9516.00'!B6</f>
        <v>Project Manager - Jennie E</v>
      </c>
      <c r="B6" s="93"/>
      <c r="C6" s="93"/>
      <c r="D6" s="143"/>
      <c r="E6" s="140" t="s">
        <v>558</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1198.23+621.42+1975.88+57.68</f>
        <v>3853.21</v>
      </c>
      <c r="F9" s="320">
        <f>E9</f>
        <v>3853.21</v>
      </c>
      <c r="G9" s="321"/>
      <c r="H9" s="321"/>
      <c r="I9" s="321">
        <f>F9</f>
        <v>3853.21</v>
      </c>
      <c r="J9" s="322"/>
    </row>
    <row r="10" spans="1:10" s="308" customFormat="1" ht="12.75" customHeight="1" x14ac:dyDescent="0.2">
      <c r="A10" s="171" t="s">
        <v>752</v>
      </c>
      <c r="B10" s="153">
        <v>46149</v>
      </c>
      <c r="C10" s="155" t="s">
        <v>274</v>
      </c>
      <c r="D10" s="181" t="s">
        <v>753</v>
      </c>
      <c r="E10" s="320"/>
      <c r="F10" s="320">
        <f>E10+F9</f>
        <v>3853.21</v>
      </c>
      <c r="G10" s="325">
        <v>104.43</v>
      </c>
      <c r="H10" s="321">
        <f t="shared" ref="H10:H21" si="0">H9+G10</f>
        <v>104.43</v>
      </c>
      <c r="I10" s="321">
        <f>I9-G10+E10</f>
        <v>3748.78</v>
      </c>
      <c r="J10" s="322"/>
    </row>
    <row r="11" spans="1:10" s="308" customFormat="1" ht="12.75" customHeight="1" x14ac:dyDescent="0.2">
      <c r="A11" s="171" t="s">
        <v>752</v>
      </c>
      <c r="B11" s="153">
        <v>46149</v>
      </c>
      <c r="C11" s="401">
        <v>9500</v>
      </c>
      <c r="D11" s="126" t="s">
        <v>754</v>
      </c>
      <c r="E11" s="320"/>
      <c r="F11" s="320">
        <f t="shared" ref="F11:F21" si="1">E11+F10</f>
        <v>3853.21</v>
      </c>
      <c r="G11" s="325">
        <v>1093.8</v>
      </c>
      <c r="H11" s="321">
        <f t="shared" si="0"/>
        <v>1198.23</v>
      </c>
      <c r="I11" s="321">
        <f t="shared" ref="I11:I21" si="2">I10-G11+E11</f>
        <v>2654.9800000000005</v>
      </c>
      <c r="J11" s="322"/>
    </row>
    <row r="12" spans="1:10" s="308" customFormat="1" ht="12.75" customHeight="1" x14ac:dyDescent="0.2">
      <c r="A12" s="171" t="s">
        <v>844</v>
      </c>
      <c r="B12" s="153">
        <v>46181</v>
      </c>
      <c r="C12" s="155" t="s">
        <v>274</v>
      </c>
      <c r="D12" s="181" t="s">
        <v>845</v>
      </c>
      <c r="E12" s="320"/>
      <c r="F12" s="320">
        <f t="shared" si="1"/>
        <v>3853.21</v>
      </c>
      <c r="G12" s="325">
        <v>46.92</v>
      </c>
      <c r="H12" s="321">
        <f t="shared" si="0"/>
        <v>1245.1500000000001</v>
      </c>
      <c r="I12" s="321">
        <f t="shared" si="2"/>
        <v>2608.0600000000004</v>
      </c>
      <c r="J12" s="322"/>
    </row>
    <row r="13" spans="1:10" s="308" customFormat="1" ht="12.75" customHeight="1" x14ac:dyDescent="0.2">
      <c r="A13" s="171" t="s">
        <v>844</v>
      </c>
      <c r="B13" s="153">
        <v>46181</v>
      </c>
      <c r="C13" s="401">
        <v>9500</v>
      </c>
      <c r="D13" s="126" t="s">
        <v>846</v>
      </c>
      <c r="E13" s="320"/>
      <c r="F13" s="320">
        <f t="shared" si="1"/>
        <v>3853.21</v>
      </c>
      <c r="G13" s="325">
        <v>574.5</v>
      </c>
      <c r="H13" s="321">
        <f t="shared" si="0"/>
        <v>1819.65</v>
      </c>
      <c r="I13" s="321">
        <f t="shared" si="2"/>
        <v>2033.5600000000004</v>
      </c>
      <c r="J13" s="322"/>
    </row>
    <row r="14" spans="1:10" s="308" customFormat="1" ht="12.75" customHeight="1" x14ac:dyDescent="0.2">
      <c r="A14" s="171" t="s">
        <v>989</v>
      </c>
      <c r="B14" s="153">
        <v>46211</v>
      </c>
      <c r="C14" s="155" t="s">
        <v>274</v>
      </c>
      <c r="D14" s="181" t="s">
        <v>992</v>
      </c>
      <c r="E14" s="320"/>
      <c r="F14" s="320">
        <f t="shared" si="1"/>
        <v>3853.21</v>
      </c>
      <c r="G14" s="325">
        <v>144.68</v>
      </c>
      <c r="H14" s="321">
        <f t="shared" si="0"/>
        <v>1964.3300000000002</v>
      </c>
      <c r="I14" s="321">
        <f t="shared" si="2"/>
        <v>1888.8800000000003</v>
      </c>
      <c r="J14" s="322"/>
    </row>
    <row r="15" spans="1:10" s="308" customFormat="1" ht="12.75" customHeight="1" x14ac:dyDescent="0.2">
      <c r="A15" s="171" t="s">
        <v>989</v>
      </c>
      <c r="B15" s="153">
        <v>46211</v>
      </c>
      <c r="C15" s="401">
        <v>9500</v>
      </c>
      <c r="D15" s="126" t="s">
        <v>993</v>
      </c>
      <c r="E15" s="320"/>
      <c r="F15" s="320">
        <f t="shared" si="1"/>
        <v>3853.21</v>
      </c>
      <c r="G15" s="325">
        <v>1831.2</v>
      </c>
      <c r="H15" s="321">
        <f t="shared" si="0"/>
        <v>3795.53</v>
      </c>
      <c r="I15" s="321">
        <f t="shared" si="2"/>
        <v>57.680000000000291</v>
      </c>
      <c r="J15" s="322"/>
    </row>
    <row r="16" spans="1:10" s="308" customFormat="1" ht="12.75" customHeight="1" x14ac:dyDescent="0.2">
      <c r="A16" s="171" t="s">
        <v>1036</v>
      </c>
      <c r="B16" s="153">
        <v>46218</v>
      </c>
      <c r="C16" s="155" t="s">
        <v>274</v>
      </c>
      <c r="D16" s="181" t="s">
        <v>1037</v>
      </c>
      <c r="E16" s="320"/>
      <c r="F16" s="320">
        <f t="shared" si="1"/>
        <v>3853.21</v>
      </c>
      <c r="G16" s="325">
        <v>57.68</v>
      </c>
      <c r="H16" s="321">
        <f t="shared" si="0"/>
        <v>3853.21</v>
      </c>
      <c r="I16" s="321">
        <f t="shared" si="2"/>
        <v>2.9132252166164108E-13</v>
      </c>
      <c r="J16" s="322"/>
    </row>
    <row r="17" spans="1:10" s="308" customFormat="1" ht="12.75" customHeight="1" x14ac:dyDescent="0.25">
      <c r="A17" s="332"/>
      <c r="B17" s="318"/>
      <c r="C17" s="318"/>
      <c r="D17" s="328"/>
      <c r="E17" s="320"/>
      <c r="F17" s="320">
        <f t="shared" si="1"/>
        <v>3853.21</v>
      </c>
      <c r="G17" s="326"/>
      <c r="H17" s="321">
        <f t="shared" si="0"/>
        <v>3853.21</v>
      </c>
      <c r="I17" s="321">
        <f t="shared" si="2"/>
        <v>2.9132252166164108E-13</v>
      </c>
      <c r="J17" s="322"/>
    </row>
    <row r="18" spans="1:10" s="308" customFormat="1" ht="12.75" customHeight="1" x14ac:dyDescent="0.25">
      <c r="A18" s="332"/>
      <c r="B18" s="318"/>
      <c r="C18" s="318"/>
      <c r="D18" s="328"/>
      <c r="E18" s="320"/>
      <c r="F18" s="320">
        <f t="shared" si="1"/>
        <v>3853.21</v>
      </c>
      <c r="G18" s="326"/>
      <c r="H18" s="321">
        <f t="shared" si="0"/>
        <v>3853.21</v>
      </c>
      <c r="I18" s="321">
        <f t="shared" si="2"/>
        <v>2.9132252166164108E-13</v>
      </c>
      <c r="J18" s="322"/>
    </row>
    <row r="19" spans="1:10" s="308" customFormat="1" ht="12.75" customHeight="1" x14ac:dyDescent="0.25">
      <c r="A19" s="332"/>
      <c r="B19" s="318"/>
      <c r="C19" s="318"/>
      <c r="D19" s="328"/>
      <c r="E19" s="320"/>
      <c r="F19" s="320">
        <f t="shared" si="1"/>
        <v>3853.21</v>
      </c>
      <c r="G19" s="321"/>
      <c r="H19" s="321">
        <f t="shared" si="0"/>
        <v>3853.21</v>
      </c>
      <c r="I19" s="321">
        <f t="shared" si="2"/>
        <v>2.9132252166164108E-13</v>
      </c>
      <c r="J19" s="322"/>
    </row>
    <row r="20" spans="1:10" s="308" customFormat="1" ht="12.75" customHeight="1" x14ac:dyDescent="0.25">
      <c r="A20" s="332"/>
      <c r="B20" s="318"/>
      <c r="C20" s="318"/>
      <c r="D20" s="328"/>
      <c r="E20" s="320"/>
      <c r="F20" s="320">
        <f t="shared" si="1"/>
        <v>3853.21</v>
      </c>
      <c r="G20" s="321"/>
      <c r="H20" s="321">
        <f t="shared" si="0"/>
        <v>3853.21</v>
      </c>
      <c r="I20" s="321">
        <f t="shared" si="2"/>
        <v>2.9132252166164108E-13</v>
      </c>
      <c r="J20" s="322"/>
    </row>
    <row r="21" spans="1:10" s="308" customFormat="1" ht="12.75" customHeight="1" x14ac:dyDescent="0.25">
      <c r="A21" s="332"/>
      <c r="B21" s="318"/>
      <c r="C21" s="318"/>
      <c r="D21" s="363"/>
      <c r="E21" s="320"/>
      <c r="F21" s="320">
        <f t="shared" si="1"/>
        <v>3853.21</v>
      </c>
      <c r="G21" s="321"/>
      <c r="H21" s="321">
        <f t="shared" si="0"/>
        <v>3853.21</v>
      </c>
      <c r="I21" s="321">
        <f t="shared" si="2"/>
        <v>2.9132252166164108E-13</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3853.21</v>
      </c>
      <c r="F23" s="184"/>
      <c r="G23" s="184">
        <f>SUM(G9:G22)</f>
        <v>3853.21</v>
      </c>
      <c r="H23" s="184"/>
      <c r="I23" s="184">
        <f>SUM(E23-G23)</f>
        <v>0</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6927-E90A-4025-96E6-BAB590F9E2CA}">
  <sheetPr codeName="Sheet94">
    <pageSetUpPr fitToPage="1"/>
  </sheetPr>
  <dimension ref="A1:H23"/>
  <sheetViews>
    <sheetView zoomScaleNormal="100" workbookViewId="0">
      <selection activeCell="F9" sqref="F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2.140625" customWidth="1"/>
    <col min="6" max="6" width="19.285156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'#9516.00 PM TIME'!A1</f>
        <v>IDR State of Iowa Building Renovation</v>
      </c>
      <c r="B1" s="86"/>
      <c r="C1" s="86"/>
      <c r="D1" s="86"/>
      <c r="E1" s="6"/>
      <c r="F1" s="6"/>
      <c r="G1" s="6"/>
      <c r="H1" s="132"/>
    </row>
    <row r="2" spans="1:8" ht="15.75" x14ac:dyDescent="0.25">
      <c r="A2" s="88" t="str">
        <f>'RECAP #9516.00'!B2</f>
        <v>Project # 9516.00</v>
      </c>
      <c r="B2" s="87"/>
      <c r="C2" s="87"/>
      <c r="D2" s="87"/>
      <c r="E2" s="6"/>
      <c r="F2" s="6"/>
      <c r="G2" s="6"/>
      <c r="H2" s="132"/>
    </row>
    <row r="3" spans="1:8" ht="15.75" x14ac:dyDescent="0.25">
      <c r="A3" s="89" t="str">
        <f>'RECAP #9516.00'!B3</f>
        <v>Program code 951600</v>
      </c>
      <c r="B3" s="87"/>
      <c r="C3" s="87"/>
      <c r="D3" s="87"/>
      <c r="E3" s="90" t="str">
        <f>'RECAP #9516.00'!E3</f>
        <v>Major Program 4E19</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#9516.00'!B6</f>
        <v>Project Manager - Jennie E</v>
      </c>
      <c r="B6" s="93"/>
      <c r="C6" s="93"/>
      <c r="D6" s="93"/>
      <c r="E6" s="90" t="s">
        <v>286</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71" t="s">
        <v>989</v>
      </c>
      <c r="B9" s="153">
        <v>46211</v>
      </c>
      <c r="C9" s="155" t="s">
        <v>274</v>
      </c>
      <c r="E9" s="126" t="s">
        <v>990</v>
      </c>
      <c r="F9" s="126" t="s">
        <v>991</v>
      </c>
      <c r="G9" s="325">
        <v>4821.25</v>
      </c>
      <c r="H9" s="162">
        <f>G9</f>
        <v>4821.25</v>
      </c>
    </row>
    <row r="10" spans="1:8" x14ac:dyDescent="0.25">
      <c r="A10" s="165"/>
      <c r="B10" s="153"/>
      <c r="C10" s="160"/>
      <c r="D10" s="160"/>
      <c r="E10" s="141"/>
      <c r="F10" s="106"/>
      <c r="G10" s="162"/>
      <c r="H10" s="162">
        <f>H9+G10</f>
        <v>4821.25</v>
      </c>
    </row>
    <row r="11" spans="1:8" x14ac:dyDescent="0.25">
      <c r="A11" s="165"/>
      <c r="B11" s="153"/>
      <c r="C11" s="153"/>
      <c r="D11" s="153"/>
      <c r="E11" s="141"/>
      <c r="F11" s="106"/>
      <c r="G11" s="162"/>
      <c r="H11" s="162">
        <f t="shared" ref="H11:H20" si="0">H10+G11</f>
        <v>4821.25</v>
      </c>
    </row>
    <row r="12" spans="1:8" x14ac:dyDescent="0.25">
      <c r="A12" s="165" t="s">
        <v>3</v>
      </c>
      <c r="B12" s="153" t="s">
        <v>3</v>
      </c>
      <c r="C12" s="153"/>
      <c r="D12" s="153"/>
      <c r="E12" s="141" t="s">
        <v>3</v>
      </c>
      <c r="F12" s="106"/>
      <c r="G12" s="162"/>
      <c r="H12" s="162">
        <f t="shared" si="0"/>
        <v>4821.25</v>
      </c>
    </row>
    <row r="13" spans="1:8" x14ac:dyDescent="0.25">
      <c r="A13" s="165" t="s">
        <v>3</v>
      </c>
      <c r="B13" s="153" t="s">
        <v>3</v>
      </c>
      <c r="C13" s="153"/>
      <c r="D13" s="153"/>
      <c r="E13" s="141" t="s">
        <v>3</v>
      </c>
      <c r="F13" s="106"/>
      <c r="G13" s="162"/>
      <c r="H13" s="162">
        <f t="shared" si="0"/>
        <v>4821.25</v>
      </c>
    </row>
    <row r="14" spans="1:8" x14ac:dyDescent="0.25">
      <c r="A14" s="165"/>
      <c r="B14" s="153"/>
      <c r="C14" s="153"/>
      <c r="D14" s="153"/>
      <c r="E14" s="141"/>
      <c r="F14" s="106"/>
      <c r="G14" s="162"/>
      <c r="H14" s="162">
        <f t="shared" si="0"/>
        <v>4821.25</v>
      </c>
    </row>
    <row r="15" spans="1:8" x14ac:dyDescent="0.25">
      <c r="A15" s="165"/>
      <c r="B15" s="153"/>
      <c r="C15" s="153"/>
      <c r="D15" s="153"/>
      <c r="E15" s="173"/>
      <c r="F15" s="106"/>
      <c r="G15" s="162"/>
      <c r="H15" s="162">
        <f t="shared" si="0"/>
        <v>4821.25</v>
      </c>
    </row>
    <row r="16" spans="1:8" x14ac:dyDescent="0.25">
      <c r="A16" s="165"/>
      <c r="B16" s="153"/>
      <c r="C16" s="153"/>
      <c r="D16" s="153"/>
      <c r="E16" s="141"/>
      <c r="F16" s="106"/>
      <c r="G16" s="162"/>
      <c r="H16" s="162">
        <f t="shared" si="0"/>
        <v>4821.25</v>
      </c>
    </row>
    <row r="17" spans="1:8" x14ac:dyDescent="0.25">
      <c r="A17" s="152"/>
      <c r="B17" s="153"/>
      <c r="C17" s="153"/>
      <c r="D17" s="153"/>
      <c r="E17" s="141"/>
      <c r="F17" s="106"/>
      <c r="G17" s="162"/>
      <c r="H17" s="162">
        <f t="shared" si="0"/>
        <v>4821.25</v>
      </c>
    </row>
    <row r="18" spans="1:8" x14ac:dyDescent="0.25">
      <c r="A18" s="152"/>
      <c r="B18" s="153"/>
      <c r="C18" s="153"/>
      <c r="D18" s="153"/>
      <c r="E18" s="141"/>
      <c r="F18" s="106"/>
      <c r="G18" s="162"/>
      <c r="H18" s="162">
        <f t="shared" si="0"/>
        <v>4821.25</v>
      </c>
    </row>
    <row r="19" spans="1:8" x14ac:dyDescent="0.25">
      <c r="A19" s="152"/>
      <c r="B19" s="153"/>
      <c r="C19" s="153"/>
      <c r="D19" s="153"/>
      <c r="E19" s="141"/>
      <c r="F19" s="106"/>
      <c r="G19" s="162"/>
      <c r="H19" s="162">
        <f t="shared" si="0"/>
        <v>4821.25</v>
      </c>
    </row>
    <row r="20" spans="1:8" x14ac:dyDescent="0.25">
      <c r="A20" s="152"/>
      <c r="B20" s="153"/>
      <c r="C20" s="153"/>
      <c r="D20" s="153"/>
      <c r="E20" s="141"/>
      <c r="F20" s="106"/>
      <c r="G20" s="162"/>
      <c r="H20" s="162">
        <f t="shared" si="0"/>
        <v>4821.25</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4821.25</v>
      </c>
      <c r="H22" s="177"/>
    </row>
    <row r="23" spans="1:8" ht="15" customHeight="1" thickTop="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E12A7-9018-423C-8534-CC59932E1F53}">
  <sheetPr codeName="Sheet92">
    <pageSetUpPr fitToPage="1"/>
  </sheetPr>
  <dimension ref="A1:I51"/>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#9516.00'!B1</f>
        <v>IDR State of Iowa Building Renovation</v>
      </c>
      <c r="B1" s="86"/>
      <c r="C1" s="6"/>
      <c r="D1" s="6"/>
      <c r="E1" s="6"/>
      <c r="F1" s="132"/>
      <c r="G1" s="132"/>
      <c r="H1" s="133"/>
      <c r="I1" s="133"/>
    </row>
    <row r="2" spans="1:9" ht="15.75" x14ac:dyDescent="0.25">
      <c r="A2" s="88" t="str">
        <f>'RECAP #9516.00'!B2</f>
        <v>Project # 9516.00</v>
      </c>
      <c r="B2" s="87"/>
      <c r="C2" s="6"/>
      <c r="D2" s="6"/>
      <c r="E2" s="6"/>
      <c r="F2" s="132"/>
      <c r="G2" s="132"/>
      <c r="H2" s="133"/>
      <c r="I2" s="133"/>
    </row>
    <row r="3" spans="1:9" ht="15.75" x14ac:dyDescent="0.25">
      <c r="A3" s="89" t="str">
        <f>'RECAP #9516.00'!B3</f>
        <v>Program code 951600</v>
      </c>
      <c r="B3" s="87"/>
      <c r="C3" s="6"/>
      <c r="D3" s="90" t="str">
        <f>'RECAP #9516.00'!E3</f>
        <v>Major Program 4E19</v>
      </c>
      <c r="E3" s="6"/>
      <c r="F3" s="132"/>
      <c r="G3" s="132"/>
      <c r="H3" s="133"/>
      <c r="I3" s="133"/>
    </row>
    <row r="4" spans="1:9" ht="15.75" x14ac:dyDescent="0.25">
      <c r="A4" s="116" t="s">
        <v>197</v>
      </c>
      <c r="B4" s="134"/>
      <c r="C4" s="135"/>
      <c r="D4" s="136" t="s">
        <v>198</v>
      </c>
      <c r="E4" s="132"/>
      <c r="F4" s="132"/>
      <c r="G4" s="132"/>
      <c r="H4" s="133"/>
      <c r="I4" s="133"/>
    </row>
    <row r="5" spans="1:9" ht="15.75" x14ac:dyDescent="0.25">
      <c r="A5" s="137" t="s">
        <v>147</v>
      </c>
      <c r="B5" s="138"/>
      <c r="C5" s="139"/>
      <c r="D5" s="140" t="s">
        <v>199</v>
      </c>
      <c r="E5" s="141"/>
      <c r="F5" s="142"/>
      <c r="G5" s="142"/>
      <c r="H5" s="138"/>
      <c r="I5" s="133"/>
    </row>
    <row r="6" spans="1:9" ht="15.75" x14ac:dyDescent="0.25">
      <c r="A6" s="93" t="str">
        <f>'RECAP #9516.00'!B6</f>
        <v>Project Manager - Jennie E</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679</v>
      </c>
      <c r="B9" s="318">
        <v>46132</v>
      </c>
      <c r="C9" s="324" t="s">
        <v>146</v>
      </c>
      <c r="D9" s="186">
        <v>22487.1</v>
      </c>
      <c r="E9" s="320">
        <f>D9</f>
        <v>22487.1</v>
      </c>
      <c r="F9" s="321"/>
      <c r="G9" s="321"/>
      <c r="H9" s="321">
        <f>E9</f>
        <v>22487.1</v>
      </c>
      <c r="I9" s="322"/>
    </row>
    <row r="10" spans="1:9" s="308" customFormat="1" ht="12.75" customHeight="1" x14ac:dyDescent="0.25">
      <c r="A10" s="317" t="s">
        <v>1017</v>
      </c>
      <c r="B10" s="323">
        <v>46216</v>
      </c>
      <c r="C10" s="324" t="s">
        <v>1018</v>
      </c>
      <c r="D10" s="320"/>
      <c r="E10" s="320">
        <f t="shared" ref="E10:E21" si="0">E9+D10</f>
        <v>22487.1</v>
      </c>
      <c r="F10" s="325">
        <v>5264.96</v>
      </c>
      <c r="G10" s="321">
        <f t="shared" ref="G10:G21" si="1">G9+F10</f>
        <v>5264.96</v>
      </c>
      <c r="H10" s="321">
        <f t="shared" ref="H10:H21" si="2">H9-F10+D10</f>
        <v>17222.14</v>
      </c>
      <c r="I10" s="322"/>
    </row>
    <row r="11" spans="1:9" s="308" customFormat="1" ht="12.75" customHeight="1" x14ac:dyDescent="0.25">
      <c r="A11" s="317"/>
      <c r="B11" s="318"/>
      <c r="C11" s="324"/>
      <c r="D11" s="320"/>
      <c r="E11" s="320">
        <f t="shared" si="0"/>
        <v>22487.1</v>
      </c>
      <c r="F11" s="326"/>
      <c r="G11" s="321">
        <f t="shared" si="1"/>
        <v>5264.96</v>
      </c>
      <c r="H11" s="321">
        <f t="shared" si="2"/>
        <v>17222.14</v>
      </c>
      <c r="I11" s="322"/>
    </row>
    <row r="12" spans="1:9" s="308" customFormat="1" ht="12.75" customHeight="1" x14ac:dyDescent="0.25">
      <c r="A12" s="317"/>
      <c r="B12" s="318"/>
      <c r="C12" s="324"/>
      <c r="D12" s="320"/>
      <c r="E12" s="320">
        <f t="shared" si="0"/>
        <v>22487.1</v>
      </c>
      <c r="F12" s="326"/>
      <c r="G12" s="321">
        <f t="shared" si="1"/>
        <v>5264.96</v>
      </c>
      <c r="H12" s="321">
        <f t="shared" si="2"/>
        <v>17222.14</v>
      </c>
      <c r="I12" s="322"/>
    </row>
    <row r="13" spans="1:9" s="308" customFormat="1" ht="12.75" customHeight="1" x14ac:dyDescent="0.25">
      <c r="A13" s="317"/>
      <c r="B13" s="318"/>
      <c r="C13" s="324"/>
      <c r="D13" s="320"/>
      <c r="E13" s="320">
        <f t="shared" si="0"/>
        <v>22487.1</v>
      </c>
      <c r="F13" s="326"/>
      <c r="G13" s="321">
        <f t="shared" si="1"/>
        <v>5264.96</v>
      </c>
      <c r="H13" s="321">
        <f t="shared" si="2"/>
        <v>17222.14</v>
      </c>
      <c r="I13" s="322"/>
    </row>
    <row r="14" spans="1:9" s="308" customFormat="1" ht="12.75" customHeight="1" x14ac:dyDescent="0.25">
      <c r="A14" s="317"/>
      <c r="B14" s="318"/>
      <c r="C14" s="324"/>
      <c r="D14" s="320"/>
      <c r="E14" s="320">
        <f t="shared" si="0"/>
        <v>22487.1</v>
      </c>
      <c r="F14" s="321"/>
      <c r="G14" s="321">
        <f t="shared" si="1"/>
        <v>5264.96</v>
      </c>
      <c r="H14" s="321">
        <f t="shared" si="2"/>
        <v>17222.14</v>
      </c>
      <c r="I14" s="322"/>
    </row>
    <row r="15" spans="1:9" s="308" customFormat="1" ht="12.75" customHeight="1" x14ac:dyDescent="0.25">
      <c r="A15" s="317"/>
      <c r="B15" s="318"/>
      <c r="C15" s="324"/>
      <c r="D15" s="320"/>
      <c r="E15" s="320">
        <f t="shared" si="0"/>
        <v>22487.1</v>
      </c>
      <c r="F15" s="326"/>
      <c r="G15" s="321">
        <f t="shared" si="1"/>
        <v>5264.96</v>
      </c>
      <c r="H15" s="321">
        <f t="shared" si="2"/>
        <v>17222.14</v>
      </c>
      <c r="I15" s="322"/>
    </row>
    <row r="16" spans="1:9" s="308" customFormat="1" ht="12.75" customHeight="1" x14ac:dyDescent="0.25">
      <c r="A16" s="317"/>
      <c r="B16" s="318"/>
      <c r="C16" s="324"/>
      <c r="D16" s="320"/>
      <c r="E16" s="320">
        <f t="shared" si="0"/>
        <v>22487.1</v>
      </c>
      <c r="F16" s="326"/>
      <c r="G16" s="321">
        <f t="shared" si="1"/>
        <v>5264.96</v>
      </c>
      <c r="H16" s="321">
        <f t="shared" si="2"/>
        <v>17222.14</v>
      </c>
      <c r="I16" s="322"/>
    </row>
    <row r="17" spans="1:9" s="308" customFormat="1" ht="12.75" customHeight="1" x14ac:dyDescent="0.25">
      <c r="A17" s="317"/>
      <c r="B17" s="318"/>
      <c r="C17" s="324"/>
      <c r="D17" s="320"/>
      <c r="E17" s="320">
        <f t="shared" si="0"/>
        <v>22487.1</v>
      </c>
      <c r="F17" s="326"/>
      <c r="G17" s="321">
        <f t="shared" si="1"/>
        <v>5264.96</v>
      </c>
      <c r="H17" s="321">
        <f t="shared" si="2"/>
        <v>17222.14</v>
      </c>
      <c r="I17" s="322"/>
    </row>
    <row r="18" spans="1:9" s="308" customFormat="1" ht="12.75" customHeight="1" x14ac:dyDescent="0.25">
      <c r="A18" s="317"/>
      <c r="B18" s="318"/>
      <c r="C18" s="324"/>
      <c r="D18" s="320"/>
      <c r="E18" s="320">
        <f t="shared" si="0"/>
        <v>22487.1</v>
      </c>
      <c r="F18" s="326"/>
      <c r="G18" s="321">
        <f t="shared" si="1"/>
        <v>5264.96</v>
      </c>
      <c r="H18" s="321">
        <f t="shared" si="2"/>
        <v>17222.14</v>
      </c>
      <c r="I18" s="322"/>
    </row>
    <row r="19" spans="1:9" s="308" customFormat="1" ht="12.75" customHeight="1" x14ac:dyDescent="0.25">
      <c r="A19" s="317"/>
      <c r="B19" s="318"/>
      <c r="C19" s="324"/>
      <c r="D19" s="320"/>
      <c r="E19" s="320">
        <f t="shared" si="0"/>
        <v>22487.1</v>
      </c>
      <c r="F19" s="321"/>
      <c r="G19" s="321">
        <f t="shared" si="1"/>
        <v>5264.96</v>
      </c>
      <c r="H19" s="321">
        <f t="shared" si="2"/>
        <v>17222.14</v>
      </c>
      <c r="I19" s="322"/>
    </row>
    <row r="20" spans="1:9" s="308" customFormat="1" ht="12.75" customHeight="1" x14ac:dyDescent="0.25">
      <c r="A20" s="317"/>
      <c r="B20" s="318"/>
      <c r="C20" s="324"/>
      <c r="D20" s="320"/>
      <c r="E20" s="320">
        <f t="shared" si="0"/>
        <v>22487.1</v>
      </c>
      <c r="F20" s="321"/>
      <c r="G20" s="321">
        <f t="shared" si="1"/>
        <v>5264.96</v>
      </c>
      <c r="H20" s="321">
        <f t="shared" si="2"/>
        <v>17222.14</v>
      </c>
      <c r="I20" s="322"/>
    </row>
    <row r="21" spans="1:9" s="308" customFormat="1" ht="12.75" customHeight="1" x14ac:dyDescent="0.25">
      <c r="A21" s="317"/>
      <c r="B21" s="318"/>
      <c r="C21" s="327"/>
      <c r="D21" s="320"/>
      <c r="E21" s="320">
        <f t="shared" si="0"/>
        <v>22487.1</v>
      </c>
      <c r="F21" s="321"/>
      <c r="G21" s="321">
        <f t="shared" si="1"/>
        <v>5264.96</v>
      </c>
      <c r="H21" s="321">
        <f t="shared" si="2"/>
        <v>17222.14</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22487.1</v>
      </c>
      <c r="E23" s="184"/>
      <c r="F23" s="184">
        <f>SUM(F9:F22)</f>
        <v>5264.96</v>
      </c>
      <c r="G23" s="184"/>
      <c r="H23" s="184">
        <f>D23-F23</f>
        <v>17222.14</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17487.099999999999</v>
      </c>
      <c r="E26" s="321"/>
      <c r="F26" s="321">
        <f>5264.96</f>
        <v>5264.96</v>
      </c>
      <c r="G26" s="321"/>
      <c r="H26" s="321">
        <f>D26-F26</f>
        <v>12222.14</v>
      </c>
      <c r="I26" s="322"/>
    </row>
    <row r="27" spans="1:9" s="308" customFormat="1" ht="12.75" customHeight="1" x14ac:dyDescent="0.25">
      <c r="A27" s="317"/>
      <c r="B27" s="324"/>
      <c r="C27" s="328" t="s">
        <v>253</v>
      </c>
      <c r="D27" s="321">
        <v>5000</v>
      </c>
      <c r="E27" s="185"/>
      <c r="F27" s="185"/>
      <c r="G27" s="185"/>
      <c r="H27" s="321">
        <f>D27-F27</f>
        <v>5000</v>
      </c>
      <c r="I27" s="322"/>
    </row>
    <row r="28" spans="1:9" s="308" customFormat="1" ht="12.75" customHeight="1" thickBot="1" x14ac:dyDescent="0.3">
      <c r="A28" s="317"/>
      <c r="B28" s="324"/>
      <c r="C28" s="359" t="s">
        <v>157</v>
      </c>
      <c r="D28" s="360">
        <f>SUM(D25:D27)</f>
        <v>22487.1</v>
      </c>
      <c r="E28" s="326"/>
      <c r="F28" s="360">
        <f>SUM(F25:F27)</f>
        <v>5264.96</v>
      </c>
      <c r="G28" s="326"/>
      <c r="H28" s="360">
        <f>SUM(H25:H27)</f>
        <v>17222.14</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sheetData>
  <conditionalFormatting sqref="I9:I25">
    <cfRule type="cellIs" dxfId="10"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08D3-0114-4ECC-84BD-0BD2523A9A2A}">
  <sheetPr>
    <pageSetUpPr fitToPage="1"/>
  </sheetPr>
  <dimension ref="A1:I52"/>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#9516.00'!B1</f>
        <v>IDR State of Iowa Building Renovation</v>
      </c>
      <c r="B1" s="86"/>
      <c r="C1" s="6"/>
      <c r="D1" s="6"/>
      <c r="E1" s="6"/>
      <c r="F1" s="132"/>
      <c r="G1" s="132"/>
      <c r="H1" s="133"/>
      <c r="I1" s="133"/>
    </row>
    <row r="2" spans="1:9" ht="15.75" x14ac:dyDescent="0.25">
      <c r="A2" s="88" t="str">
        <f>'RECAP #9516.00'!B2</f>
        <v>Project # 9516.00</v>
      </c>
      <c r="B2" s="87"/>
      <c r="C2" s="6"/>
      <c r="D2" s="6"/>
      <c r="E2" s="6"/>
      <c r="F2" s="132"/>
      <c r="G2" s="132"/>
      <c r="H2" s="133"/>
      <c r="I2" s="133"/>
    </row>
    <row r="3" spans="1:9" ht="15.75" x14ac:dyDescent="0.25">
      <c r="A3" s="89" t="str">
        <f>'RECAP #9516.00'!B3</f>
        <v>Program code 951600</v>
      </c>
      <c r="B3" s="87"/>
      <c r="C3" s="6"/>
      <c r="D3" s="90" t="str">
        <f>'RECAP #9516.00'!E3</f>
        <v>Major Program 4E19</v>
      </c>
      <c r="E3" s="6"/>
      <c r="F3" s="132"/>
      <c r="G3" s="132"/>
      <c r="H3" s="133"/>
      <c r="I3" s="133"/>
    </row>
    <row r="4" spans="1:9" ht="15.75" x14ac:dyDescent="0.25">
      <c r="A4" s="116" t="s">
        <v>805</v>
      </c>
      <c r="B4" s="134"/>
      <c r="C4" s="135"/>
      <c r="D4" s="136" t="s">
        <v>806</v>
      </c>
      <c r="E4" s="132"/>
      <c r="F4" s="132"/>
      <c r="G4" s="132"/>
      <c r="H4" s="133"/>
      <c r="I4" s="133"/>
    </row>
    <row r="5" spans="1:9" ht="15.75" x14ac:dyDescent="0.25">
      <c r="A5" s="137" t="s">
        <v>182</v>
      </c>
      <c r="B5" s="138"/>
      <c r="C5" s="139"/>
      <c r="D5" s="140" t="s">
        <v>807</v>
      </c>
      <c r="E5" s="141"/>
      <c r="F5" s="142"/>
      <c r="G5" s="142"/>
      <c r="H5" s="138"/>
      <c r="I5" s="133"/>
    </row>
    <row r="6" spans="1:9" ht="15.75" x14ac:dyDescent="0.25">
      <c r="A6" s="93" t="str">
        <f>'RECAP #9516.00'!B6</f>
        <v>Project Manager - Jennie E</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809</v>
      </c>
      <c r="B9" s="318">
        <v>46175</v>
      </c>
      <c r="C9" s="324" t="s">
        <v>146</v>
      </c>
      <c r="D9" s="186">
        <v>139350</v>
      </c>
      <c r="E9" s="320">
        <f>D9</f>
        <v>139350</v>
      </c>
      <c r="F9" s="321"/>
      <c r="G9" s="321"/>
      <c r="H9" s="321">
        <f>E9</f>
        <v>139350</v>
      </c>
      <c r="I9" s="322"/>
    </row>
    <row r="10" spans="1:9" s="308" customFormat="1" ht="12.75" customHeight="1" x14ac:dyDescent="0.25">
      <c r="A10" s="317" t="s">
        <v>983</v>
      </c>
      <c r="B10" s="323">
        <v>46211</v>
      </c>
      <c r="C10" s="324" t="s">
        <v>984</v>
      </c>
      <c r="D10" s="320"/>
      <c r="E10" s="320">
        <f t="shared" ref="E10:E21" si="0">E9+D10</f>
        <v>139350</v>
      </c>
      <c r="F10" s="325">
        <v>36870</v>
      </c>
      <c r="G10" s="321">
        <f t="shared" ref="G10:G21" si="1">G9+F10</f>
        <v>36870</v>
      </c>
      <c r="H10" s="321">
        <f t="shared" ref="H10:H21" si="2">H9-F10+D10</f>
        <v>102480</v>
      </c>
      <c r="I10" s="322"/>
    </row>
    <row r="11" spans="1:9" s="308" customFormat="1" ht="12.75" customHeight="1" x14ac:dyDescent="0.25">
      <c r="A11" s="317"/>
      <c r="B11" s="318"/>
      <c r="C11" s="324"/>
      <c r="D11" s="320"/>
      <c r="E11" s="320">
        <f t="shared" si="0"/>
        <v>139350</v>
      </c>
      <c r="F11" s="326"/>
      <c r="G11" s="321">
        <f t="shared" si="1"/>
        <v>36870</v>
      </c>
      <c r="H11" s="321">
        <f t="shared" si="2"/>
        <v>102480</v>
      </c>
      <c r="I11" s="322"/>
    </row>
    <row r="12" spans="1:9" s="308" customFormat="1" ht="12.75" customHeight="1" x14ac:dyDescent="0.25">
      <c r="A12" s="317"/>
      <c r="B12" s="318"/>
      <c r="C12" s="324"/>
      <c r="D12" s="320"/>
      <c r="E12" s="320">
        <f t="shared" si="0"/>
        <v>139350</v>
      </c>
      <c r="F12" s="326"/>
      <c r="G12" s="321">
        <f t="shared" si="1"/>
        <v>36870</v>
      </c>
      <c r="H12" s="321">
        <f t="shared" si="2"/>
        <v>102480</v>
      </c>
      <c r="I12" s="322"/>
    </row>
    <row r="13" spans="1:9" s="308" customFormat="1" ht="12.75" customHeight="1" x14ac:dyDescent="0.25">
      <c r="A13" s="317"/>
      <c r="B13" s="318"/>
      <c r="C13" s="324"/>
      <c r="D13" s="320"/>
      <c r="E13" s="320">
        <f t="shared" si="0"/>
        <v>139350</v>
      </c>
      <c r="F13" s="326"/>
      <c r="G13" s="321">
        <f t="shared" si="1"/>
        <v>36870</v>
      </c>
      <c r="H13" s="321">
        <f t="shared" si="2"/>
        <v>102480</v>
      </c>
      <c r="I13" s="322"/>
    </row>
    <row r="14" spans="1:9" s="308" customFormat="1" ht="12.75" customHeight="1" x14ac:dyDescent="0.25">
      <c r="A14" s="317"/>
      <c r="B14" s="318"/>
      <c r="C14" s="324"/>
      <c r="D14" s="320"/>
      <c r="E14" s="320">
        <f t="shared" si="0"/>
        <v>139350</v>
      </c>
      <c r="F14" s="321"/>
      <c r="G14" s="321">
        <f t="shared" si="1"/>
        <v>36870</v>
      </c>
      <c r="H14" s="321">
        <f t="shared" si="2"/>
        <v>102480</v>
      </c>
      <c r="I14" s="322"/>
    </row>
    <row r="15" spans="1:9" s="308" customFormat="1" ht="12.75" customHeight="1" x14ac:dyDescent="0.25">
      <c r="A15" s="317"/>
      <c r="B15" s="318"/>
      <c r="C15" s="324"/>
      <c r="D15" s="320"/>
      <c r="E15" s="320">
        <f t="shared" si="0"/>
        <v>139350</v>
      </c>
      <c r="F15" s="326"/>
      <c r="G15" s="321">
        <f t="shared" si="1"/>
        <v>36870</v>
      </c>
      <c r="H15" s="321">
        <f t="shared" si="2"/>
        <v>102480</v>
      </c>
      <c r="I15" s="322"/>
    </row>
    <row r="16" spans="1:9" s="308" customFormat="1" ht="12.75" customHeight="1" x14ac:dyDescent="0.25">
      <c r="A16" s="317"/>
      <c r="B16" s="318"/>
      <c r="C16" s="324"/>
      <c r="D16" s="320"/>
      <c r="E16" s="320">
        <f t="shared" si="0"/>
        <v>139350</v>
      </c>
      <c r="F16" s="326"/>
      <c r="G16" s="321">
        <f t="shared" si="1"/>
        <v>36870</v>
      </c>
      <c r="H16" s="321">
        <f t="shared" si="2"/>
        <v>102480</v>
      </c>
      <c r="I16" s="322"/>
    </row>
    <row r="17" spans="1:9" s="308" customFormat="1" ht="12.75" customHeight="1" x14ac:dyDescent="0.25">
      <c r="A17" s="317"/>
      <c r="B17" s="318"/>
      <c r="C17" s="324"/>
      <c r="D17" s="320"/>
      <c r="E17" s="320">
        <f t="shared" si="0"/>
        <v>139350</v>
      </c>
      <c r="F17" s="326"/>
      <c r="G17" s="321">
        <f t="shared" si="1"/>
        <v>36870</v>
      </c>
      <c r="H17" s="321">
        <f t="shared" si="2"/>
        <v>102480</v>
      </c>
      <c r="I17" s="322"/>
    </row>
    <row r="18" spans="1:9" s="308" customFormat="1" ht="12.75" customHeight="1" x14ac:dyDescent="0.25">
      <c r="A18" s="317"/>
      <c r="B18" s="318"/>
      <c r="C18" s="324"/>
      <c r="D18" s="320"/>
      <c r="E18" s="320">
        <f t="shared" si="0"/>
        <v>139350</v>
      </c>
      <c r="F18" s="326"/>
      <c r="G18" s="321">
        <f t="shared" si="1"/>
        <v>36870</v>
      </c>
      <c r="H18" s="321">
        <f t="shared" si="2"/>
        <v>102480</v>
      </c>
      <c r="I18" s="322"/>
    </row>
    <row r="19" spans="1:9" s="308" customFormat="1" ht="12.75" customHeight="1" x14ac:dyDescent="0.25">
      <c r="A19" s="317"/>
      <c r="B19" s="318"/>
      <c r="C19" s="324"/>
      <c r="D19" s="320"/>
      <c r="E19" s="320">
        <f t="shared" si="0"/>
        <v>139350</v>
      </c>
      <c r="F19" s="321"/>
      <c r="G19" s="321">
        <f t="shared" si="1"/>
        <v>36870</v>
      </c>
      <c r="H19" s="321">
        <f t="shared" si="2"/>
        <v>102480</v>
      </c>
      <c r="I19" s="322"/>
    </row>
    <row r="20" spans="1:9" s="308" customFormat="1" ht="12.75" customHeight="1" x14ac:dyDescent="0.25">
      <c r="A20" s="317"/>
      <c r="B20" s="318"/>
      <c r="C20" s="324"/>
      <c r="D20" s="320"/>
      <c r="E20" s="320">
        <f t="shared" si="0"/>
        <v>139350</v>
      </c>
      <c r="F20" s="321"/>
      <c r="G20" s="321">
        <f t="shared" si="1"/>
        <v>36870</v>
      </c>
      <c r="H20" s="321">
        <f t="shared" si="2"/>
        <v>102480</v>
      </c>
      <c r="I20" s="322"/>
    </row>
    <row r="21" spans="1:9" s="308" customFormat="1" ht="12.75" customHeight="1" x14ac:dyDescent="0.25">
      <c r="A21" s="317"/>
      <c r="B21" s="318"/>
      <c r="C21" s="327"/>
      <c r="D21" s="320"/>
      <c r="E21" s="320">
        <f t="shared" si="0"/>
        <v>139350</v>
      </c>
      <c r="F21" s="321"/>
      <c r="G21" s="321">
        <f t="shared" si="1"/>
        <v>36870</v>
      </c>
      <c r="H21" s="321">
        <f t="shared" si="2"/>
        <v>102480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139350</v>
      </c>
      <c r="E23" s="184"/>
      <c r="F23" s="184">
        <f>SUM(F9:F22)</f>
        <v>36870</v>
      </c>
      <c r="G23" s="184"/>
      <c r="H23" s="184">
        <f>D23-F23</f>
        <v>102480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808</v>
      </c>
      <c r="D26" s="321">
        <v>18150</v>
      </c>
      <c r="E26" s="321"/>
      <c r="F26" s="321">
        <v>18150</v>
      </c>
      <c r="G26" s="321"/>
      <c r="H26" s="321">
        <f>D26-F26</f>
        <v>0</v>
      </c>
      <c r="I26" s="322"/>
    </row>
    <row r="27" spans="1:9" s="308" customFormat="1" ht="12.75" customHeight="1" x14ac:dyDescent="0.25">
      <c r="A27" s="317"/>
      <c r="B27" s="324"/>
      <c r="C27" s="328" t="s">
        <v>446</v>
      </c>
      <c r="D27" s="321">
        <v>46800</v>
      </c>
      <c r="E27" s="321"/>
      <c r="F27" s="321">
        <f>18720</f>
        <v>18720</v>
      </c>
      <c r="G27" s="321"/>
      <c r="H27" s="321">
        <f t="shared" ref="H27:H28" si="3">D27-F27</f>
        <v>28080</v>
      </c>
      <c r="I27" s="322"/>
    </row>
    <row r="28" spans="1:9" s="308" customFormat="1" ht="12.75" customHeight="1" x14ac:dyDescent="0.25">
      <c r="A28" s="317"/>
      <c r="B28" s="324"/>
      <c r="C28" s="328" t="s">
        <v>447</v>
      </c>
      <c r="D28" s="321">
        <v>74400</v>
      </c>
      <c r="E28" s="185"/>
      <c r="F28" s="185"/>
      <c r="G28" s="185"/>
      <c r="H28" s="321">
        <f t="shared" si="3"/>
        <v>74400</v>
      </c>
      <c r="I28" s="322"/>
    </row>
    <row r="29" spans="1:9" s="308" customFormat="1" ht="12.75" customHeight="1" thickBot="1" x14ac:dyDescent="0.3">
      <c r="A29" s="317"/>
      <c r="B29" s="324"/>
      <c r="C29" s="359" t="s">
        <v>157</v>
      </c>
      <c r="D29" s="360">
        <f>SUM(D25:D28)</f>
        <v>139350</v>
      </c>
      <c r="E29" s="326"/>
      <c r="F29" s="360">
        <f>SUM(F25:F28)</f>
        <v>36870</v>
      </c>
      <c r="G29" s="326"/>
      <c r="H29" s="360">
        <f>SUM(H25:H28)</f>
        <v>102480</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sheetData>
  <conditionalFormatting sqref="I9:I25">
    <cfRule type="cellIs" dxfId="9"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86432-D428-49A6-B50D-45D83F9D9DD8}">
  <sheetPr codeName="Sheet95">
    <pageSetUpPr fitToPage="1"/>
  </sheetPr>
  <dimension ref="A1:G16"/>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377</v>
      </c>
      <c r="C1" s="86"/>
      <c r="D1" s="6"/>
      <c r="E1" s="6"/>
      <c r="F1" s="6"/>
      <c r="G1" s="6"/>
    </row>
    <row r="2" spans="1:7" ht="15.75" x14ac:dyDescent="0.25">
      <c r="A2" s="84"/>
      <c r="B2" s="88" t="s">
        <v>378</v>
      </c>
      <c r="C2" s="87"/>
      <c r="D2" s="6"/>
      <c r="E2" s="6"/>
      <c r="F2" s="6"/>
      <c r="G2" s="6"/>
    </row>
    <row r="3" spans="1:7" ht="15.75" x14ac:dyDescent="0.25">
      <c r="A3" s="84"/>
      <c r="B3" s="89" t="s">
        <v>379</v>
      </c>
      <c r="C3" s="87"/>
      <c r="D3" s="6"/>
      <c r="E3" s="90" t="s">
        <v>380</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136</v>
      </c>
      <c r="C6" s="94"/>
      <c r="D6" s="95" t="s">
        <v>3</v>
      </c>
      <c r="E6" s="6"/>
      <c r="F6" s="6"/>
      <c r="G6" s="6"/>
    </row>
    <row r="7" spans="1:7" ht="41.25" customHeight="1" thickBot="1" x14ac:dyDescent="0.3">
      <c r="A7" s="84"/>
      <c r="B7" s="96" t="s">
        <v>3</v>
      </c>
      <c r="C7" s="97" t="s">
        <v>0</v>
      </c>
      <c r="D7" s="98" t="s">
        <v>1</v>
      </c>
      <c r="E7" s="99" t="s">
        <v>2</v>
      </c>
      <c r="F7" s="100" t="s">
        <v>37</v>
      </c>
      <c r="G7" s="100" t="s">
        <v>38</v>
      </c>
    </row>
    <row r="8" spans="1:7" ht="28.35" customHeight="1" x14ac:dyDescent="0.25">
      <c r="A8" s="84"/>
      <c r="B8" s="87" t="s">
        <v>39</v>
      </c>
      <c r="C8" s="101">
        <f>'#9517.00 Funds Rec''d '!H24</f>
        <v>300000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197</v>
      </c>
      <c r="C10" s="376"/>
      <c r="D10" s="379">
        <f>'#9517.00 DCI Group'!D23</f>
        <v>54794.54</v>
      </c>
      <c r="E10" s="379">
        <f>'#9517.00 DCI Group'!F23</f>
        <v>20005.480000000003</v>
      </c>
      <c r="F10" s="379">
        <f>'#9517.00 DCI Group'!H23</f>
        <v>34789.06</v>
      </c>
      <c r="G10" s="378"/>
    </row>
    <row r="11" spans="1:7" s="308" customFormat="1" ht="12.75" customHeight="1" x14ac:dyDescent="0.25">
      <c r="A11" s="374"/>
      <c r="B11" s="375" t="s">
        <v>41</v>
      </c>
      <c r="C11" s="376"/>
      <c r="D11" s="379">
        <f>'#9517.00 PM TIME'!E26</f>
        <v>15000</v>
      </c>
      <c r="E11" s="379">
        <f>'#9517.00 PM TIME'!G26</f>
        <v>6421.0599999999995</v>
      </c>
      <c r="F11" s="379">
        <f>'#9517.00 PM TIME'!I26</f>
        <v>8578.94</v>
      </c>
      <c r="G11" s="378"/>
    </row>
    <row r="12" spans="1:7" s="308" customFormat="1" ht="12.75" customHeight="1" x14ac:dyDescent="0.25">
      <c r="A12" s="374"/>
      <c r="B12" s="375" t="s">
        <v>42</v>
      </c>
      <c r="C12" s="377"/>
      <c r="D12" s="367">
        <f>'#9517.00 Misc'!G22</f>
        <v>0</v>
      </c>
      <c r="E12" s="367">
        <f>'#9517.00 Misc'!G22</f>
        <v>0</v>
      </c>
      <c r="F12" s="379">
        <f>D12-E12</f>
        <v>0</v>
      </c>
      <c r="G12" s="378"/>
    </row>
    <row r="13" spans="1:7" s="308" customFormat="1" ht="12.75" customHeight="1" x14ac:dyDescent="0.25">
      <c r="A13" s="374"/>
      <c r="B13" s="375" t="s">
        <v>426</v>
      </c>
      <c r="C13" s="377"/>
      <c r="D13" s="367">
        <f>'#9517.00 Shive Hattery'!D23</f>
        <v>134870</v>
      </c>
      <c r="E13" s="367">
        <f>'#9517.00 Shive Hattery'!F23</f>
        <v>113815</v>
      </c>
      <c r="F13" s="379">
        <f>'#9517.00 Shive Hattery'!H23</f>
        <v>21055</v>
      </c>
      <c r="G13" s="378"/>
    </row>
    <row r="14" spans="1:7" s="308" customFormat="1" ht="12.75" customHeight="1" x14ac:dyDescent="0.25">
      <c r="A14" s="374"/>
      <c r="B14" s="375"/>
      <c r="C14" s="377"/>
      <c r="D14" s="367"/>
      <c r="E14" s="367"/>
      <c r="F14" s="379"/>
      <c r="G14" s="378"/>
    </row>
    <row r="15" spans="1:7" ht="24" customHeight="1" thickBot="1" x14ac:dyDescent="0.3">
      <c r="A15" s="107"/>
      <c r="B15" s="108" t="s">
        <v>43</v>
      </c>
      <c r="C15" s="109">
        <f>SUM(C8:C14)</f>
        <v>300000</v>
      </c>
      <c r="D15" s="109">
        <f>SUM(D8:D14)</f>
        <v>204664.54</v>
      </c>
      <c r="E15" s="109">
        <f>SUM(E8:E14)</f>
        <v>140241.54</v>
      </c>
      <c r="F15" s="109">
        <f>SUM(D15-E15)</f>
        <v>64423</v>
      </c>
      <c r="G15" s="109">
        <f>C8-D15</f>
        <v>95335.459999999992</v>
      </c>
    </row>
    <row r="16"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&amp;LAcct Code:  0506-335-DA26
&amp;C&amp;Z&amp;F&amp;R&amp;P/&amp;N
</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FE1C3-74E9-4CBB-9F3A-586779E9FF8E}">
  <sheetPr codeName="Sheet96">
    <pageSetUpPr fitToPage="1"/>
  </sheetPr>
  <dimension ref="A1:H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#9517.00'!B1</f>
        <v>DVA IVC Columbarium And Irrigation System Expansion</v>
      </c>
      <c r="B1" s="7"/>
      <c r="C1" s="2"/>
      <c r="D1" s="3"/>
      <c r="E1" s="3"/>
      <c r="F1" s="7"/>
      <c r="G1" s="7"/>
      <c r="H1" s="7"/>
    </row>
    <row r="2" spans="1:8" x14ac:dyDescent="0.25">
      <c r="A2" s="112" t="str">
        <f>'RECAP #9517.00'!B2</f>
        <v>Project # 9517.00</v>
      </c>
      <c r="B2" s="7"/>
      <c r="C2" s="113" t="s">
        <v>3</v>
      </c>
      <c r="D2" s="1"/>
      <c r="E2" s="1"/>
      <c r="F2" s="7"/>
      <c r="G2" s="7"/>
      <c r="H2" s="7"/>
    </row>
    <row r="3" spans="1:8" x14ac:dyDescent="0.25">
      <c r="A3" s="114" t="str">
        <f>'RECAP #9517.00'!B3</f>
        <v>Program code 951700</v>
      </c>
      <c r="B3" s="7"/>
      <c r="C3" s="113" t="s">
        <v>3</v>
      </c>
      <c r="D3" s="115" t="str">
        <f>'RECAP #9517.00'!E3</f>
        <v>Major Program 4E09</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#9517.00'!B6</f>
        <v>Project Manager - Brad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406</v>
      </c>
      <c r="F9" s="127">
        <v>46027</v>
      </c>
      <c r="G9" s="405">
        <v>300000</v>
      </c>
      <c r="H9" s="405">
        <v>300000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300000</v>
      </c>
      <c r="H24" s="131">
        <f>SUM(H9:H22)</f>
        <v>300000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E0F8F-69C0-4D3E-9940-117561640ED3}">
  <sheetPr codeName="Sheet97">
    <pageSetUpPr fitToPage="1"/>
  </sheetPr>
  <dimension ref="A1:I141"/>
  <sheetViews>
    <sheetView topLeftCell="A8" zoomScaleNormal="100" workbookViewId="0">
      <selection activeCell="F16" sqref="F1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#9517.00'!B1</f>
        <v>DVA IVC Columbarium And Irrigation System Expansion</v>
      </c>
      <c r="B1" s="86"/>
      <c r="C1" s="6"/>
      <c r="D1" s="6"/>
      <c r="E1" s="6"/>
      <c r="F1" s="132"/>
      <c r="G1" s="132"/>
      <c r="H1" s="133"/>
      <c r="I1" s="133"/>
    </row>
    <row r="2" spans="1:9" ht="15.75" x14ac:dyDescent="0.25">
      <c r="A2" s="88" t="str">
        <f>'RECAP #9517.00'!B2</f>
        <v>Project # 9517.00</v>
      </c>
      <c r="B2" s="87"/>
      <c r="C2" s="6"/>
      <c r="D2" s="6"/>
      <c r="E2" s="6"/>
      <c r="F2" s="132"/>
      <c r="G2" s="132"/>
      <c r="H2" s="133"/>
      <c r="I2" s="133"/>
    </row>
    <row r="3" spans="1:9" ht="15.75" x14ac:dyDescent="0.25">
      <c r="A3" s="89" t="str">
        <f>'RECAP #9517.00'!B3</f>
        <v>Program code 951700</v>
      </c>
      <c r="B3" s="87"/>
      <c r="C3" s="6"/>
      <c r="D3" s="90" t="str">
        <f>'RECAP #9517.00'!E3</f>
        <v>Major Program 4E09</v>
      </c>
      <c r="E3" s="6"/>
      <c r="F3" s="132"/>
      <c r="G3" s="132"/>
      <c r="H3" s="133"/>
      <c r="I3" s="133"/>
    </row>
    <row r="4" spans="1:9" ht="15.75" x14ac:dyDescent="0.25">
      <c r="A4" s="116" t="s">
        <v>197</v>
      </c>
      <c r="B4" s="134"/>
      <c r="C4" s="135"/>
      <c r="D4" s="136" t="s">
        <v>198</v>
      </c>
      <c r="E4" s="132"/>
      <c r="F4" s="132"/>
      <c r="G4" s="132"/>
      <c r="H4" s="133"/>
      <c r="I4" s="133"/>
    </row>
    <row r="5" spans="1:9" ht="15.75" x14ac:dyDescent="0.25">
      <c r="A5" s="137" t="s">
        <v>147</v>
      </c>
      <c r="B5" s="138"/>
      <c r="C5" s="139"/>
      <c r="D5" s="140" t="s">
        <v>199</v>
      </c>
      <c r="E5" s="141"/>
      <c r="F5" s="142"/>
      <c r="G5" s="142"/>
      <c r="H5" s="138"/>
      <c r="I5" s="133"/>
    </row>
    <row r="6" spans="1:9" ht="15.75" x14ac:dyDescent="0.25">
      <c r="A6" s="93" t="str">
        <f>'RECAP #9517.00'!B6</f>
        <v>Project Manager - Brad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411</v>
      </c>
      <c r="B9" s="318">
        <v>46031</v>
      </c>
      <c r="C9" s="324" t="s">
        <v>146</v>
      </c>
      <c r="D9" s="186">
        <v>48848.62</v>
      </c>
      <c r="E9" s="320">
        <f>D9</f>
        <v>48848.62</v>
      </c>
      <c r="F9" s="321"/>
      <c r="G9" s="321"/>
      <c r="H9" s="321">
        <f>E9</f>
        <v>48848.62</v>
      </c>
      <c r="I9" s="322"/>
    </row>
    <row r="10" spans="1:9" s="308" customFormat="1" ht="12.75" customHeight="1" x14ac:dyDescent="0.25">
      <c r="A10" s="317" t="s">
        <v>518</v>
      </c>
      <c r="B10" s="323">
        <v>46069</v>
      </c>
      <c r="C10" s="324" t="s">
        <v>519</v>
      </c>
      <c r="D10" s="320"/>
      <c r="E10" s="320">
        <f t="shared" ref="E10:E21" si="0">E9+D10</f>
        <v>48848.62</v>
      </c>
      <c r="F10" s="325">
        <v>6181.76</v>
      </c>
      <c r="G10" s="321">
        <f t="shared" ref="G10:G21" si="1">G9+F10</f>
        <v>6181.76</v>
      </c>
      <c r="H10" s="321">
        <f t="shared" ref="H10:H21" si="2">H9-F10+D10</f>
        <v>42666.86</v>
      </c>
      <c r="I10" s="322"/>
    </row>
    <row r="11" spans="1:9" s="308" customFormat="1" ht="12.75" customHeight="1" x14ac:dyDescent="0.25">
      <c r="A11" s="317" t="s">
        <v>411</v>
      </c>
      <c r="B11" s="318">
        <v>46090</v>
      </c>
      <c r="C11" s="324" t="s">
        <v>212</v>
      </c>
      <c r="D11" s="186">
        <v>5945.92</v>
      </c>
      <c r="E11" s="320">
        <f t="shared" si="0"/>
        <v>54794.54</v>
      </c>
      <c r="F11" s="326"/>
      <c r="G11" s="321">
        <f t="shared" si="1"/>
        <v>6181.76</v>
      </c>
      <c r="H11" s="321">
        <f t="shared" si="2"/>
        <v>48612.78</v>
      </c>
      <c r="I11" s="322"/>
    </row>
    <row r="12" spans="1:9" s="308" customFormat="1" ht="12.75" customHeight="1" x14ac:dyDescent="0.25">
      <c r="A12" s="317" t="s">
        <v>594</v>
      </c>
      <c r="B12" s="318">
        <v>46107</v>
      </c>
      <c r="C12" s="324" t="s">
        <v>595</v>
      </c>
      <c r="D12" s="320"/>
      <c r="E12" s="320">
        <f t="shared" si="0"/>
        <v>54794.54</v>
      </c>
      <c r="F12" s="325">
        <v>4156.18</v>
      </c>
      <c r="G12" s="321">
        <f t="shared" si="1"/>
        <v>10337.94</v>
      </c>
      <c r="H12" s="321">
        <f t="shared" si="2"/>
        <v>44456.6</v>
      </c>
      <c r="I12" s="322"/>
    </row>
    <row r="13" spans="1:9" s="308" customFormat="1" ht="12.75" customHeight="1" x14ac:dyDescent="0.25">
      <c r="A13" s="317" t="s">
        <v>633</v>
      </c>
      <c r="B13" s="318">
        <v>46127</v>
      </c>
      <c r="C13" s="324" t="s">
        <v>632</v>
      </c>
      <c r="D13" s="320"/>
      <c r="E13" s="320">
        <f t="shared" si="0"/>
        <v>54794.54</v>
      </c>
      <c r="F13" s="325">
        <v>2162.87</v>
      </c>
      <c r="G13" s="321">
        <f t="shared" si="1"/>
        <v>12500.810000000001</v>
      </c>
      <c r="H13" s="321">
        <f t="shared" si="2"/>
        <v>42293.729999999996</v>
      </c>
      <c r="I13" s="322"/>
    </row>
    <row r="14" spans="1:9" s="308" customFormat="1" ht="12.75" customHeight="1" x14ac:dyDescent="0.25">
      <c r="A14" s="317" t="s">
        <v>750</v>
      </c>
      <c r="B14" s="318">
        <v>46154</v>
      </c>
      <c r="C14" s="324" t="s">
        <v>751</v>
      </c>
      <c r="D14" s="320"/>
      <c r="E14" s="320">
        <f t="shared" si="0"/>
        <v>54794.54</v>
      </c>
      <c r="F14" s="325">
        <v>2820.75</v>
      </c>
      <c r="G14" s="321">
        <f t="shared" si="1"/>
        <v>15321.560000000001</v>
      </c>
      <c r="H14" s="321">
        <f t="shared" si="2"/>
        <v>39472.979999999996</v>
      </c>
      <c r="I14" s="322"/>
    </row>
    <row r="15" spans="1:9" s="308" customFormat="1" ht="12.75" customHeight="1" x14ac:dyDescent="0.25">
      <c r="A15" s="317" t="s">
        <v>857</v>
      </c>
      <c r="B15" s="318">
        <v>46188</v>
      </c>
      <c r="C15" s="324" t="s">
        <v>858</v>
      </c>
      <c r="D15" s="320"/>
      <c r="E15" s="320">
        <f t="shared" si="0"/>
        <v>54794.54</v>
      </c>
      <c r="F15" s="325">
        <v>1855.13</v>
      </c>
      <c r="G15" s="321">
        <f t="shared" si="1"/>
        <v>17176.690000000002</v>
      </c>
      <c r="H15" s="321">
        <f t="shared" si="2"/>
        <v>37617.85</v>
      </c>
      <c r="I15" s="322"/>
    </row>
    <row r="16" spans="1:9" s="308" customFormat="1" ht="12.75" customHeight="1" x14ac:dyDescent="0.25">
      <c r="A16" s="317" t="s">
        <v>1019</v>
      </c>
      <c r="B16" s="318">
        <v>46216</v>
      </c>
      <c r="C16" s="324" t="s">
        <v>1020</v>
      </c>
      <c r="D16" s="320"/>
      <c r="E16" s="320">
        <f t="shared" si="0"/>
        <v>54794.54</v>
      </c>
      <c r="F16" s="325">
        <v>2828.79</v>
      </c>
      <c r="G16" s="321">
        <f t="shared" si="1"/>
        <v>20005.480000000003</v>
      </c>
      <c r="H16" s="321">
        <f t="shared" si="2"/>
        <v>34789.06</v>
      </c>
      <c r="I16" s="322"/>
    </row>
    <row r="17" spans="1:9" s="308" customFormat="1" ht="12.75" customHeight="1" x14ac:dyDescent="0.25">
      <c r="A17" s="317"/>
      <c r="B17" s="318"/>
      <c r="C17" s="324"/>
      <c r="D17" s="320"/>
      <c r="E17" s="320">
        <f t="shared" si="0"/>
        <v>54794.54</v>
      </c>
      <c r="F17" s="326"/>
      <c r="G17" s="321">
        <f t="shared" si="1"/>
        <v>20005.480000000003</v>
      </c>
      <c r="H17" s="321">
        <f t="shared" si="2"/>
        <v>34789.06</v>
      </c>
      <c r="I17" s="322"/>
    </row>
    <row r="18" spans="1:9" s="308" customFormat="1" ht="12.75" customHeight="1" x14ac:dyDescent="0.25">
      <c r="A18" s="317"/>
      <c r="B18" s="318"/>
      <c r="C18" s="324"/>
      <c r="D18" s="320"/>
      <c r="E18" s="320">
        <f t="shared" si="0"/>
        <v>54794.54</v>
      </c>
      <c r="F18" s="326"/>
      <c r="G18" s="321">
        <f t="shared" si="1"/>
        <v>20005.480000000003</v>
      </c>
      <c r="H18" s="321">
        <f t="shared" si="2"/>
        <v>34789.06</v>
      </c>
      <c r="I18" s="322"/>
    </row>
    <row r="19" spans="1:9" s="308" customFormat="1" ht="12.75" customHeight="1" x14ac:dyDescent="0.25">
      <c r="A19" s="317"/>
      <c r="B19" s="318"/>
      <c r="C19" s="324"/>
      <c r="D19" s="320"/>
      <c r="E19" s="320">
        <f t="shared" si="0"/>
        <v>54794.54</v>
      </c>
      <c r="F19" s="321"/>
      <c r="G19" s="321">
        <f t="shared" si="1"/>
        <v>20005.480000000003</v>
      </c>
      <c r="H19" s="321">
        <f t="shared" si="2"/>
        <v>34789.06</v>
      </c>
      <c r="I19" s="322"/>
    </row>
    <row r="20" spans="1:9" s="308" customFormat="1" ht="12.75" customHeight="1" x14ac:dyDescent="0.25">
      <c r="A20" s="317"/>
      <c r="B20" s="318"/>
      <c r="C20" s="324"/>
      <c r="D20" s="320"/>
      <c r="E20" s="320">
        <f t="shared" si="0"/>
        <v>54794.54</v>
      </c>
      <c r="F20" s="321"/>
      <c r="G20" s="321">
        <f t="shared" si="1"/>
        <v>20005.480000000003</v>
      </c>
      <c r="H20" s="321">
        <f t="shared" si="2"/>
        <v>34789.06</v>
      </c>
      <c r="I20" s="322"/>
    </row>
    <row r="21" spans="1:9" s="308" customFormat="1" ht="12.75" customHeight="1" x14ac:dyDescent="0.25">
      <c r="A21" s="317"/>
      <c r="B21" s="318"/>
      <c r="C21" s="327"/>
      <c r="D21" s="320"/>
      <c r="E21" s="320">
        <f t="shared" si="0"/>
        <v>54794.54</v>
      </c>
      <c r="F21" s="321"/>
      <c r="G21" s="321">
        <f t="shared" si="1"/>
        <v>20005.480000000003</v>
      </c>
      <c r="H21" s="321">
        <f t="shared" si="2"/>
        <v>34789.06</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54794.54</v>
      </c>
      <c r="E23" s="184"/>
      <c r="F23" s="184">
        <f>SUM(F9:F22)</f>
        <v>20005.480000000003</v>
      </c>
      <c r="G23" s="184"/>
      <c r="H23" s="184">
        <f>D23-F23</f>
        <v>34789.06</v>
      </c>
      <c r="I23" s="409"/>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39848.620000000003</v>
      </c>
      <c r="E26" s="321"/>
      <c r="F26" s="321">
        <f>6181.76+4156.18+2162.87+2820.75+1855.13+2828.79</f>
        <v>20005.480000000003</v>
      </c>
      <c r="G26" s="321"/>
      <c r="H26" s="321">
        <f>D26-F26</f>
        <v>19843.14</v>
      </c>
      <c r="I26" s="322"/>
    </row>
    <row r="27" spans="1:9" s="308" customFormat="1" ht="12.75" customHeight="1" x14ac:dyDescent="0.25">
      <c r="A27" s="317"/>
      <c r="B27" s="324"/>
      <c r="C27" s="328" t="s">
        <v>253</v>
      </c>
      <c r="D27" s="321">
        <v>9000</v>
      </c>
      <c r="E27" s="185"/>
      <c r="F27" s="185"/>
      <c r="G27" s="185"/>
      <c r="H27" s="321">
        <f>D27-F27</f>
        <v>9000</v>
      </c>
      <c r="I27" s="322"/>
    </row>
    <row r="28" spans="1:9" s="308" customFormat="1" ht="12.75" customHeight="1" x14ac:dyDescent="0.25">
      <c r="A28" s="317"/>
      <c r="B28" s="324"/>
      <c r="C28" s="328" t="s">
        <v>212</v>
      </c>
      <c r="D28" s="321">
        <v>5945.92</v>
      </c>
      <c r="E28" s="185"/>
      <c r="F28" s="185"/>
      <c r="G28" s="185"/>
      <c r="H28" s="321">
        <f>D28-F28</f>
        <v>5945.92</v>
      </c>
      <c r="I28" s="322"/>
    </row>
    <row r="29" spans="1:9" s="308" customFormat="1" ht="12.75" customHeight="1" thickBot="1" x14ac:dyDescent="0.3">
      <c r="A29" s="317"/>
      <c r="B29" s="324"/>
      <c r="C29" s="359" t="s">
        <v>157</v>
      </c>
      <c r="D29" s="360">
        <f>SUM(D26:D28)</f>
        <v>54794.54</v>
      </c>
      <c r="E29" s="326"/>
      <c r="F29" s="360">
        <f>SUM(F26:F28)</f>
        <v>20005.480000000003</v>
      </c>
      <c r="G29" s="326"/>
      <c r="H29" s="360">
        <f>SUM(H26:H28)</f>
        <v>34789.06</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4C64B-5396-40CC-8CAE-28FF13EC6544}">
  <sheetPr codeName="Sheet98">
    <pageSetUpPr fitToPage="1"/>
  </sheetPr>
  <dimension ref="A1:J126"/>
  <sheetViews>
    <sheetView zoomScaleNormal="100" workbookViewId="0">
      <selection activeCell="G20" sqref="G20:G22"/>
    </sheetView>
  </sheetViews>
  <sheetFormatPr defaultColWidth="11.42578125" defaultRowHeight="15" customHeight="1" x14ac:dyDescent="0.25"/>
  <cols>
    <col min="1" max="1" width="24.5703125" customWidth="1"/>
    <col min="2" max="3" width="9.42578125" customWidth="1"/>
    <col min="4" max="4" width="41.28515625" customWidth="1"/>
    <col min="5" max="5" width="13.285156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#9517.00'!B1</f>
        <v>DVA IVC Columbarium And Irrigation System Expansion</v>
      </c>
      <c r="B1" s="86"/>
      <c r="C1" s="86"/>
      <c r="D1" s="6"/>
      <c r="E1" s="6"/>
      <c r="F1" s="6"/>
      <c r="G1" s="132"/>
      <c r="H1" s="132"/>
      <c r="I1" s="133"/>
      <c r="J1" s="133"/>
    </row>
    <row r="2" spans="1:10" ht="15.75" x14ac:dyDescent="0.25">
      <c r="A2" s="88" t="str">
        <f>'RECAP #9517.00'!B2</f>
        <v>Project # 9517.00</v>
      </c>
      <c r="B2" s="87"/>
      <c r="C2" s="87"/>
      <c r="D2" s="6"/>
      <c r="E2" s="6"/>
      <c r="F2" s="6"/>
      <c r="G2" s="132"/>
      <c r="H2" s="132"/>
      <c r="I2" s="133"/>
      <c r="J2" s="133"/>
    </row>
    <row r="3" spans="1:10" ht="15.75" x14ac:dyDescent="0.25">
      <c r="A3" s="89" t="str">
        <f>'RECAP #9517.00'!B3</f>
        <v>Program code 951700</v>
      </c>
      <c r="B3" s="87"/>
      <c r="C3" s="87"/>
      <c r="D3" s="6"/>
      <c r="E3" s="90" t="str">
        <f>'RECAP #9517.00'!E3</f>
        <v>Major Program 4E09</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#9517.00'!B6</f>
        <v>Project Manager - Brad T.</v>
      </c>
      <c r="B6" s="93"/>
      <c r="C6" s="93"/>
      <c r="D6" s="143"/>
      <c r="E6" s="140" t="s">
        <v>386</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15000</v>
      </c>
      <c r="F9" s="320">
        <f>E9</f>
        <v>15000</v>
      </c>
      <c r="G9" s="321"/>
      <c r="H9" s="321"/>
      <c r="I9" s="321">
        <f>F9</f>
        <v>15000</v>
      </c>
      <c r="J9" s="322"/>
    </row>
    <row r="10" spans="1:10" s="308" customFormat="1" ht="12.75" customHeight="1" x14ac:dyDescent="0.2">
      <c r="A10" s="171" t="s">
        <v>492</v>
      </c>
      <c r="B10" s="153">
        <v>46062</v>
      </c>
      <c r="C10" s="155" t="s">
        <v>274</v>
      </c>
      <c r="D10" s="181" t="s">
        <v>493</v>
      </c>
      <c r="E10" s="320"/>
      <c r="F10" s="320">
        <f>E10+F9</f>
        <v>15000</v>
      </c>
      <c r="G10" s="325">
        <v>130.35</v>
      </c>
      <c r="H10" s="321">
        <f t="shared" ref="H10:H24" si="0">H9+G10</f>
        <v>130.35</v>
      </c>
      <c r="I10" s="321">
        <f>I9-G10+E10</f>
        <v>14869.65</v>
      </c>
      <c r="J10" s="322"/>
    </row>
    <row r="11" spans="1:10" s="308" customFormat="1" ht="12.75" customHeight="1" x14ac:dyDescent="0.2">
      <c r="A11" s="171" t="s">
        <v>492</v>
      </c>
      <c r="B11" s="153">
        <v>46062</v>
      </c>
      <c r="C11" s="401">
        <v>9500</v>
      </c>
      <c r="D11" s="126" t="s">
        <v>494</v>
      </c>
      <c r="E11" s="320"/>
      <c r="F11" s="320">
        <f t="shared" ref="F11:F24" si="1">E11+F10</f>
        <v>15000</v>
      </c>
      <c r="G11" s="325">
        <v>1619</v>
      </c>
      <c r="H11" s="321">
        <f t="shared" si="0"/>
        <v>1749.35</v>
      </c>
      <c r="I11" s="321">
        <f t="shared" ref="I11:I24" si="2">I10-G11+E11</f>
        <v>13250.65</v>
      </c>
      <c r="J11" s="322"/>
    </row>
    <row r="12" spans="1:10" s="308" customFormat="1" ht="12.75" customHeight="1" x14ac:dyDescent="0.2">
      <c r="A12" s="171" t="s">
        <v>550</v>
      </c>
      <c r="B12" s="153">
        <v>46090</v>
      </c>
      <c r="C12" s="155" t="s">
        <v>274</v>
      </c>
      <c r="D12" s="181" t="s">
        <v>551</v>
      </c>
      <c r="E12" s="320"/>
      <c r="F12" s="320">
        <f t="shared" si="1"/>
        <v>15000</v>
      </c>
      <c r="G12" s="325">
        <v>85.64</v>
      </c>
      <c r="H12" s="321">
        <f t="shared" si="0"/>
        <v>1834.99</v>
      </c>
      <c r="I12" s="321">
        <f t="shared" si="2"/>
        <v>13165.01</v>
      </c>
      <c r="J12" s="322"/>
    </row>
    <row r="13" spans="1:10" s="308" customFormat="1" ht="12.75" customHeight="1" x14ac:dyDescent="0.2">
      <c r="A13" s="171" t="s">
        <v>550</v>
      </c>
      <c r="B13" s="153">
        <v>46090</v>
      </c>
      <c r="C13" s="401">
        <v>9500</v>
      </c>
      <c r="D13" s="126" t="s">
        <v>552</v>
      </c>
      <c r="E13" s="320"/>
      <c r="F13" s="320">
        <f t="shared" si="1"/>
        <v>15000</v>
      </c>
      <c r="G13" s="325">
        <v>991.8</v>
      </c>
      <c r="H13" s="321">
        <f t="shared" si="0"/>
        <v>2826.79</v>
      </c>
      <c r="I13" s="321">
        <f t="shared" si="2"/>
        <v>12173.210000000001</v>
      </c>
      <c r="J13" s="322"/>
    </row>
    <row r="14" spans="1:10" s="308" customFormat="1" ht="12.75" customHeight="1" x14ac:dyDescent="0.2">
      <c r="A14" s="171" t="s">
        <v>626</v>
      </c>
      <c r="B14" s="153">
        <v>46118</v>
      </c>
      <c r="C14" s="155" t="s">
        <v>274</v>
      </c>
      <c r="D14" s="181" t="s">
        <v>627</v>
      </c>
      <c r="E14" s="320"/>
      <c r="F14" s="320">
        <f t="shared" si="1"/>
        <v>15000</v>
      </c>
      <c r="G14" s="325">
        <v>129.57</v>
      </c>
      <c r="H14" s="321">
        <f t="shared" si="0"/>
        <v>2956.36</v>
      </c>
      <c r="I14" s="321">
        <f t="shared" si="2"/>
        <v>12043.640000000001</v>
      </c>
      <c r="J14" s="322"/>
    </row>
    <row r="15" spans="1:10" s="308" customFormat="1" ht="12.75" customHeight="1" x14ac:dyDescent="0.2">
      <c r="A15" s="171" t="s">
        <v>626</v>
      </c>
      <c r="B15" s="153">
        <v>46118</v>
      </c>
      <c r="C15" s="401">
        <v>9500</v>
      </c>
      <c r="D15" s="126" t="s">
        <v>628</v>
      </c>
      <c r="E15" s="320"/>
      <c r="F15" s="320">
        <f t="shared" si="1"/>
        <v>15000</v>
      </c>
      <c r="G15" s="325">
        <v>1050.0999999999999</v>
      </c>
      <c r="H15" s="321">
        <f t="shared" si="0"/>
        <v>4006.46</v>
      </c>
      <c r="I15" s="321">
        <f t="shared" si="2"/>
        <v>10993.54</v>
      </c>
      <c r="J15" s="322"/>
    </row>
    <row r="16" spans="1:10" s="308" customFormat="1" ht="12.75" customHeight="1" x14ac:dyDescent="0.2">
      <c r="A16" s="171" t="s">
        <v>752</v>
      </c>
      <c r="B16" s="153">
        <v>46149</v>
      </c>
      <c r="C16" s="155" t="s">
        <v>274</v>
      </c>
      <c r="D16" s="181" t="s">
        <v>753</v>
      </c>
      <c r="E16" s="320"/>
      <c r="F16" s="320">
        <f t="shared" si="1"/>
        <v>15000</v>
      </c>
      <c r="G16" s="325">
        <v>93.73</v>
      </c>
      <c r="H16" s="321">
        <f t="shared" si="0"/>
        <v>4100.1899999999996</v>
      </c>
      <c r="I16" s="321">
        <f t="shared" si="2"/>
        <v>10899.810000000001</v>
      </c>
      <c r="J16" s="322"/>
    </row>
    <row r="17" spans="1:10" s="308" customFormat="1" ht="12.75" customHeight="1" x14ac:dyDescent="0.2">
      <c r="A17" s="171" t="s">
        <v>752</v>
      </c>
      <c r="B17" s="153">
        <v>46149</v>
      </c>
      <c r="C17" s="401">
        <v>9500</v>
      </c>
      <c r="D17" s="126" t="s">
        <v>754</v>
      </c>
      <c r="E17" s="320"/>
      <c r="F17" s="320">
        <f t="shared" si="1"/>
        <v>15000</v>
      </c>
      <c r="G17" s="325">
        <v>974</v>
      </c>
      <c r="H17" s="321">
        <f t="shared" si="0"/>
        <v>5074.1899999999996</v>
      </c>
      <c r="I17" s="321">
        <f t="shared" si="2"/>
        <v>9925.8100000000013</v>
      </c>
      <c r="J17" s="322"/>
    </row>
    <row r="18" spans="1:10" s="308" customFormat="1" ht="12.75" customHeight="1" x14ac:dyDescent="0.25">
      <c r="A18" s="171" t="s">
        <v>844</v>
      </c>
      <c r="B18" s="153">
        <v>46181</v>
      </c>
      <c r="C18" s="155" t="s">
        <v>274</v>
      </c>
      <c r="D18" s="181" t="s">
        <v>845</v>
      </c>
      <c r="E18"/>
      <c r="F18" s="320">
        <f t="shared" si="1"/>
        <v>15000</v>
      </c>
      <c r="G18" s="325">
        <v>48.58</v>
      </c>
      <c r="H18" s="321">
        <f t="shared" si="0"/>
        <v>5122.7699999999995</v>
      </c>
      <c r="I18" s="321">
        <f t="shared" si="2"/>
        <v>9877.2300000000014</v>
      </c>
      <c r="J18" s="322"/>
    </row>
    <row r="19" spans="1:10" s="308" customFormat="1" ht="12.75" customHeight="1" x14ac:dyDescent="0.25">
      <c r="A19" s="171" t="s">
        <v>844</v>
      </c>
      <c r="B19" s="153">
        <v>46181</v>
      </c>
      <c r="C19" s="401">
        <v>9500</v>
      </c>
      <c r="D19" s="126" t="s">
        <v>846</v>
      </c>
      <c r="E19"/>
      <c r="F19" s="320">
        <f t="shared" si="1"/>
        <v>15000</v>
      </c>
      <c r="G19" s="325">
        <v>601.29999999999995</v>
      </c>
      <c r="H19" s="321">
        <f t="shared" si="0"/>
        <v>5724.07</v>
      </c>
      <c r="I19" s="321">
        <f t="shared" si="2"/>
        <v>9275.9300000000021</v>
      </c>
      <c r="J19" s="322"/>
    </row>
    <row r="20" spans="1:10" s="308" customFormat="1" ht="12.75" customHeight="1" x14ac:dyDescent="0.2">
      <c r="A20" s="171" t="s">
        <v>989</v>
      </c>
      <c r="B20" s="153">
        <v>46211</v>
      </c>
      <c r="C20" s="155" t="s">
        <v>274</v>
      </c>
      <c r="D20" s="181" t="s">
        <v>992</v>
      </c>
      <c r="E20" s="320"/>
      <c r="F20" s="320">
        <f t="shared" si="1"/>
        <v>15000</v>
      </c>
      <c r="G20" s="325">
        <v>54.26</v>
      </c>
      <c r="H20" s="321">
        <f t="shared" si="0"/>
        <v>5778.33</v>
      </c>
      <c r="I20" s="321">
        <f t="shared" si="2"/>
        <v>9221.6700000000019</v>
      </c>
      <c r="J20" s="322"/>
    </row>
    <row r="21" spans="1:10" s="308" customFormat="1" ht="12.75" customHeight="1" x14ac:dyDescent="0.2">
      <c r="A21" s="171" t="s">
        <v>989</v>
      </c>
      <c r="B21" s="153">
        <v>46211</v>
      </c>
      <c r="C21" s="401">
        <v>9500</v>
      </c>
      <c r="D21" s="126" t="s">
        <v>993</v>
      </c>
      <c r="E21" s="320"/>
      <c r="F21" s="320">
        <f t="shared" si="1"/>
        <v>15000</v>
      </c>
      <c r="G21" s="325">
        <v>621.4</v>
      </c>
      <c r="H21" s="321">
        <f t="shared" si="0"/>
        <v>6399.73</v>
      </c>
      <c r="I21" s="321">
        <f t="shared" si="2"/>
        <v>8600.2700000000023</v>
      </c>
      <c r="J21" s="322"/>
    </row>
    <row r="22" spans="1:10" s="308" customFormat="1" ht="12.75" customHeight="1" x14ac:dyDescent="0.2">
      <c r="A22" s="171" t="s">
        <v>1036</v>
      </c>
      <c r="B22" s="153">
        <v>46218</v>
      </c>
      <c r="C22" s="155" t="s">
        <v>274</v>
      </c>
      <c r="D22" s="181" t="s">
        <v>1037</v>
      </c>
      <c r="E22" s="320"/>
      <c r="F22" s="320">
        <f t="shared" si="1"/>
        <v>15000</v>
      </c>
      <c r="G22" s="325">
        <v>21.33</v>
      </c>
      <c r="H22" s="321">
        <f t="shared" si="0"/>
        <v>6421.0599999999995</v>
      </c>
      <c r="I22" s="321">
        <f t="shared" si="2"/>
        <v>8578.9400000000023</v>
      </c>
      <c r="J22" s="322"/>
    </row>
    <row r="23" spans="1:10" s="308" customFormat="1" ht="12.75" customHeight="1" x14ac:dyDescent="0.2">
      <c r="A23" s="171"/>
      <c r="B23" s="153"/>
      <c r="C23" s="401"/>
      <c r="D23" s="126"/>
      <c r="E23" s="320"/>
      <c r="F23" s="320">
        <f t="shared" si="1"/>
        <v>15000</v>
      </c>
      <c r="G23" s="326"/>
      <c r="H23" s="321">
        <f t="shared" si="0"/>
        <v>6421.0599999999995</v>
      </c>
      <c r="I23" s="321">
        <f t="shared" si="2"/>
        <v>8578.9400000000023</v>
      </c>
      <c r="J23" s="322"/>
    </row>
    <row r="24" spans="1:10" s="308" customFormat="1" ht="15" customHeight="1" x14ac:dyDescent="0.2">
      <c r="A24" s="171"/>
      <c r="B24" s="153"/>
      <c r="C24" s="401"/>
      <c r="D24" s="126"/>
      <c r="E24" s="320"/>
      <c r="F24" s="320">
        <f t="shared" si="1"/>
        <v>15000</v>
      </c>
      <c r="G24" s="326"/>
      <c r="H24" s="321">
        <f t="shared" si="0"/>
        <v>6421.0599999999995</v>
      </c>
      <c r="I24" s="321">
        <f t="shared" si="2"/>
        <v>8578.9400000000023</v>
      </c>
      <c r="J24" s="322"/>
    </row>
    <row r="25" spans="1:10" s="308" customFormat="1" ht="12.75" customHeight="1" x14ac:dyDescent="0.25">
      <c r="A25" s="332"/>
      <c r="B25" s="324"/>
      <c r="C25" s="324"/>
      <c r="D25" s="328"/>
      <c r="E25" s="321"/>
      <c r="F25" s="321"/>
      <c r="G25" s="321"/>
      <c r="H25" s="321"/>
      <c r="I25" s="321"/>
      <c r="J25" s="322"/>
    </row>
    <row r="26" spans="1:10" s="308" customFormat="1" ht="12.75" customHeight="1" thickBot="1" x14ac:dyDescent="0.3">
      <c r="A26" s="332"/>
      <c r="B26" s="329"/>
      <c r="C26" s="329"/>
      <c r="D26" s="330" t="s">
        <v>54</v>
      </c>
      <c r="E26" s="184">
        <f>SUM(E9:E25)</f>
        <v>15000</v>
      </c>
      <c r="F26" s="184"/>
      <c r="G26" s="184">
        <f>SUM(G9:G25)</f>
        <v>6421.0599999999995</v>
      </c>
      <c r="H26" s="184"/>
      <c r="I26" s="184">
        <f>SUM(E26-G26)</f>
        <v>8578.94</v>
      </c>
      <c r="J26" s="322"/>
    </row>
    <row r="27" spans="1:10" s="308" customFormat="1" ht="12.75" customHeight="1" thickTop="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D429-1DE8-495D-8581-F544D781243E}">
  <sheetPr codeName="Sheet99">
    <tabColor indexed="30"/>
    <pageSetUpPr fitToPage="1"/>
  </sheetPr>
  <dimension ref="A1:H23"/>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'#9517.00 PM TIME'!A1</f>
        <v>DVA IVC Columbarium And Irrigation System Expansion</v>
      </c>
      <c r="B1" s="86"/>
      <c r="C1" s="86"/>
      <c r="D1" s="86"/>
      <c r="E1" s="6"/>
      <c r="F1" s="6"/>
      <c r="G1" s="6"/>
      <c r="H1" s="132"/>
    </row>
    <row r="2" spans="1:8" ht="15.75" x14ac:dyDescent="0.25">
      <c r="A2" s="88" t="str">
        <f>'RECAP #9517.00'!B2</f>
        <v>Project # 9517.00</v>
      </c>
      <c r="B2" s="87"/>
      <c r="C2" s="87"/>
      <c r="D2" s="87"/>
      <c r="E2" s="6"/>
      <c r="F2" s="6"/>
      <c r="G2" s="6"/>
      <c r="H2" s="132"/>
    </row>
    <row r="3" spans="1:8" ht="15.75" x14ac:dyDescent="0.25">
      <c r="A3" s="89" t="str">
        <f>'RECAP #9517.00'!B3</f>
        <v>Program code 951700</v>
      </c>
      <c r="B3" s="87"/>
      <c r="C3" s="87"/>
      <c r="D3" s="87"/>
      <c r="E3" s="90" t="str">
        <f>'RECAP #9517.00'!E3</f>
        <v>Major Program 4E09</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#9517.00'!B6</f>
        <v>Project Manager - Brad T.</v>
      </c>
      <c r="B6" s="93"/>
      <c r="C6" s="93"/>
      <c r="D6" s="93"/>
      <c r="E6" s="90" t="s">
        <v>412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9B11E-CDDC-4713-A44C-392F4C83D2E0}">
  <sheetPr codeName="Sheet7">
    <tabColor rgb="FF0070C0"/>
    <pageSetUpPr fitToPage="1"/>
  </sheetPr>
  <dimension ref="A1:I59"/>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28515625" style="267" bestFit="1"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#9279.50'!B1</f>
        <v>HHS WRC Campus Utility Decentralization Phase 5</v>
      </c>
      <c r="B1" s="116"/>
      <c r="C1" s="193"/>
      <c r="D1" s="193"/>
      <c r="E1" s="193"/>
      <c r="F1" s="194"/>
      <c r="G1" s="194"/>
      <c r="H1" s="195"/>
      <c r="I1" s="195"/>
    </row>
    <row r="2" spans="1:9" ht="15.75" x14ac:dyDescent="0.25">
      <c r="A2" s="134" t="str">
        <f>'RECAP #9279.50'!B2</f>
        <v>Project # 9279.50</v>
      </c>
      <c r="B2" s="196"/>
      <c r="C2" s="193"/>
      <c r="D2" s="193"/>
      <c r="E2" s="193"/>
      <c r="F2" s="194"/>
      <c r="G2" s="194"/>
      <c r="H2" s="195"/>
      <c r="I2" s="195"/>
    </row>
    <row r="3" spans="1:9" ht="15.75" x14ac:dyDescent="0.25">
      <c r="A3" s="197" t="str">
        <f>'RECAP #9279.50'!B3</f>
        <v>Program code 927950</v>
      </c>
      <c r="B3" s="196"/>
      <c r="C3" s="193"/>
      <c r="D3" s="198" t="str">
        <f>'RECAP #9279.50'!E3</f>
        <v>Major Program 4B02</v>
      </c>
      <c r="E3" s="193"/>
      <c r="F3" s="194"/>
      <c r="G3" s="194"/>
      <c r="H3" s="195"/>
      <c r="I3" s="195"/>
    </row>
    <row r="4" spans="1:9" ht="15.75" x14ac:dyDescent="0.25">
      <c r="A4" s="116" t="s">
        <v>459</v>
      </c>
      <c r="B4" s="134"/>
      <c r="C4" s="195"/>
      <c r="D4" s="199" t="s">
        <v>460</v>
      </c>
      <c r="E4" s="194"/>
      <c r="F4" s="194"/>
      <c r="G4" s="194"/>
      <c r="H4" s="195"/>
      <c r="I4" s="195"/>
    </row>
    <row r="5" spans="1:9" ht="15.75" x14ac:dyDescent="0.25">
      <c r="A5" s="200" t="s">
        <v>147</v>
      </c>
      <c r="B5" s="195"/>
      <c r="C5" s="201"/>
      <c r="D5" s="140" t="s">
        <v>461</v>
      </c>
      <c r="E5" s="145"/>
      <c r="F5" s="194"/>
      <c r="G5" s="194"/>
      <c r="H5" s="195"/>
      <c r="I5" s="195"/>
    </row>
    <row r="6" spans="1:9" ht="15.75" x14ac:dyDescent="0.25">
      <c r="A6" s="134" t="str">
        <f>'RECAP #9279.50'!B6</f>
        <v>Project Manager - Jennifer K.</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462</v>
      </c>
      <c r="B9" s="383">
        <v>46052</v>
      </c>
      <c r="C9" s="391" t="s">
        <v>146</v>
      </c>
      <c r="D9" s="419">
        <v>25212.59</v>
      </c>
      <c r="E9" s="386">
        <f>D9</f>
        <v>25212.59</v>
      </c>
      <c r="F9" s="387"/>
      <c r="G9" s="387"/>
      <c r="H9" s="387">
        <f>E9</f>
        <v>25212.59</v>
      </c>
      <c r="I9" s="388"/>
    </row>
    <row r="10" spans="1:9" s="389" customFormat="1" ht="12.75" customHeight="1" x14ac:dyDescent="0.25">
      <c r="A10" s="382" t="s">
        <v>575</v>
      </c>
      <c r="B10" s="390">
        <v>46099</v>
      </c>
      <c r="C10" s="391" t="s">
        <v>576</v>
      </c>
      <c r="D10" s="386"/>
      <c r="E10" s="386">
        <f t="shared" ref="E10:E21" si="0">E9+D10</f>
        <v>25212.59</v>
      </c>
      <c r="F10" s="392">
        <v>3021.31</v>
      </c>
      <c r="G10" s="387">
        <f t="shared" ref="G10:G21" si="1">G9+F10</f>
        <v>3021.31</v>
      </c>
      <c r="H10" s="387">
        <f t="shared" ref="H10:H21" si="2">H9-F10+D10</f>
        <v>22191.279999999999</v>
      </c>
      <c r="I10" s="388"/>
    </row>
    <row r="11" spans="1:9" s="389" customFormat="1" ht="12.75" customHeight="1" x14ac:dyDescent="0.25">
      <c r="A11" s="382" t="s">
        <v>673</v>
      </c>
      <c r="B11" s="383">
        <v>46129</v>
      </c>
      <c r="C11" s="391" t="s">
        <v>674</v>
      </c>
      <c r="D11" s="386"/>
      <c r="E11" s="386">
        <f t="shared" si="0"/>
        <v>25212.59</v>
      </c>
      <c r="F11" s="392">
        <v>3646.46</v>
      </c>
      <c r="G11" s="387">
        <f t="shared" si="1"/>
        <v>6667.77</v>
      </c>
      <c r="H11" s="387">
        <f t="shared" si="2"/>
        <v>18544.82</v>
      </c>
      <c r="I11" s="388"/>
    </row>
    <row r="12" spans="1:9" s="389" customFormat="1" ht="12.75" customHeight="1" x14ac:dyDescent="0.25">
      <c r="A12" s="382" t="s">
        <v>794</v>
      </c>
      <c r="B12" s="383">
        <v>46168</v>
      </c>
      <c r="C12" s="391" t="s">
        <v>795</v>
      </c>
      <c r="D12" s="386"/>
      <c r="E12" s="386">
        <f t="shared" si="0"/>
        <v>25212.59</v>
      </c>
      <c r="F12" s="392">
        <v>5124.17</v>
      </c>
      <c r="G12" s="387">
        <f t="shared" si="1"/>
        <v>11791.94</v>
      </c>
      <c r="H12" s="387">
        <f t="shared" si="2"/>
        <v>13420.65</v>
      </c>
      <c r="I12" s="388"/>
    </row>
    <row r="13" spans="1:9" s="389" customFormat="1" ht="12.75" customHeight="1" x14ac:dyDescent="0.25">
      <c r="A13" s="382" t="s">
        <v>885</v>
      </c>
      <c r="B13" s="383">
        <v>46191</v>
      </c>
      <c r="C13" s="391" t="s">
        <v>886</v>
      </c>
      <c r="D13" s="385">
        <v>-97.81</v>
      </c>
      <c r="E13" s="386">
        <f t="shared" si="0"/>
        <v>25114.78</v>
      </c>
      <c r="F13" s="392">
        <v>13322.84</v>
      </c>
      <c r="G13" s="387">
        <f t="shared" si="1"/>
        <v>25114.78</v>
      </c>
      <c r="H13" s="387">
        <f t="shared" si="2"/>
        <v>-5.1159076974727213E-13</v>
      </c>
      <c r="I13" s="388"/>
    </row>
    <row r="14" spans="1:9" s="389" customFormat="1" ht="12.75" customHeight="1" x14ac:dyDescent="0.25">
      <c r="A14" s="382"/>
      <c r="B14" s="383"/>
      <c r="C14" s="391"/>
      <c r="D14" s="386"/>
      <c r="E14" s="386">
        <f t="shared" si="0"/>
        <v>25114.78</v>
      </c>
      <c r="F14" s="387"/>
      <c r="G14" s="387">
        <f t="shared" si="1"/>
        <v>25114.78</v>
      </c>
      <c r="H14" s="387">
        <f t="shared" si="2"/>
        <v>-5.1159076974727213E-13</v>
      </c>
      <c r="I14" s="388"/>
    </row>
    <row r="15" spans="1:9" s="389" customFormat="1" ht="12.75" customHeight="1" x14ac:dyDescent="0.25">
      <c r="A15" s="382"/>
      <c r="B15" s="383"/>
      <c r="C15" s="391"/>
      <c r="D15" s="386"/>
      <c r="E15" s="386">
        <f t="shared" si="0"/>
        <v>25114.78</v>
      </c>
      <c r="F15" s="392"/>
      <c r="G15" s="387">
        <f t="shared" si="1"/>
        <v>25114.78</v>
      </c>
      <c r="H15" s="387">
        <f t="shared" si="2"/>
        <v>-5.1159076974727213E-13</v>
      </c>
      <c r="I15" s="388"/>
    </row>
    <row r="16" spans="1:9" s="389" customFormat="1" ht="12.75" customHeight="1" x14ac:dyDescent="0.25">
      <c r="A16" s="382"/>
      <c r="B16" s="383"/>
      <c r="C16" s="391"/>
      <c r="D16" s="386"/>
      <c r="E16" s="386">
        <f t="shared" si="0"/>
        <v>25114.78</v>
      </c>
      <c r="F16" s="392"/>
      <c r="G16" s="387">
        <f t="shared" si="1"/>
        <v>25114.78</v>
      </c>
      <c r="H16" s="387">
        <f t="shared" si="2"/>
        <v>-5.1159076974727213E-13</v>
      </c>
      <c r="I16" s="388"/>
    </row>
    <row r="17" spans="1:9" s="389" customFormat="1" ht="12.75" customHeight="1" x14ac:dyDescent="0.25">
      <c r="A17" s="382"/>
      <c r="B17" s="383"/>
      <c r="C17" s="391"/>
      <c r="D17" s="386"/>
      <c r="E17" s="386">
        <f t="shared" si="0"/>
        <v>25114.78</v>
      </c>
      <c r="F17" s="392"/>
      <c r="G17" s="387">
        <f t="shared" si="1"/>
        <v>25114.78</v>
      </c>
      <c r="H17" s="387">
        <f t="shared" si="2"/>
        <v>-5.1159076974727213E-13</v>
      </c>
      <c r="I17" s="388"/>
    </row>
    <row r="18" spans="1:9" s="389" customFormat="1" ht="12.75" customHeight="1" x14ac:dyDescent="0.25">
      <c r="A18" s="382"/>
      <c r="B18" s="383"/>
      <c r="C18" s="391"/>
      <c r="D18" s="386"/>
      <c r="E18" s="386">
        <f t="shared" si="0"/>
        <v>25114.78</v>
      </c>
      <c r="F18" s="392"/>
      <c r="G18" s="387">
        <f t="shared" si="1"/>
        <v>25114.78</v>
      </c>
      <c r="H18" s="387">
        <f t="shared" si="2"/>
        <v>-5.1159076974727213E-13</v>
      </c>
      <c r="I18" s="388"/>
    </row>
    <row r="19" spans="1:9" s="389" customFormat="1" ht="12.75" customHeight="1" x14ac:dyDescent="0.25">
      <c r="A19" s="382"/>
      <c r="B19" s="383"/>
      <c r="C19" s="391"/>
      <c r="D19" s="386"/>
      <c r="E19" s="386">
        <f t="shared" si="0"/>
        <v>25114.78</v>
      </c>
      <c r="F19" s="387"/>
      <c r="G19" s="387">
        <f t="shared" si="1"/>
        <v>25114.78</v>
      </c>
      <c r="H19" s="387">
        <f t="shared" si="2"/>
        <v>-5.1159076974727213E-13</v>
      </c>
      <c r="I19" s="388"/>
    </row>
    <row r="20" spans="1:9" s="389" customFormat="1" ht="12.75" customHeight="1" x14ac:dyDescent="0.25">
      <c r="A20" s="382"/>
      <c r="B20" s="383"/>
      <c r="C20" s="391"/>
      <c r="D20" s="386"/>
      <c r="E20" s="386">
        <f t="shared" si="0"/>
        <v>25114.78</v>
      </c>
      <c r="F20" s="387"/>
      <c r="G20" s="387">
        <f t="shared" si="1"/>
        <v>25114.78</v>
      </c>
      <c r="H20" s="387">
        <f t="shared" si="2"/>
        <v>-5.1159076974727213E-13</v>
      </c>
      <c r="I20" s="388"/>
    </row>
    <row r="21" spans="1:9" s="389" customFormat="1" ht="12.75" customHeight="1" x14ac:dyDescent="0.25">
      <c r="A21" s="382"/>
      <c r="B21" s="383"/>
      <c r="C21" s="393"/>
      <c r="D21" s="386"/>
      <c r="E21" s="386">
        <f t="shared" si="0"/>
        <v>25114.78</v>
      </c>
      <c r="F21" s="387"/>
      <c r="G21" s="387">
        <f t="shared" si="1"/>
        <v>25114.78</v>
      </c>
      <c r="H21" s="387">
        <f t="shared" si="2"/>
        <v>-5.1159076974727213E-13</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25114.78</v>
      </c>
      <c r="E23" s="396"/>
      <c r="F23" s="396">
        <f>SUM(F9:F22)</f>
        <v>25114.78</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463</v>
      </c>
      <c r="D26" s="387">
        <f>25124.09-9.31</f>
        <v>25114.78</v>
      </c>
      <c r="E26" s="387"/>
      <c r="F26" s="387">
        <f>3021.31+3646.46+5124.17+13322.84</f>
        <v>25114.78</v>
      </c>
      <c r="G26" s="387"/>
      <c r="H26" s="387">
        <f>D26-F26</f>
        <v>0</v>
      </c>
      <c r="I26" s="388"/>
    </row>
    <row r="27" spans="1:9" s="389" customFormat="1" ht="12.75" customHeight="1" x14ac:dyDescent="0.25">
      <c r="A27" s="382"/>
      <c r="B27" s="391"/>
      <c r="C27" s="372" t="s">
        <v>253</v>
      </c>
      <c r="D27" s="387">
        <f>88.5-88.5</f>
        <v>0</v>
      </c>
      <c r="E27" s="387"/>
      <c r="F27" s="387"/>
      <c r="G27" s="387"/>
      <c r="H27" s="387">
        <f t="shared" ref="H27" si="3">D27-F27</f>
        <v>0</v>
      </c>
      <c r="I27" s="388"/>
    </row>
    <row r="28" spans="1:9" s="389" customFormat="1" ht="12.75" customHeight="1" thickBot="1" x14ac:dyDescent="0.3">
      <c r="A28" s="382"/>
      <c r="B28" s="391"/>
      <c r="C28" s="399" t="s">
        <v>157</v>
      </c>
      <c r="D28" s="400">
        <f>SUM(D25:D27)</f>
        <v>25114.78</v>
      </c>
      <c r="E28" s="392"/>
      <c r="F28" s="400">
        <f>SUM(F25:F27)</f>
        <v>25114.78</v>
      </c>
      <c r="G28" s="392"/>
      <c r="H28" s="400">
        <f>SUM(H25:H27)</f>
        <v>0</v>
      </c>
      <c r="I28" s="388"/>
    </row>
    <row r="29" spans="1:9" s="389" customFormat="1" ht="12.75" customHeight="1" thickTop="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row r="51" s="389" customFormat="1" ht="12.75" customHeight="1" x14ac:dyDescent="0.25"/>
    <row r="52" s="389" customFormat="1" ht="12.75" customHeight="1" x14ac:dyDescent="0.25"/>
    <row r="53" s="389" customFormat="1" ht="12.75" customHeight="1" x14ac:dyDescent="0.25"/>
    <row r="54" s="389" customFormat="1" ht="12.75" customHeight="1" x14ac:dyDescent="0.25"/>
    <row r="55" s="389" customFormat="1" ht="12.75" customHeight="1" x14ac:dyDescent="0.25"/>
    <row r="56" s="389" customFormat="1" ht="12.75" customHeight="1" x14ac:dyDescent="0.25"/>
    <row r="57" s="389" customFormat="1" ht="12.75" customHeight="1" x14ac:dyDescent="0.25"/>
    <row r="58" s="389" customFormat="1" ht="12.75" customHeight="1" x14ac:dyDescent="0.25"/>
    <row r="59" s="389"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B61CA-4767-494C-A3CB-60B558F9FFB1}">
  <sheetPr codeName="Sheet100">
    <pageSetUpPr fitToPage="1"/>
  </sheetPr>
  <dimension ref="A1:I146"/>
  <sheetViews>
    <sheetView topLeftCell="A6"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34.28515625" bestFit="1" customWidth="1"/>
    <col min="4" max="4" width="14.42578125" customWidth="1"/>
    <col min="5" max="5" width="13.5703125" customWidth="1"/>
    <col min="6" max="6" width="12.42578125" customWidth="1"/>
    <col min="7" max="7" width="10.5703125" customWidth="1"/>
    <col min="8" max="8" width="12.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#9517.00'!B1</f>
        <v>DVA IVC Columbarium And Irrigation System Expansion</v>
      </c>
      <c r="B1" s="86"/>
      <c r="C1" s="6"/>
      <c r="D1" s="6"/>
      <c r="E1" s="6"/>
      <c r="F1" s="132"/>
      <c r="G1" s="132"/>
      <c r="H1" s="133"/>
      <c r="I1" s="133"/>
    </row>
    <row r="2" spans="1:9" ht="15.75" x14ac:dyDescent="0.25">
      <c r="A2" s="88" t="str">
        <f>'RECAP #9517.00'!B2</f>
        <v>Project # 9517.00</v>
      </c>
      <c r="B2" s="87"/>
      <c r="C2" s="6"/>
      <c r="D2" s="6"/>
      <c r="E2" s="6"/>
      <c r="F2" s="132"/>
      <c r="G2" s="132"/>
      <c r="H2" s="133"/>
      <c r="I2" s="133"/>
    </row>
    <row r="3" spans="1:9" ht="15.75" x14ac:dyDescent="0.25">
      <c r="A3" s="89" t="str">
        <f>'RECAP #9517.00'!B3</f>
        <v>Program code 951700</v>
      </c>
      <c r="B3" s="87"/>
      <c r="C3" s="6"/>
      <c r="D3" s="90" t="str">
        <f>'RECAP #9517.00'!E3</f>
        <v>Major Program 4E09</v>
      </c>
      <c r="E3" s="6"/>
      <c r="F3" s="132"/>
      <c r="G3" s="132"/>
      <c r="H3" s="133"/>
      <c r="I3" s="133"/>
    </row>
    <row r="4" spans="1:9" ht="15.75" x14ac:dyDescent="0.25">
      <c r="A4" s="116" t="s">
        <v>426</v>
      </c>
      <c r="B4" s="134"/>
      <c r="C4" s="135"/>
      <c r="D4" s="136" t="s">
        <v>428</v>
      </c>
      <c r="E4" s="132"/>
      <c r="F4" s="132"/>
      <c r="G4" s="132"/>
      <c r="H4" s="133"/>
      <c r="I4" s="133"/>
    </row>
    <row r="5" spans="1:9" ht="15.75" x14ac:dyDescent="0.25">
      <c r="A5" s="137" t="s">
        <v>182</v>
      </c>
      <c r="B5" s="138"/>
      <c r="C5" s="139"/>
      <c r="D5" s="140" t="s">
        <v>429</v>
      </c>
      <c r="E5" s="141"/>
      <c r="F5" s="142"/>
      <c r="G5" s="142"/>
      <c r="H5" s="138"/>
      <c r="I5" s="133"/>
    </row>
    <row r="6" spans="1:9" ht="15.75" x14ac:dyDescent="0.25">
      <c r="A6" s="93" t="str">
        <f>'RECAP #9517.00'!B6</f>
        <v>Project Manager - Brad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427</v>
      </c>
      <c r="B9" s="318">
        <v>46042</v>
      </c>
      <c r="C9" s="324" t="s">
        <v>146</v>
      </c>
      <c r="D9" s="186">
        <v>126620</v>
      </c>
      <c r="E9" s="320">
        <f>D9</f>
        <v>126620</v>
      </c>
      <c r="F9" s="321"/>
      <c r="G9" s="321"/>
      <c r="H9" s="321">
        <f>E9</f>
        <v>126620</v>
      </c>
      <c r="I9" s="322"/>
    </row>
    <row r="10" spans="1:9" s="308" customFormat="1" ht="12.75" customHeight="1" x14ac:dyDescent="0.25">
      <c r="A10" s="317" t="s">
        <v>569</v>
      </c>
      <c r="B10" s="323">
        <v>46097</v>
      </c>
      <c r="C10" s="324" t="s">
        <v>570</v>
      </c>
      <c r="D10" s="320"/>
      <c r="E10" s="320">
        <f t="shared" ref="E10:E21" si="0">E9+D10</f>
        <v>126620</v>
      </c>
      <c r="F10" s="325">
        <v>65560</v>
      </c>
      <c r="G10" s="321">
        <f t="shared" ref="G10:G21" si="1">G9+F10</f>
        <v>65560</v>
      </c>
      <c r="H10" s="321">
        <f t="shared" ref="H10:H21" si="2">H9-F10+D10</f>
        <v>61060</v>
      </c>
      <c r="I10" s="322"/>
    </row>
    <row r="11" spans="1:9" s="308" customFormat="1" ht="12.75" customHeight="1" x14ac:dyDescent="0.25">
      <c r="A11" s="317" t="s">
        <v>699</v>
      </c>
      <c r="B11" s="318">
        <v>46135</v>
      </c>
      <c r="C11" s="324" t="s">
        <v>700</v>
      </c>
      <c r="D11" s="320"/>
      <c r="E11" s="320">
        <f t="shared" si="0"/>
        <v>126620</v>
      </c>
      <c r="F11" s="325">
        <v>35860</v>
      </c>
      <c r="G11" s="321">
        <f t="shared" si="1"/>
        <v>101420</v>
      </c>
      <c r="H11" s="321">
        <f t="shared" si="2"/>
        <v>25200</v>
      </c>
      <c r="I11" s="322"/>
    </row>
    <row r="12" spans="1:9" s="308" customFormat="1" ht="12.75" customHeight="1" x14ac:dyDescent="0.25">
      <c r="A12" s="317" t="s">
        <v>427</v>
      </c>
      <c r="B12" s="318">
        <v>46154</v>
      </c>
      <c r="C12" s="324" t="s">
        <v>212</v>
      </c>
      <c r="D12" s="186">
        <v>8250</v>
      </c>
      <c r="E12" s="320">
        <f t="shared" si="0"/>
        <v>134870</v>
      </c>
      <c r="F12" s="326"/>
      <c r="G12" s="321">
        <f t="shared" si="1"/>
        <v>101420</v>
      </c>
      <c r="H12" s="321">
        <f t="shared" si="2"/>
        <v>33450</v>
      </c>
      <c r="I12" s="322"/>
    </row>
    <row r="13" spans="1:9" s="308" customFormat="1" ht="12.75" customHeight="1" x14ac:dyDescent="0.25">
      <c r="A13" s="317" t="s">
        <v>958</v>
      </c>
      <c r="B13" s="318">
        <v>46199</v>
      </c>
      <c r="C13" s="324" t="s">
        <v>959</v>
      </c>
      <c r="D13" s="320"/>
      <c r="E13" s="320">
        <f t="shared" si="0"/>
        <v>134870</v>
      </c>
      <c r="F13" s="325">
        <v>12395</v>
      </c>
      <c r="G13" s="321">
        <f t="shared" si="1"/>
        <v>113815</v>
      </c>
      <c r="H13" s="321">
        <f t="shared" si="2"/>
        <v>21055</v>
      </c>
      <c r="I13" s="322"/>
    </row>
    <row r="14" spans="1:9" s="308" customFormat="1" ht="12.75" customHeight="1" x14ac:dyDescent="0.25">
      <c r="A14" s="317"/>
      <c r="B14" s="318"/>
      <c r="C14" s="324"/>
      <c r="D14" s="320"/>
      <c r="E14" s="320">
        <f t="shared" si="0"/>
        <v>134870</v>
      </c>
      <c r="F14" s="321"/>
      <c r="G14" s="321">
        <f t="shared" si="1"/>
        <v>113815</v>
      </c>
      <c r="H14" s="321">
        <f t="shared" si="2"/>
        <v>21055</v>
      </c>
      <c r="I14" s="322"/>
    </row>
    <row r="15" spans="1:9" s="308" customFormat="1" ht="12.75" customHeight="1" x14ac:dyDescent="0.25">
      <c r="A15" s="317"/>
      <c r="B15" s="318"/>
      <c r="C15" s="324"/>
      <c r="D15" s="320"/>
      <c r="E15" s="320">
        <f t="shared" si="0"/>
        <v>134870</v>
      </c>
      <c r="F15" s="326"/>
      <c r="G15" s="321">
        <f t="shared" si="1"/>
        <v>113815</v>
      </c>
      <c r="H15" s="321">
        <f t="shared" si="2"/>
        <v>21055</v>
      </c>
      <c r="I15" s="322"/>
    </row>
    <row r="16" spans="1:9" s="308" customFormat="1" ht="12.75" customHeight="1" x14ac:dyDescent="0.25">
      <c r="A16" s="317"/>
      <c r="B16" s="318"/>
      <c r="C16" s="324"/>
      <c r="D16" s="320"/>
      <c r="E16" s="320">
        <f t="shared" si="0"/>
        <v>134870</v>
      </c>
      <c r="F16" s="326"/>
      <c r="G16" s="321">
        <f t="shared" si="1"/>
        <v>113815</v>
      </c>
      <c r="H16" s="321">
        <f t="shared" si="2"/>
        <v>21055</v>
      </c>
      <c r="I16" s="322"/>
    </row>
    <row r="17" spans="1:9" s="308" customFormat="1" ht="12.75" customHeight="1" x14ac:dyDescent="0.25">
      <c r="A17" s="317"/>
      <c r="B17" s="318"/>
      <c r="C17" s="324"/>
      <c r="D17" s="320"/>
      <c r="E17" s="320">
        <f t="shared" si="0"/>
        <v>134870</v>
      </c>
      <c r="F17" s="326"/>
      <c r="G17" s="321">
        <f t="shared" si="1"/>
        <v>113815</v>
      </c>
      <c r="H17" s="321">
        <f t="shared" si="2"/>
        <v>21055</v>
      </c>
      <c r="I17" s="322"/>
    </row>
    <row r="18" spans="1:9" s="308" customFormat="1" ht="12.75" customHeight="1" x14ac:dyDescent="0.25">
      <c r="A18" s="317"/>
      <c r="B18" s="318"/>
      <c r="C18" s="324"/>
      <c r="D18" s="320"/>
      <c r="E18" s="320">
        <f t="shared" si="0"/>
        <v>134870</v>
      </c>
      <c r="F18" s="326"/>
      <c r="G18" s="321">
        <f t="shared" si="1"/>
        <v>113815</v>
      </c>
      <c r="H18" s="321">
        <f t="shared" si="2"/>
        <v>21055</v>
      </c>
      <c r="I18" s="322"/>
    </row>
    <row r="19" spans="1:9" s="308" customFormat="1" ht="12.75" customHeight="1" x14ac:dyDescent="0.25">
      <c r="A19" s="317"/>
      <c r="B19" s="318"/>
      <c r="C19" s="324"/>
      <c r="D19" s="320"/>
      <c r="E19" s="320">
        <f t="shared" si="0"/>
        <v>134870</v>
      </c>
      <c r="F19" s="321"/>
      <c r="G19" s="321">
        <f t="shared" si="1"/>
        <v>113815</v>
      </c>
      <c r="H19" s="321">
        <f t="shared" si="2"/>
        <v>21055</v>
      </c>
      <c r="I19" s="322"/>
    </row>
    <row r="20" spans="1:9" s="308" customFormat="1" ht="12.75" customHeight="1" x14ac:dyDescent="0.25">
      <c r="A20" s="317"/>
      <c r="B20" s="318"/>
      <c r="C20" s="324"/>
      <c r="D20" s="320"/>
      <c r="E20" s="320">
        <f t="shared" si="0"/>
        <v>134870</v>
      </c>
      <c r="F20" s="321"/>
      <c r="G20" s="321">
        <f t="shared" si="1"/>
        <v>113815</v>
      </c>
      <c r="H20" s="321">
        <f t="shared" si="2"/>
        <v>21055</v>
      </c>
      <c r="I20" s="322"/>
    </row>
    <row r="21" spans="1:9" s="308" customFormat="1" ht="12.75" customHeight="1" x14ac:dyDescent="0.25">
      <c r="A21" s="317"/>
      <c r="B21" s="318"/>
      <c r="C21" s="327"/>
      <c r="D21" s="320"/>
      <c r="E21" s="320">
        <f t="shared" si="0"/>
        <v>134870</v>
      </c>
      <c r="F21" s="321"/>
      <c r="G21" s="321">
        <f t="shared" si="1"/>
        <v>113815</v>
      </c>
      <c r="H21" s="321">
        <f t="shared" si="2"/>
        <v>21055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134870</v>
      </c>
      <c r="E23" s="184"/>
      <c r="F23" s="184">
        <f>SUM(F9:F22)</f>
        <v>113815</v>
      </c>
      <c r="G23" s="184"/>
      <c r="H23" s="184">
        <f>D23-F23</f>
        <v>21055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430</v>
      </c>
      <c r="D26" s="321">
        <v>33540</v>
      </c>
      <c r="E26" s="321"/>
      <c r="F26" s="321">
        <f>33540</f>
        <v>33540</v>
      </c>
      <c r="G26" s="321"/>
      <c r="H26" s="321">
        <f>D26-F26</f>
        <v>0</v>
      </c>
      <c r="I26" s="322"/>
    </row>
    <row r="27" spans="1:9" s="308" customFormat="1" ht="12.75" customHeight="1" x14ac:dyDescent="0.25">
      <c r="A27" s="317"/>
      <c r="B27" s="324"/>
      <c r="C27" s="328" t="s">
        <v>431</v>
      </c>
      <c r="D27" s="321">
        <v>24300</v>
      </c>
      <c r="E27" s="321"/>
      <c r="F27" s="321">
        <f>24300</f>
        <v>24300</v>
      </c>
      <c r="G27" s="321"/>
      <c r="H27" s="321">
        <f t="shared" ref="H27:H33" si="3">D27-F27</f>
        <v>0</v>
      </c>
      <c r="I27" s="322"/>
    </row>
    <row r="28" spans="1:9" s="308" customFormat="1" ht="12.75" customHeight="1" x14ac:dyDescent="0.25">
      <c r="A28" s="317"/>
      <c r="B28" s="324"/>
      <c r="C28" s="328" t="s">
        <v>434</v>
      </c>
      <c r="D28" s="321">
        <v>15800</v>
      </c>
      <c r="E28" s="321"/>
      <c r="F28" s="321">
        <f>14220+1580</f>
        <v>15800</v>
      </c>
      <c r="G28" s="321"/>
      <c r="H28" s="321">
        <f t="shared" si="3"/>
        <v>0</v>
      </c>
      <c r="I28" s="322"/>
    </row>
    <row r="29" spans="1:9" s="308" customFormat="1" ht="12.75" customHeight="1" x14ac:dyDescent="0.25">
      <c r="A29" s="317"/>
      <c r="B29" s="324"/>
      <c r="C29" s="328" t="s">
        <v>433</v>
      </c>
      <c r="D29" s="321">
        <v>3180</v>
      </c>
      <c r="E29" s="321"/>
      <c r="F29" s="321"/>
      <c r="G29" s="321"/>
      <c r="H29" s="321">
        <f t="shared" si="3"/>
        <v>3180</v>
      </c>
      <c r="I29" s="322"/>
    </row>
    <row r="30" spans="1:9" s="308" customFormat="1" ht="12.75" customHeight="1" x14ac:dyDescent="0.25">
      <c r="A30" s="317"/>
      <c r="B30" s="324"/>
      <c r="C30" s="328" t="s">
        <v>432</v>
      </c>
      <c r="D30" s="321">
        <v>15400</v>
      </c>
      <c r="E30" s="321"/>
      <c r="F30" s="321"/>
      <c r="G30" s="321"/>
      <c r="H30" s="321">
        <f t="shared" si="3"/>
        <v>15400</v>
      </c>
      <c r="I30" s="322"/>
    </row>
    <row r="31" spans="1:9" s="308" customFormat="1" ht="12.75" customHeight="1" x14ac:dyDescent="0.25">
      <c r="A31" s="317"/>
      <c r="B31" s="324"/>
      <c r="C31" s="328" t="s">
        <v>435</v>
      </c>
      <c r="D31" s="321">
        <v>18400</v>
      </c>
      <c r="E31" s="321"/>
      <c r="F31" s="321">
        <f>6440+10120+1840</f>
        <v>18400</v>
      </c>
      <c r="G31" s="321"/>
      <c r="H31" s="321">
        <f t="shared" si="3"/>
        <v>0</v>
      </c>
      <c r="I31" s="322"/>
    </row>
    <row r="32" spans="1:9" s="308" customFormat="1" ht="12.75" customHeight="1" x14ac:dyDescent="0.25">
      <c r="A32" s="317"/>
      <c r="B32" s="324"/>
      <c r="C32" s="328" t="s">
        <v>436</v>
      </c>
      <c r="D32" s="321">
        <v>16000</v>
      </c>
      <c r="E32" s="185"/>
      <c r="F32" s="321">
        <f>1280+11520+3200</f>
        <v>16000</v>
      </c>
      <c r="G32" s="185"/>
      <c r="H32" s="321">
        <f t="shared" si="3"/>
        <v>0</v>
      </c>
      <c r="I32" s="322"/>
    </row>
    <row r="33" spans="1:9" s="308" customFormat="1" ht="12.75" customHeight="1" x14ac:dyDescent="0.25">
      <c r="A33" s="317"/>
      <c r="B33" s="324"/>
      <c r="C33" s="324" t="s">
        <v>212</v>
      </c>
      <c r="D33" s="321">
        <v>8250</v>
      </c>
      <c r="E33" s="185"/>
      <c r="F33" s="321">
        <f>5775</f>
        <v>5775</v>
      </c>
      <c r="G33" s="185"/>
      <c r="H33" s="321">
        <f t="shared" si="3"/>
        <v>2475</v>
      </c>
      <c r="I33" s="322"/>
    </row>
    <row r="34" spans="1:9" s="308" customFormat="1" ht="12.75" customHeight="1" thickBot="1" x14ac:dyDescent="0.3">
      <c r="A34" s="317"/>
      <c r="B34" s="324"/>
      <c r="C34" s="359" t="s">
        <v>157</v>
      </c>
      <c r="D34" s="360">
        <f>SUM(D26:D33)</f>
        <v>134870</v>
      </c>
      <c r="E34" s="326"/>
      <c r="F34" s="360">
        <f>SUM(F26:F33)</f>
        <v>113815</v>
      </c>
      <c r="G34" s="326"/>
      <c r="H34" s="360">
        <f>SUM(H26:H33)</f>
        <v>21055</v>
      </c>
      <c r="I34" s="322"/>
    </row>
    <row r="35" spans="1:9" s="308" customFormat="1" ht="12.75" customHeight="1" thickTop="1" x14ac:dyDescent="0.25"/>
    <row r="36" spans="1:9" s="308" customFormat="1" ht="12.75" customHeight="1" x14ac:dyDescent="0.25"/>
    <row r="37" spans="1:9" s="308" customFormat="1" ht="12.75" customHeight="1" x14ac:dyDescent="0.25"/>
    <row r="38" spans="1:9" s="308" customFormat="1" ht="12.75" customHeight="1" x14ac:dyDescent="0.25"/>
    <row r="39" spans="1:9" s="308" customFormat="1" ht="12.75" customHeight="1" x14ac:dyDescent="0.25"/>
    <row r="40" spans="1:9" s="308" customFormat="1" ht="12.75" customHeight="1" x14ac:dyDescent="0.25"/>
    <row r="41" spans="1:9" s="308" customFormat="1" ht="12.75" customHeight="1" x14ac:dyDescent="0.25"/>
    <row r="42" spans="1:9" s="308" customFormat="1" ht="12.75" customHeight="1" x14ac:dyDescent="0.25"/>
    <row r="43" spans="1:9" s="308" customFormat="1" ht="12.75" customHeight="1" x14ac:dyDescent="0.25"/>
    <row r="44" spans="1:9" s="308" customFormat="1" ht="12.75" customHeight="1" x14ac:dyDescent="0.25"/>
    <row r="45" spans="1:9" s="308" customFormat="1" ht="12.75" customHeight="1" x14ac:dyDescent="0.25"/>
    <row r="46" spans="1:9" s="308" customFormat="1" ht="12.75" customHeight="1" x14ac:dyDescent="0.25"/>
    <row r="47" spans="1:9" s="308" customFormat="1" ht="12.75" customHeight="1" x14ac:dyDescent="0.25"/>
    <row r="48" spans="1:9"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sheetData>
  <conditionalFormatting sqref="I9:I30">
    <cfRule type="cellIs" dxfId="8" priority="1" operator="greaterThan">
      <formula>$H$23</formula>
    </cfRule>
  </conditionalFormatting>
  <pageMargins left="0.25" right="0.25" top="0.85" bottom="0.75" header="0.08" footer="0.3"/>
  <pageSetup scale="7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2408-3610-4694-8DA5-054B71A0D06D}">
  <sheetPr codeName="Sheet101">
    <pageSetUpPr fitToPage="1"/>
  </sheetPr>
  <dimension ref="A1:G17"/>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477</v>
      </c>
      <c r="C1" s="86"/>
      <c r="D1" s="6"/>
      <c r="E1" s="6"/>
      <c r="F1" s="6"/>
      <c r="G1" s="6"/>
    </row>
    <row r="2" spans="1:7" ht="15.75" x14ac:dyDescent="0.25">
      <c r="A2" s="84"/>
      <c r="B2" s="88" t="s">
        <v>479</v>
      </c>
      <c r="C2" s="87"/>
      <c r="D2" s="6"/>
      <c r="E2" s="6"/>
      <c r="F2" s="6"/>
      <c r="G2" s="6"/>
    </row>
    <row r="3" spans="1:7" ht="15.75" x14ac:dyDescent="0.25">
      <c r="A3" s="84"/>
      <c r="B3" s="89" t="s">
        <v>480</v>
      </c>
      <c r="C3" s="87"/>
      <c r="D3" s="6"/>
      <c r="E3" s="90" t="s">
        <v>362</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481</v>
      </c>
      <c r="C6" s="94"/>
      <c r="D6" s="95" t="s">
        <v>3</v>
      </c>
      <c r="E6" s="6"/>
      <c r="F6" s="6"/>
      <c r="G6" s="6"/>
    </row>
    <row r="7" spans="1:7" ht="36.75" customHeight="1" thickBot="1" x14ac:dyDescent="0.3">
      <c r="A7" s="84"/>
      <c r="B7" s="96" t="s">
        <v>3</v>
      </c>
      <c r="C7" s="97" t="s">
        <v>0</v>
      </c>
      <c r="D7" s="98" t="s">
        <v>1</v>
      </c>
      <c r="E7" s="99" t="s">
        <v>2</v>
      </c>
      <c r="F7" s="100" t="s">
        <v>37</v>
      </c>
      <c r="G7" s="100" t="s">
        <v>38</v>
      </c>
    </row>
    <row r="8" spans="1:7" ht="28.35" customHeight="1" x14ac:dyDescent="0.25">
      <c r="A8" s="84"/>
      <c r="B8" s="87" t="s">
        <v>39</v>
      </c>
      <c r="C8" s="101">
        <f>'#9532.00 Funds Rec''d'!H24</f>
        <v>275000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141</v>
      </c>
      <c r="C10" s="376"/>
      <c r="D10" s="379">
        <f>'#9532.00 McGough Construction'!D23</f>
        <v>12352.15</v>
      </c>
      <c r="E10" s="379">
        <f>'#9532.00 McGough Construction'!F23</f>
        <v>9030.1999999999989</v>
      </c>
      <c r="F10" s="379">
        <f>'#9532.00 McGough Construction'!H23</f>
        <v>3321.9500000000007</v>
      </c>
      <c r="G10" s="378"/>
    </row>
    <row r="11" spans="1:7" s="308" customFormat="1" ht="12.75" customHeight="1" x14ac:dyDescent="0.25">
      <c r="A11" s="374"/>
      <c r="B11" s="375" t="s">
        <v>41</v>
      </c>
      <c r="C11" s="376"/>
      <c r="D11" s="379">
        <f>'#9532.00 PM TIME'!E23</f>
        <v>8000</v>
      </c>
      <c r="E11" s="379">
        <f>'#9532.00 PM TIME'!G23</f>
        <v>4760.82</v>
      </c>
      <c r="F11" s="379">
        <f>'#9532.00 PM TIME'!I23</f>
        <v>3239.1800000000003</v>
      </c>
      <c r="G11" s="378"/>
    </row>
    <row r="12" spans="1:7" s="308" customFormat="1" ht="12.75" customHeight="1" x14ac:dyDescent="0.25">
      <c r="A12" s="374"/>
      <c r="B12" s="375" t="s">
        <v>42</v>
      </c>
      <c r="C12" s="377"/>
      <c r="D12" s="367">
        <f>'#9532.00 Misc'!G22</f>
        <v>95</v>
      </c>
      <c r="E12" s="367">
        <f>'#9532.00 Misc'!G22</f>
        <v>95</v>
      </c>
      <c r="F12" s="379">
        <f>D12-E12</f>
        <v>0</v>
      </c>
      <c r="G12" s="378"/>
    </row>
    <row r="13" spans="1:7" s="308" customFormat="1" ht="12.75" customHeight="1" x14ac:dyDescent="0.25">
      <c r="A13" s="374"/>
      <c r="B13" s="375" t="s">
        <v>614</v>
      </c>
      <c r="C13" s="377"/>
      <c r="D13" s="367">
        <f>'#9532.00 OPN Architects'!D23</f>
        <v>35310</v>
      </c>
      <c r="E13" s="367">
        <f>'#9532.00 OPN Architects'!F23</f>
        <v>20880</v>
      </c>
      <c r="F13" s="379">
        <f>'#9532.00 OPN Architects'!H23</f>
        <v>14430</v>
      </c>
      <c r="G13" s="378"/>
    </row>
    <row r="14" spans="1:7" s="308" customFormat="1" ht="12.75" customHeight="1" x14ac:dyDescent="0.25">
      <c r="A14" s="374"/>
      <c r="B14" s="375" t="s">
        <v>562</v>
      </c>
      <c r="C14" s="377"/>
      <c r="D14" s="367">
        <f>'#9532.00 McGough Constructi (2)'!D23</f>
        <v>41846.910000000003</v>
      </c>
      <c r="E14" s="367">
        <f>'#9532.00 McGough Constructi (2)'!F23</f>
        <v>0</v>
      </c>
      <c r="F14" s="379">
        <f>'#9532.00 McGough Constructi (2)'!H23</f>
        <v>41846.910000000003</v>
      </c>
      <c r="G14" s="378"/>
    </row>
    <row r="15" spans="1:7" s="308" customFormat="1" ht="12.75" customHeight="1" x14ac:dyDescent="0.25">
      <c r="A15" s="374"/>
      <c r="B15" s="375"/>
      <c r="C15" s="377"/>
      <c r="D15" s="367"/>
      <c r="E15" s="367"/>
      <c r="F15" s="379"/>
      <c r="G15" s="378"/>
    </row>
    <row r="16" spans="1:7" ht="24" customHeight="1" thickBot="1" x14ac:dyDescent="0.3">
      <c r="A16" s="107"/>
      <c r="B16" s="108" t="s">
        <v>43</v>
      </c>
      <c r="C16" s="109">
        <f>SUM(C8:C15)</f>
        <v>275000</v>
      </c>
      <c r="D16" s="109">
        <f>SUM(D8:D15)</f>
        <v>97604.06</v>
      </c>
      <c r="E16" s="109">
        <f>SUM(E8:E15)</f>
        <v>34766.019999999997</v>
      </c>
      <c r="F16" s="109">
        <f>SUM(D16-E16)</f>
        <v>62838.04</v>
      </c>
      <c r="G16" s="109">
        <f>C8-D16</f>
        <v>177395.94</v>
      </c>
    </row>
    <row r="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&amp;LAcct Code: 0506-335-DA26
&amp;C&amp;Z&amp;F&amp;R&amp;P/&amp;N
</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146F-3860-4629-9C82-6ACD7852AD88}">
  <sheetPr codeName="Sheet102">
    <pageSetUpPr fitToPage="1"/>
  </sheetPr>
  <dimension ref="A1:I25"/>
  <sheetViews>
    <sheetView topLeftCell="A6"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39.85546875"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9" x14ac:dyDescent="0.25">
      <c r="A1" s="111" t="str">
        <f>'RECAP #9532.00'!B1</f>
        <v>DPS-DCI ANK Room A155, A156 and A157 Renovation</v>
      </c>
      <c r="B1" s="7"/>
      <c r="C1" s="2"/>
      <c r="D1" s="3"/>
      <c r="E1" s="3"/>
      <c r="F1" s="7"/>
      <c r="G1" s="7"/>
      <c r="H1" s="7"/>
    </row>
    <row r="2" spans="1:9" x14ac:dyDescent="0.25">
      <c r="A2" s="112" t="str">
        <f>'RECAP #9532.00'!B2</f>
        <v>Project # 9532.00</v>
      </c>
      <c r="B2" s="7"/>
      <c r="C2" s="113" t="s">
        <v>3</v>
      </c>
      <c r="D2" s="1"/>
      <c r="E2" s="1"/>
      <c r="F2" s="7"/>
      <c r="G2" s="7"/>
      <c r="H2" s="7"/>
    </row>
    <row r="3" spans="1:9" x14ac:dyDescent="0.25">
      <c r="A3" s="114" t="str">
        <f>'RECAP #9532.00'!B3</f>
        <v>Program code 953200</v>
      </c>
      <c r="B3" s="7"/>
      <c r="C3" s="113" t="s">
        <v>3</v>
      </c>
      <c r="D3" s="115" t="str">
        <f>'RECAP #9532.00'!E3</f>
        <v>Major Program 4E08</v>
      </c>
      <c r="E3" s="3"/>
      <c r="F3" s="7"/>
      <c r="G3" s="7"/>
      <c r="H3" s="7"/>
    </row>
    <row r="4" spans="1:9" ht="15.75" x14ac:dyDescent="0.25">
      <c r="A4" s="116" t="s">
        <v>44</v>
      </c>
      <c r="B4" s="117" t="s">
        <v>3</v>
      </c>
      <c r="C4" s="3"/>
      <c r="D4" s="3"/>
      <c r="E4" s="3"/>
      <c r="F4" s="7"/>
      <c r="G4" s="7"/>
      <c r="H4" s="7"/>
    </row>
    <row r="5" spans="1:9" x14ac:dyDescent="0.25">
      <c r="A5" s="107" t="s">
        <v>122</v>
      </c>
      <c r="B5" s="25"/>
      <c r="C5" s="118"/>
      <c r="D5" s="26"/>
      <c r="E5" s="7"/>
      <c r="F5" s="7"/>
      <c r="G5" s="7"/>
      <c r="H5" s="7"/>
    </row>
    <row r="6" spans="1:9" x14ac:dyDescent="0.25">
      <c r="A6" s="119" t="str">
        <f>'RECAP #9532.00'!B6</f>
        <v>Project Manager - James T</v>
      </c>
      <c r="B6" s="25"/>
      <c r="C6" s="120"/>
      <c r="D6" s="26"/>
      <c r="E6" s="25"/>
      <c r="F6" s="26"/>
      <c r="G6" s="120"/>
      <c r="H6" s="120"/>
    </row>
    <row r="7" spans="1:9" ht="18" x14ac:dyDescent="0.25">
      <c r="A7" s="119"/>
      <c r="B7" s="9"/>
      <c r="C7" s="10"/>
      <c r="D7" s="11"/>
      <c r="E7" s="9"/>
      <c r="F7" s="8"/>
      <c r="G7" s="10"/>
      <c r="H7" s="10"/>
    </row>
    <row r="8" spans="1:9" ht="50.85" customHeight="1" thickBot="1" x14ac:dyDescent="0.3">
      <c r="A8" s="121" t="s">
        <v>4</v>
      </c>
      <c r="B8" s="122" t="s">
        <v>45</v>
      </c>
      <c r="C8" s="123" t="s">
        <v>5</v>
      </c>
      <c r="D8" s="121" t="s">
        <v>6</v>
      </c>
      <c r="E8" s="122" t="s">
        <v>46</v>
      </c>
      <c r="F8" s="124" t="s">
        <v>7</v>
      </c>
      <c r="G8" s="123" t="s">
        <v>5</v>
      </c>
      <c r="H8" s="125" t="s">
        <v>8</v>
      </c>
    </row>
    <row r="9" spans="1:9" x14ac:dyDescent="0.25">
      <c r="A9" s="12"/>
      <c r="B9" s="126"/>
      <c r="C9" s="14"/>
      <c r="D9" s="15" t="s">
        <v>96</v>
      </c>
      <c r="E9" s="15" t="s">
        <v>485</v>
      </c>
      <c r="F9" s="127">
        <v>46059</v>
      </c>
      <c r="G9" s="405">
        <v>100000</v>
      </c>
      <c r="H9" s="405">
        <v>100000</v>
      </c>
    </row>
    <row r="10" spans="1:9" x14ac:dyDescent="0.25">
      <c r="A10" s="12"/>
      <c r="B10" s="12"/>
      <c r="C10" s="13"/>
      <c r="D10" s="15" t="s">
        <v>511</v>
      </c>
      <c r="E10" s="12" t="s">
        <v>512</v>
      </c>
      <c r="F10" s="12">
        <v>46066</v>
      </c>
      <c r="G10" s="418">
        <v>195000</v>
      </c>
      <c r="H10" s="415">
        <v>195000</v>
      </c>
    </row>
    <row r="11" spans="1:9" x14ac:dyDescent="0.25">
      <c r="A11" s="22"/>
      <c r="B11" s="13"/>
      <c r="C11" s="18"/>
      <c r="D11" s="15" t="s">
        <v>1000</v>
      </c>
      <c r="E11" s="12" t="s">
        <v>1001</v>
      </c>
      <c r="F11" s="12">
        <v>46212</v>
      </c>
      <c r="G11" s="113">
        <v>-220000</v>
      </c>
      <c r="H11" s="113">
        <v>-220000</v>
      </c>
    </row>
    <row r="12" spans="1:9" x14ac:dyDescent="0.25">
      <c r="A12" s="22"/>
      <c r="B12" s="13"/>
      <c r="C12" s="23"/>
      <c r="D12" s="15" t="s">
        <v>266</v>
      </c>
      <c r="E12" s="12" t="s">
        <v>1048</v>
      </c>
      <c r="F12" s="12">
        <v>46224</v>
      </c>
      <c r="G12" s="418">
        <v>200000</v>
      </c>
      <c r="H12" s="418">
        <v>200000</v>
      </c>
      <c r="I12" s="487" t="s">
        <v>1012</v>
      </c>
    </row>
    <row r="13" spans="1:9" x14ac:dyDescent="0.25">
      <c r="A13" s="19"/>
      <c r="B13" s="24"/>
      <c r="C13" s="23"/>
      <c r="D13" s="15"/>
      <c r="F13" s="12"/>
      <c r="G13" s="128"/>
      <c r="H13" s="129"/>
    </row>
    <row r="14" spans="1:9" x14ac:dyDescent="0.25">
      <c r="A14" s="22"/>
      <c r="B14" s="25"/>
      <c r="C14" s="23"/>
      <c r="D14" s="13"/>
      <c r="E14" s="25"/>
      <c r="F14" s="12"/>
      <c r="G14" s="20"/>
      <c r="H14" s="21"/>
    </row>
    <row r="15" spans="1:9" x14ac:dyDescent="0.25">
      <c r="A15" s="22"/>
      <c r="B15" s="25"/>
      <c r="C15" s="118"/>
      <c r="D15" s="26"/>
      <c r="E15" s="24"/>
      <c r="F15" s="130"/>
      <c r="G15" s="27"/>
      <c r="H15" s="27"/>
    </row>
    <row r="16" spans="1:9"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275000</v>
      </c>
      <c r="H24" s="131">
        <f>SUM(H9:H22)</f>
        <v>275000</v>
      </c>
    </row>
    <row r="25" spans="1:8" ht="15" customHeight="1" thickTop="1" x14ac:dyDescent="0.25"/>
  </sheetData>
  <pageMargins left="0.25" right="0.25" top="0.85" bottom="0.75" header="0.08" footer="0.3"/>
  <pageSetup scale="6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93031-382B-4BCA-BFDA-0A17B0BE175E}">
  <sheetPr codeName="Sheet103">
    <pageSetUpPr fitToPage="1"/>
  </sheetPr>
  <dimension ref="A1:I124"/>
  <sheetViews>
    <sheetView topLeftCell="A3" zoomScaleNormal="100" workbookViewId="0">
      <selection activeCell="C13" sqref="C13"/>
    </sheetView>
  </sheetViews>
  <sheetFormatPr defaultColWidth="11.42578125" defaultRowHeight="15" customHeight="1" x14ac:dyDescent="0.25"/>
  <cols>
    <col min="1" max="1" width="24.5703125" customWidth="1"/>
    <col min="2" max="2" width="9.42578125" customWidth="1"/>
    <col min="3" max="3" width="19.85546875"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#9532.00'!B1</f>
        <v>DPS-DCI ANK Room A155, A156 and A157 Renovation</v>
      </c>
      <c r="B1" s="86"/>
      <c r="C1" s="6"/>
      <c r="D1" s="6"/>
      <c r="E1" s="6"/>
      <c r="F1" s="132"/>
      <c r="G1" s="132"/>
      <c r="H1" s="133"/>
      <c r="I1" s="133"/>
    </row>
    <row r="2" spans="1:9" ht="15.75" x14ac:dyDescent="0.25">
      <c r="A2" s="88" t="str">
        <f>'RECAP #9532.00'!B2</f>
        <v>Project # 9532.00</v>
      </c>
      <c r="B2" s="87"/>
      <c r="C2" s="6"/>
      <c r="D2" s="6"/>
      <c r="E2" s="6"/>
      <c r="F2" s="132"/>
      <c r="G2" s="132"/>
      <c r="H2" s="133"/>
      <c r="I2" s="133"/>
    </row>
    <row r="3" spans="1:9" ht="15.75" x14ac:dyDescent="0.25">
      <c r="A3" s="89" t="str">
        <f>'RECAP #9532.00'!B3</f>
        <v>Program code 953200</v>
      </c>
      <c r="B3" s="87"/>
      <c r="C3" s="6"/>
      <c r="D3" s="90" t="str">
        <f>'RECAP #9532.00'!E3</f>
        <v>Major Program 4E08</v>
      </c>
      <c r="E3" s="6"/>
      <c r="F3" s="132"/>
      <c r="G3" s="132"/>
      <c r="H3" s="133"/>
      <c r="I3" s="133"/>
    </row>
    <row r="4" spans="1:9" ht="15.75" x14ac:dyDescent="0.25">
      <c r="A4" s="116" t="s">
        <v>141</v>
      </c>
      <c r="B4" s="134"/>
      <c r="C4" s="135"/>
      <c r="D4" s="136" t="s">
        <v>142</v>
      </c>
      <c r="E4" s="132"/>
      <c r="F4" s="132"/>
      <c r="G4" s="132"/>
      <c r="H4" s="133"/>
      <c r="I4" s="133"/>
    </row>
    <row r="5" spans="1:9" ht="15.75" x14ac:dyDescent="0.25">
      <c r="A5" s="137" t="s">
        <v>147</v>
      </c>
      <c r="B5" s="138"/>
      <c r="C5" s="139"/>
      <c r="D5" s="140" t="s">
        <v>143</v>
      </c>
      <c r="E5" s="141"/>
      <c r="F5" s="142"/>
      <c r="G5" s="142"/>
      <c r="H5" s="138"/>
      <c r="I5" s="133"/>
    </row>
    <row r="6" spans="1:9" ht="15.75" x14ac:dyDescent="0.25">
      <c r="A6" s="93" t="str">
        <f>'RECAP #9532.00'!B6</f>
        <v>Project Manager - James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ht="12.75" customHeight="1" x14ac:dyDescent="0.25">
      <c r="A9" s="152" t="s">
        <v>516</v>
      </c>
      <c r="B9" s="153">
        <v>46069</v>
      </c>
      <c r="C9" s="154" t="s">
        <v>146</v>
      </c>
      <c r="D9" s="186">
        <v>12352.15</v>
      </c>
      <c r="E9" s="155">
        <f>D9</f>
        <v>12352.15</v>
      </c>
      <c r="F9" s="156"/>
      <c r="G9" s="156"/>
      <c r="H9" s="156">
        <f>E9</f>
        <v>12352.15</v>
      </c>
      <c r="I9" s="157"/>
    </row>
    <row r="10" spans="1:9" ht="12.75" customHeight="1" x14ac:dyDescent="0.25">
      <c r="A10" s="152" t="s">
        <v>573</v>
      </c>
      <c r="B10" s="19">
        <v>46098</v>
      </c>
      <c r="C10" s="154" t="s">
        <v>574</v>
      </c>
      <c r="D10" s="155"/>
      <c r="E10" s="155">
        <f t="shared" ref="E10:E21" si="0">E9+D10</f>
        <v>12352.15</v>
      </c>
      <c r="F10" s="325">
        <v>1421.62</v>
      </c>
      <c r="G10" s="156">
        <f t="shared" ref="G10:G21" si="1">G9+F10</f>
        <v>1421.62</v>
      </c>
      <c r="H10" s="156">
        <f t="shared" ref="H10:H21" si="2">H9-F10+D10</f>
        <v>10930.529999999999</v>
      </c>
      <c r="I10" s="157"/>
    </row>
    <row r="11" spans="1:9" ht="12.75" customHeight="1" x14ac:dyDescent="0.25">
      <c r="A11" s="152" t="s">
        <v>634</v>
      </c>
      <c r="B11" s="153">
        <v>46127</v>
      </c>
      <c r="C11" s="154" t="s">
        <v>635</v>
      </c>
      <c r="D11" s="155"/>
      <c r="E11" s="155">
        <f t="shared" si="0"/>
        <v>12352.15</v>
      </c>
      <c r="F11" s="325">
        <v>1550.69</v>
      </c>
      <c r="G11" s="156">
        <f t="shared" si="1"/>
        <v>2972.31</v>
      </c>
      <c r="H11" s="156">
        <f t="shared" si="2"/>
        <v>9379.8399999999983</v>
      </c>
      <c r="I11" s="157"/>
    </row>
    <row r="12" spans="1:9" ht="12.75" customHeight="1" x14ac:dyDescent="0.25">
      <c r="A12" s="152" t="s">
        <v>755</v>
      </c>
      <c r="B12" s="153">
        <v>46161</v>
      </c>
      <c r="C12" s="154" t="s">
        <v>756</v>
      </c>
      <c r="D12" s="155"/>
      <c r="E12" s="155">
        <f t="shared" si="0"/>
        <v>12352.15</v>
      </c>
      <c r="F12" s="325">
        <v>823.14</v>
      </c>
      <c r="G12" s="156">
        <f t="shared" si="1"/>
        <v>3795.45</v>
      </c>
      <c r="H12" s="156">
        <f t="shared" si="2"/>
        <v>8556.6999999999989</v>
      </c>
      <c r="I12" s="157"/>
    </row>
    <row r="13" spans="1:9" ht="12.75" customHeight="1" x14ac:dyDescent="0.25">
      <c r="A13" s="152" t="s">
        <v>833</v>
      </c>
      <c r="B13" s="153">
        <v>46176</v>
      </c>
      <c r="C13" s="154" t="s">
        <v>834</v>
      </c>
      <c r="D13" s="155"/>
      <c r="E13" s="155">
        <f t="shared" si="0"/>
        <v>12352.15</v>
      </c>
      <c r="F13" s="325">
        <v>1188.44</v>
      </c>
      <c r="G13" s="156">
        <f t="shared" si="1"/>
        <v>4983.8899999999994</v>
      </c>
      <c r="H13" s="156">
        <f t="shared" si="2"/>
        <v>7368.2599999999984</v>
      </c>
      <c r="I13" s="157"/>
    </row>
    <row r="14" spans="1:9" ht="12.75" customHeight="1" x14ac:dyDescent="0.25">
      <c r="A14" s="152" t="s">
        <v>998</v>
      </c>
      <c r="B14" s="153">
        <v>46212</v>
      </c>
      <c r="C14" s="154" t="s">
        <v>999</v>
      </c>
      <c r="D14" s="155"/>
      <c r="E14" s="155">
        <f t="shared" si="0"/>
        <v>12352.15</v>
      </c>
      <c r="F14" s="325">
        <v>4046.31</v>
      </c>
      <c r="G14" s="156">
        <f t="shared" si="1"/>
        <v>9030.1999999999989</v>
      </c>
      <c r="H14" s="156">
        <f t="shared" si="2"/>
        <v>3321.9499999999985</v>
      </c>
      <c r="I14" s="157"/>
    </row>
    <row r="15" spans="1:9" ht="12.75" customHeight="1" x14ac:dyDescent="0.25">
      <c r="A15" s="152"/>
      <c r="B15" s="153"/>
      <c r="C15" s="154"/>
      <c r="D15" s="155"/>
      <c r="E15" s="155">
        <f t="shared" si="0"/>
        <v>12352.15</v>
      </c>
      <c r="F15" s="158"/>
      <c r="G15" s="156">
        <f t="shared" si="1"/>
        <v>9030.1999999999989</v>
      </c>
      <c r="H15" s="156">
        <f t="shared" si="2"/>
        <v>3321.9499999999985</v>
      </c>
      <c r="I15" s="157"/>
    </row>
    <row r="16" spans="1:9" ht="12.75" customHeight="1" x14ac:dyDescent="0.25">
      <c r="A16" s="152"/>
      <c r="B16" s="153"/>
      <c r="C16" s="154"/>
      <c r="D16" s="155"/>
      <c r="E16" s="155">
        <f t="shared" si="0"/>
        <v>12352.15</v>
      </c>
      <c r="F16" s="158"/>
      <c r="G16" s="156">
        <f t="shared" si="1"/>
        <v>9030.1999999999989</v>
      </c>
      <c r="H16" s="156">
        <f t="shared" si="2"/>
        <v>3321.9499999999985</v>
      </c>
      <c r="I16" s="157"/>
    </row>
    <row r="17" spans="1:9" ht="12.75" customHeight="1" x14ac:dyDescent="0.25">
      <c r="A17" s="152"/>
      <c r="B17" s="153"/>
      <c r="C17" s="154"/>
      <c r="D17" s="155"/>
      <c r="E17" s="155">
        <f t="shared" si="0"/>
        <v>12352.15</v>
      </c>
      <c r="F17" s="158"/>
      <c r="G17" s="156">
        <f t="shared" si="1"/>
        <v>9030.1999999999989</v>
      </c>
      <c r="H17" s="156">
        <f t="shared" si="2"/>
        <v>3321.9499999999985</v>
      </c>
      <c r="I17" s="157"/>
    </row>
    <row r="18" spans="1:9" ht="12.75" customHeight="1" x14ac:dyDescent="0.25">
      <c r="A18" s="152"/>
      <c r="B18" s="153"/>
      <c r="C18" s="154"/>
      <c r="D18" s="155"/>
      <c r="E18" s="155">
        <f t="shared" si="0"/>
        <v>12352.15</v>
      </c>
      <c r="F18" s="158"/>
      <c r="G18" s="156">
        <f t="shared" si="1"/>
        <v>9030.1999999999989</v>
      </c>
      <c r="H18" s="156">
        <f t="shared" si="2"/>
        <v>3321.9499999999985</v>
      </c>
      <c r="I18" s="157"/>
    </row>
    <row r="19" spans="1:9" ht="12.75" customHeight="1" x14ac:dyDescent="0.25">
      <c r="A19" s="152"/>
      <c r="B19" s="153"/>
      <c r="C19" s="154"/>
      <c r="D19" s="155"/>
      <c r="E19" s="155">
        <f t="shared" si="0"/>
        <v>12352.15</v>
      </c>
      <c r="F19" s="156"/>
      <c r="G19" s="156">
        <f t="shared" si="1"/>
        <v>9030.1999999999989</v>
      </c>
      <c r="H19" s="156">
        <f t="shared" si="2"/>
        <v>3321.9499999999985</v>
      </c>
      <c r="I19" s="157"/>
    </row>
    <row r="20" spans="1:9" ht="12.75" customHeight="1" x14ac:dyDescent="0.25">
      <c r="A20" s="152"/>
      <c r="B20" s="153"/>
      <c r="C20" s="154"/>
      <c r="D20" s="155"/>
      <c r="E20" s="155">
        <f t="shared" si="0"/>
        <v>12352.15</v>
      </c>
      <c r="F20" s="156"/>
      <c r="G20" s="156">
        <f t="shared" si="1"/>
        <v>9030.1999999999989</v>
      </c>
      <c r="H20" s="156">
        <f t="shared" si="2"/>
        <v>3321.9499999999985</v>
      </c>
      <c r="I20" s="157"/>
    </row>
    <row r="21" spans="1:9" ht="12.75" customHeight="1" x14ac:dyDescent="0.25">
      <c r="A21" s="152"/>
      <c r="B21" s="153"/>
      <c r="C21" s="159"/>
      <c r="D21" s="155"/>
      <c r="E21" s="155">
        <f t="shared" si="0"/>
        <v>12352.15</v>
      </c>
      <c r="F21" s="156"/>
      <c r="G21" s="156">
        <f t="shared" si="1"/>
        <v>9030.1999999999989</v>
      </c>
      <c r="H21" s="156">
        <f t="shared" si="2"/>
        <v>3321.9499999999985</v>
      </c>
      <c r="I21" s="157"/>
    </row>
    <row r="22" spans="1:9" ht="12.75" customHeight="1" x14ac:dyDescent="0.25">
      <c r="A22" s="152"/>
      <c r="B22" s="154"/>
      <c r="C22" s="160"/>
      <c r="D22" s="156"/>
      <c r="E22" s="156"/>
      <c r="F22" s="156"/>
      <c r="G22" s="156"/>
      <c r="H22" s="156"/>
      <c r="I22" s="157"/>
    </row>
    <row r="23" spans="1:9" ht="12.75" customHeight="1" thickBot="1" x14ac:dyDescent="0.3">
      <c r="A23" s="152"/>
      <c r="B23" s="161"/>
      <c r="C23" s="330" t="s">
        <v>54</v>
      </c>
      <c r="D23" s="184">
        <f>SUM(D9:D22)</f>
        <v>12352.15</v>
      </c>
      <c r="E23" s="184"/>
      <c r="F23" s="184">
        <f>SUM(F9:F22)</f>
        <v>9030.1999999999989</v>
      </c>
      <c r="G23" s="184"/>
      <c r="H23" s="184">
        <f>D23-F23</f>
        <v>3321.9500000000007</v>
      </c>
      <c r="I23" s="157"/>
    </row>
    <row r="24" spans="1:9" ht="12.75" customHeight="1" thickTop="1" x14ac:dyDescent="0.25">
      <c r="A24" s="152"/>
      <c r="B24" s="154"/>
      <c r="C24" s="160"/>
      <c r="D24" s="156"/>
      <c r="E24" s="156"/>
      <c r="F24" s="156"/>
      <c r="G24" s="156"/>
      <c r="H24" s="156"/>
      <c r="I24" s="157"/>
    </row>
    <row r="25" spans="1:9" ht="12.75" customHeight="1" x14ac:dyDescent="0.25">
      <c r="A25" s="152"/>
      <c r="B25" s="154"/>
      <c r="C25" s="160"/>
      <c r="D25" s="156"/>
      <c r="E25" s="156"/>
      <c r="F25" s="156"/>
      <c r="G25" s="156"/>
      <c r="H25" s="156"/>
      <c r="I25" s="157"/>
    </row>
    <row r="26" spans="1:9" ht="12.75" customHeight="1" x14ac:dyDescent="0.25">
      <c r="A26" s="152"/>
      <c r="B26" s="154"/>
      <c r="C26" s="160"/>
      <c r="D26" s="156"/>
      <c r="E26" s="156"/>
      <c r="F26" s="156"/>
      <c r="G26" s="156"/>
      <c r="H26" s="156"/>
      <c r="I26" s="157"/>
    </row>
    <row r="27" spans="1:9" ht="12.75" customHeight="1" x14ac:dyDescent="0.25">
      <c r="A27" s="152"/>
      <c r="B27" s="154"/>
      <c r="C27" s="160"/>
      <c r="D27" s="156"/>
      <c r="E27" s="156"/>
      <c r="F27" s="156"/>
      <c r="G27" s="156"/>
      <c r="H27" s="156"/>
      <c r="I27" s="157"/>
    </row>
    <row r="28" spans="1:9" ht="12.75" customHeight="1" x14ac:dyDescent="0.25">
      <c r="A28" s="152"/>
      <c r="B28" s="154"/>
      <c r="C28" s="160"/>
      <c r="D28" s="156"/>
      <c r="E28" s="187"/>
      <c r="F28" s="187"/>
      <c r="G28" s="187"/>
      <c r="H28" s="156"/>
      <c r="I28" s="157"/>
    </row>
    <row r="29" spans="1:9" ht="12.75" customHeight="1" x14ac:dyDescent="0.25">
      <c r="A29" s="152"/>
      <c r="B29" s="154"/>
      <c r="C29" s="175"/>
      <c r="D29" s="416"/>
      <c r="E29" s="158"/>
      <c r="F29" s="416"/>
      <c r="G29" s="158"/>
      <c r="H29" s="416"/>
      <c r="I29" s="157"/>
    </row>
    <row r="30" spans="1:9" ht="12.75" customHeight="1" x14ac:dyDescent="0.25"/>
    <row r="31" spans="1:9" ht="12.75" customHeight="1" x14ac:dyDescent="0.25"/>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sheetData>
  <conditionalFormatting sqref="I9:I25">
    <cfRule type="cellIs" dxfId="7" priority="1" operator="greaterThan">
      <formula>$H$23</formula>
    </cfRule>
  </conditionalFormatting>
  <pageMargins left="0.25" right="0.25" top="0.85" bottom="0.75" header="0.08" footer="0.3"/>
  <pageSetup scale="7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0B9AE-7257-4B14-B8E8-4D0ACD743A7F}">
  <sheetPr codeName="Sheet104">
    <pageSetUpPr fitToPage="1"/>
  </sheetPr>
  <dimension ref="A1:J182"/>
  <sheetViews>
    <sheetView topLeftCell="A3" zoomScaleNormal="100" workbookViewId="0">
      <selection activeCell="D20" sqref="D20"/>
    </sheetView>
  </sheetViews>
  <sheetFormatPr defaultColWidth="11.42578125" defaultRowHeight="15" customHeight="1" x14ac:dyDescent="0.25"/>
  <cols>
    <col min="1" max="1" width="24.5703125" customWidth="1"/>
    <col min="2" max="3" width="9.42578125" customWidth="1"/>
    <col min="4" max="4" width="42.140625" customWidth="1"/>
    <col min="5" max="5" width="15.855468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#9532.00'!B1</f>
        <v>DPS-DCI ANK Room A155, A156 and A157 Renovation</v>
      </c>
      <c r="B1" s="86"/>
      <c r="C1" s="86"/>
      <c r="D1" s="6"/>
      <c r="E1" s="6"/>
      <c r="F1" s="6"/>
      <c r="G1" s="132"/>
      <c r="H1" s="132"/>
      <c r="I1" s="133"/>
      <c r="J1" s="133"/>
    </row>
    <row r="2" spans="1:10" ht="15.75" x14ac:dyDescent="0.25">
      <c r="A2" s="88" t="str">
        <f>'RECAP #9532.00'!B2</f>
        <v>Project # 9532.00</v>
      </c>
      <c r="B2" s="87"/>
      <c r="C2" s="87"/>
      <c r="D2" s="6"/>
      <c r="E2" s="6"/>
      <c r="F2" s="6"/>
      <c r="G2" s="132"/>
      <c r="H2" s="132"/>
      <c r="I2" s="133"/>
      <c r="J2" s="133"/>
    </row>
    <row r="3" spans="1:10" ht="15.75" x14ac:dyDescent="0.25">
      <c r="A3" s="89" t="str">
        <f>'RECAP #9532.00'!B3</f>
        <v>Program code 953200</v>
      </c>
      <c r="B3" s="87"/>
      <c r="C3" s="87"/>
      <c r="D3" s="6"/>
      <c r="E3" s="90" t="str">
        <f>'RECAP #9532.00'!E3</f>
        <v>Major Program 4E08</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#9532.00'!B6</f>
        <v>Project Manager - James T</v>
      </c>
      <c r="B6" s="93"/>
      <c r="C6" s="93"/>
      <c r="D6" s="143"/>
      <c r="E6" s="140" t="s">
        <v>488</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8000</v>
      </c>
      <c r="F9" s="320">
        <f>E9</f>
        <v>8000</v>
      </c>
      <c r="G9" s="321"/>
      <c r="H9" s="321"/>
      <c r="I9" s="321">
        <f>F9</f>
        <v>8000</v>
      </c>
      <c r="J9" s="322"/>
    </row>
    <row r="10" spans="1:10" s="308" customFormat="1" ht="12.75" customHeight="1" x14ac:dyDescent="0.25">
      <c r="A10" s="171" t="s">
        <v>550</v>
      </c>
      <c r="B10" s="153">
        <v>46090</v>
      </c>
      <c r="C10" s="155" t="s">
        <v>274</v>
      </c>
      <c r="D10" s="181" t="s">
        <v>551</v>
      </c>
      <c r="E10"/>
      <c r="F10" s="320">
        <f>E10+F9</f>
        <v>8000</v>
      </c>
      <c r="G10" s="325">
        <v>93.92</v>
      </c>
      <c r="H10" s="321">
        <f t="shared" ref="H10:H21" si="0">H9+G10</f>
        <v>93.92</v>
      </c>
      <c r="I10" s="321">
        <f>I9-G10+E10</f>
        <v>7906.08</v>
      </c>
      <c r="J10" s="322"/>
    </row>
    <row r="11" spans="1:10" s="308" customFormat="1" ht="12.75" customHeight="1" x14ac:dyDescent="0.25">
      <c r="A11" s="171" t="s">
        <v>550</v>
      </c>
      <c r="B11" s="153">
        <v>46090</v>
      </c>
      <c r="C11" s="401">
        <v>9500</v>
      </c>
      <c r="D11" s="126" t="s">
        <v>552</v>
      </c>
      <c r="E11"/>
      <c r="F11" s="320">
        <f t="shared" ref="F11:F21" si="1">E11+F10</f>
        <v>8000</v>
      </c>
      <c r="G11" s="325">
        <v>1080.9000000000001</v>
      </c>
      <c r="H11" s="321">
        <f t="shared" si="0"/>
        <v>1174.8200000000002</v>
      </c>
      <c r="I11" s="321">
        <f t="shared" ref="I11:I21" si="2">I10-G11+E11</f>
        <v>6825.18</v>
      </c>
      <c r="J11" s="322"/>
    </row>
    <row r="12" spans="1:10" s="308" customFormat="1" ht="12.75" customHeight="1" x14ac:dyDescent="0.25">
      <c r="A12" s="171" t="s">
        <v>626</v>
      </c>
      <c r="B12" s="153">
        <v>46118</v>
      </c>
      <c r="C12" s="155" t="s">
        <v>274</v>
      </c>
      <c r="D12" s="181" t="s">
        <v>627</v>
      </c>
      <c r="E12"/>
      <c r="F12" s="320">
        <f t="shared" si="1"/>
        <v>8000</v>
      </c>
      <c r="G12" s="325">
        <v>86.97</v>
      </c>
      <c r="H12" s="321">
        <f t="shared" si="0"/>
        <v>1261.7900000000002</v>
      </c>
      <c r="I12" s="321">
        <f t="shared" si="2"/>
        <v>6738.21</v>
      </c>
      <c r="J12" s="322"/>
    </row>
    <row r="13" spans="1:10" s="308" customFormat="1" ht="12.75" customHeight="1" x14ac:dyDescent="0.25">
      <c r="A13" s="171" t="s">
        <v>626</v>
      </c>
      <c r="B13" s="153">
        <v>46118</v>
      </c>
      <c r="C13" s="401">
        <v>9500</v>
      </c>
      <c r="D13" s="126" t="s">
        <v>628</v>
      </c>
      <c r="E13"/>
      <c r="F13" s="320">
        <f t="shared" si="1"/>
        <v>8000</v>
      </c>
      <c r="G13" s="325">
        <v>711.2</v>
      </c>
      <c r="H13" s="321">
        <f t="shared" si="0"/>
        <v>1972.9900000000002</v>
      </c>
      <c r="I13" s="321">
        <f t="shared" si="2"/>
        <v>6027.01</v>
      </c>
      <c r="J13" s="322"/>
    </row>
    <row r="14" spans="1:10" s="308" customFormat="1" ht="12.75" customHeight="1" x14ac:dyDescent="0.2">
      <c r="A14" s="171" t="s">
        <v>752</v>
      </c>
      <c r="B14" s="153">
        <v>46149</v>
      </c>
      <c r="C14" s="155" t="s">
        <v>274</v>
      </c>
      <c r="D14" s="181" t="s">
        <v>753</v>
      </c>
      <c r="E14" s="320"/>
      <c r="F14" s="320">
        <f t="shared" si="1"/>
        <v>8000</v>
      </c>
      <c r="G14" s="325">
        <v>69.47</v>
      </c>
      <c r="H14" s="321">
        <f t="shared" si="0"/>
        <v>2042.4600000000003</v>
      </c>
      <c r="I14" s="321">
        <f t="shared" si="2"/>
        <v>5957.54</v>
      </c>
      <c r="J14" s="322"/>
    </row>
    <row r="15" spans="1:10" s="308" customFormat="1" ht="12.75" customHeight="1" x14ac:dyDescent="0.2">
      <c r="A15" s="171" t="s">
        <v>752</v>
      </c>
      <c r="B15" s="153">
        <v>46149</v>
      </c>
      <c r="C15" s="401">
        <v>9500</v>
      </c>
      <c r="D15" s="126" t="s">
        <v>754</v>
      </c>
      <c r="E15" s="320"/>
      <c r="F15" s="320">
        <f t="shared" si="1"/>
        <v>8000</v>
      </c>
      <c r="G15" s="325">
        <v>726.1</v>
      </c>
      <c r="H15" s="321">
        <f t="shared" si="0"/>
        <v>2768.5600000000004</v>
      </c>
      <c r="I15" s="321">
        <f t="shared" si="2"/>
        <v>5231.4399999999996</v>
      </c>
      <c r="J15" s="322"/>
    </row>
    <row r="16" spans="1:10" s="308" customFormat="1" ht="12.75" customHeight="1" x14ac:dyDescent="0.2">
      <c r="A16" s="171" t="s">
        <v>844</v>
      </c>
      <c r="B16" s="153">
        <v>46181</v>
      </c>
      <c r="C16" s="155" t="s">
        <v>274</v>
      </c>
      <c r="D16" s="181" t="s">
        <v>845</v>
      </c>
      <c r="E16" s="320"/>
      <c r="F16" s="320">
        <f t="shared" si="1"/>
        <v>8000</v>
      </c>
      <c r="G16" s="325">
        <v>75.95</v>
      </c>
      <c r="H16" s="321">
        <f t="shared" si="0"/>
        <v>2844.51</v>
      </c>
      <c r="I16" s="321">
        <f t="shared" si="2"/>
        <v>5155.49</v>
      </c>
      <c r="J16" s="322"/>
    </row>
    <row r="17" spans="1:10" s="308" customFormat="1" ht="12.75" customHeight="1" x14ac:dyDescent="0.2">
      <c r="A17" s="171" t="s">
        <v>844</v>
      </c>
      <c r="B17" s="153">
        <v>46181</v>
      </c>
      <c r="C17" s="401">
        <v>9500</v>
      </c>
      <c r="D17" s="126" t="s">
        <v>846</v>
      </c>
      <c r="E17" s="320"/>
      <c r="F17" s="320">
        <f t="shared" si="1"/>
        <v>8000</v>
      </c>
      <c r="G17" s="325">
        <v>934.2</v>
      </c>
      <c r="H17" s="321">
        <f t="shared" si="0"/>
        <v>3778.71</v>
      </c>
      <c r="I17" s="321">
        <f t="shared" si="2"/>
        <v>4221.29</v>
      </c>
      <c r="J17" s="322"/>
    </row>
    <row r="18" spans="1:10" s="308" customFormat="1" ht="12.75" customHeight="1" x14ac:dyDescent="0.2">
      <c r="A18" s="171" t="s">
        <v>989</v>
      </c>
      <c r="B18" s="153">
        <v>46211</v>
      </c>
      <c r="C18" s="155" t="s">
        <v>274</v>
      </c>
      <c r="D18" s="181" t="s">
        <v>992</v>
      </c>
      <c r="E18" s="320"/>
      <c r="F18" s="320">
        <f t="shared" si="1"/>
        <v>8000</v>
      </c>
      <c r="G18" s="325">
        <v>76.42</v>
      </c>
      <c r="H18" s="321">
        <f t="shared" si="0"/>
        <v>3855.13</v>
      </c>
      <c r="I18" s="321">
        <f t="shared" si="2"/>
        <v>4144.87</v>
      </c>
      <c r="J18" s="322"/>
    </row>
    <row r="19" spans="1:10" s="308" customFormat="1" ht="12.75" customHeight="1" x14ac:dyDescent="0.2">
      <c r="A19" s="171" t="s">
        <v>989</v>
      </c>
      <c r="B19" s="153">
        <v>46211</v>
      </c>
      <c r="C19" s="401">
        <v>9500</v>
      </c>
      <c r="D19" s="126" t="s">
        <v>993</v>
      </c>
      <c r="E19" s="320"/>
      <c r="F19" s="320">
        <f t="shared" si="1"/>
        <v>8000</v>
      </c>
      <c r="G19" s="325">
        <v>875.2</v>
      </c>
      <c r="H19" s="321">
        <f t="shared" si="0"/>
        <v>4730.33</v>
      </c>
      <c r="I19" s="321">
        <f t="shared" si="2"/>
        <v>3269.67</v>
      </c>
      <c r="J19" s="322"/>
    </row>
    <row r="20" spans="1:10" s="308" customFormat="1" ht="12.75" customHeight="1" x14ac:dyDescent="0.2">
      <c r="A20" s="171" t="s">
        <v>1036</v>
      </c>
      <c r="B20" s="153">
        <v>46218</v>
      </c>
      <c r="C20" s="155" t="s">
        <v>274</v>
      </c>
      <c r="D20" s="181" t="s">
        <v>1037</v>
      </c>
      <c r="E20" s="320"/>
      <c r="F20" s="320">
        <f t="shared" si="1"/>
        <v>8000</v>
      </c>
      <c r="G20" s="325">
        <v>30.49</v>
      </c>
      <c r="H20" s="321">
        <f t="shared" si="0"/>
        <v>4760.82</v>
      </c>
      <c r="I20" s="321">
        <f t="shared" si="2"/>
        <v>3239.1800000000003</v>
      </c>
      <c r="J20" s="322"/>
    </row>
    <row r="21" spans="1:10" s="308" customFormat="1" ht="12.75" customHeight="1" x14ac:dyDescent="0.25">
      <c r="A21" s="332"/>
      <c r="B21" s="318"/>
      <c r="C21" s="318"/>
      <c r="D21" s="363"/>
      <c r="E21" s="320"/>
      <c r="F21" s="320">
        <f t="shared" si="1"/>
        <v>8000</v>
      </c>
      <c r="G21" s="321"/>
      <c r="H21" s="321">
        <f t="shared" si="0"/>
        <v>4760.82</v>
      </c>
      <c r="I21" s="321">
        <f t="shared" si="2"/>
        <v>3239.1800000000003</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8000</v>
      </c>
      <c r="F23" s="184"/>
      <c r="G23" s="184">
        <f>SUM(G9:G22)</f>
        <v>4760.82</v>
      </c>
      <c r="H23" s="184"/>
      <c r="I23" s="184">
        <f>SUM(E23-G23)</f>
        <v>3239.1800000000003</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FDFE9-AC4E-4639-8861-D11C305C75A5}">
  <sheetPr codeName="Sheet105">
    <pageSetUpPr fitToPage="1"/>
  </sheetPr>
  <dimension ref="A1:H23"/>
  <sheetViews>
    <sheetView zoomScaleNormal="100" workbookViewId="0">
      <selection activeCell="E9" sqref="E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2" customWidth="1"/>
    <col min="6" max="6" width="18.4257812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'#9532.00 PM TIME'!A1</f>
        <v>DPS-DCI ANK Room A155, A156 and A157 Renovation</v>
      </c>
      <c r="B1" s="86"/>
      <c r="C1" s="86"/>
      <c r="D1" s="86"/>
      <c r="E1" s="6"/>
      <c r="F1" s="6"/>
      <c r="G1" s="6"/>
      <c r="H1" s="132"/>
    </row>
    <row r="2" spans="1:8" ht="15.75" x14ac:dyDescent="0.25">
      <c r="A2" s="88" t="str">
        <f>'RECAP #9532.00'!B2</f>
        <v>Project # 9532.00</v>
      </c>
      <c r="B2" s="87"/>
      <c r="C2" s="87"/>
      <c r="D2" s="87"/>
      <c r="E2" s="6"/>
      <c r="F2" s="6"/>
      <c r="G2" s="6"/>
      <c r="H2" s="132"/>
    </row>
    <row r="3" spans="1:8" ht="15.75" x14ac:dyDescent="0.25">
      <c r="A3" s="89" t="str">
        <f>'RECAP #9532.00'!B3</f>
        <v>Program code 953200</v>
      </c>
      <c r="B3" s="87"/>
      <c r="C3" s="87"/>
      <c r="D3" s="87"/>
      <c r="E3" s="90" t="str">
        <f>'RECAP #9532.00'!E3</f>
        <v>Major Program 4E08</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#9532.00'!B6</f>
        <v>Project Manager - James T</v>
      </c>
      <c r="B6" s="93"/>
      <c r="C6" s="93"/>
      <c r="D6" s="93"/>
      <c r="E6" s="90" t="s">
        <v>517</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71" t="s">
        <v>989</v>
      </c>
      <c r="B9" s="153">
        <v>46211</v>
      </c>
      <c r="C9" s="155" t="s">
        <v>274</v>
      </c>
      <c r="E9" s="154" t="s">
        <v>990</v>
      </c>
      <c r="F9" s="183" t="s">
        <v>991</v>
      </c>
      <c r="G9" s="325">
        <v>95</v>
      </c>
      <c r="H9" s="162">
        <f>G9</f>
        <v>95</v>
      </c>
    </row>
    <row r="10" spans="1:8" x14ac:dyDescent="0.25">
      <c r="A10" s="165"/>
      <c r="B10" s="153"/>
      <c r="C10" s="160"/>
      <c r="D10" s="160"/>
      <c r="E10" s="141"/>
      <c r="F10" s="106"/>
      <c r="G10" s="162"/>
      <c r="H10" s="162">
        <f>H9+G10</f>
        <v>95</v>
      </c>
    </row>
    <row r="11" spans="1:8" x14ac:dyDescent="0.25">
      <c r="A11" s="165"/>
      <c r="B11" s="153"/>
      <c r="C11" s="153"/>
      <c r="D11" s="153"/>
      <c r="E11" s="141"/>
      <c r="F11" s="106"/>
      <c r="G11" s="162"/>
      <c r="H11" s="162">
        <f t="shared" ref="H11:H20" si="0">H10+G11</f>
        <v>95</v>
      </c>
    </row>
    <row r="12" spans="1:8" x14ac:dyDescent="0.25">
      <c r="A12" s="165" t="s">
        <v>3</v>
      </c>
      <c r="B12" s="153" t="s">
        <v>3</v>
      </c>
      <c r="C12" s="153"/>
      <c r="D12" s="153"/>
      <c r="E12" s="141" t="s">
        <v>3</v>
      </c>
      <c r="F12" s="106"/>
      <c r="G12" s="162"/>
      <c r="H12" s="162">
        <f t="shared" si="0"/>
        <v>95</v>
      </c>
    </row>
    <row r="13" spans="1:8" x14ac:dyDescent="0.25">
      <c r="A13" s="165" t="s">
        <v>3</v>
      </c>
      <c r="B13" s="153" t="s">
        <v>3</v>
      </c>
      <c r="C13" s="153"/>
      <c r="D13" s="153"/>
      <c r="E13" s="141" t="s">
        <v>3</v>
      </c>
      <c r="F13" s="106"/>
      <c r="G13" s="162"/>
      <c r="H13" s="162">
        <f t="shared" si="0"/>
        <v>95</v>
      </c>
    </row>
    <row r="14" spans="1:8" x14ac:dyDescent="0.25">
      <c r="A14" s="165"/>
      <c r="B14" s="153"/>
      <c r="C14" s="153"/>
      <c r="D14" s="153"/>
      <c r="E14" s="141"/>
      <c r="F14" s="106"/>
      <c r="G14" s="162"/>
      <c r="H14" s="162">
        <f t="shared" si="0"/>
        <v>95</v>
      </c>
    </row>
    <row r="15" spans="1:8" x14ac:dyDescent="0.25">
      <c r="A15" s="165"/>
      <c r="B15" s="153"/>
      <c r="C15" s="153"/>
      <c r="D15" s="153"/>
      <c r="E15" s="173"/>
      <c r="F15" s="106"/>
      <c r="G15" s="162"/>
      <c r="H15" s="162">
        <f t="shared" si="0"/>
        <v>95</v>
      </c>
    </row>
    <row r="16" spans="1:8" x14ac:dyDescent="0.25">
      <c r="A16" s="165"/>
      <c r="B16" s="153"/>
      <c r="C16" s="153"/>
      <c r="D16" s="153"/>
      <c r="E16" s="141"/>
      <c r="F16" s="106"/>
      <c r="G16" s="162"/>
      <c r="H16" s="162">
        <f t="shared" si="0"/>
        <v>95</v>
      </c>
    </row>
    <row r="17" spans="1:8" x14ac:dyDescent="0.25">
      <c r="A17" s="152"/>
      <c r="B17" s="153"/>
      <c r="C17" s="153"/>
      <c r="D17" s="153"/>
      <c r="E17" s="141"/>
      <c r="F17" s="106"/>
      <c r="G17" s="162"/>
      <c r="H17" s="162">
        <f t="shared" si="0"/>
        <v>95</v>
      </c>
    </row>
    <row r="18" spans="1:8" x14ac:dyDescent="0.25">
      <c r="A18" s="152"/>
      <c r="B18" s="153"/>
      <c r="C18" s="153"/>
      <c r="D18" s="153"/>
      <c r="E18" s="141"/>
      <c r="F18" s="106"/>
      <c r="G18" s="162"/>
      <c r="H18" s="162">
        <f t="shared" si="0"/>
        <v>95</v>
      </c>
    </row>
    <row r="19" spans="1:8" x14ac:dyDescent="0.25">
      <c r="A19" s="152"/>
      <c r="B19" s="153"/>
      <c r="C19" s="153"/>
      <c r="D19" s="153"/>
      <c r="E19" s="141"/>
      <c r="F19" s="106"/>
      <c r="G19" s="162"/>
      <c r="H19" s="162">
        <f t="shared" si="0"/>
        <v>95</v>
      </c>
    </row>
    <row r="20" spans="1:8" x14ac:dyDescent="0.25">
      <c r="A20" s="152"/>
      <c r="B20" s="153"/>
      <c r="C20" s="153"/>
      <c r="D20" s="153"/>
      <c r="E20" s="141"/>
      <c r="F20" s="106"/>
      <c r="G20" s="162"/>
      <c r="H20" s="162">
        <f t="shared" si="0"/>
        <v>95</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95</v>
      </c>
      <c r="H22" s="177"/>
    </row>
    <row r="23"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E837F-5ED4-45AB-8ACA-88774CBE3331}">
  <sheetPr codeName="Sheet106">
    <pageSetUpPr fitToPage="1"/>
  </sheetPr>
  <dimension ref="A1:I124"/>
  <sheetViews>
    <sheetView zoomScaleNormal="100" workbookViewId="0">
      <selection activeCell="F12" sqref="F12"/>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#9532.00'!B1</f>
        <v>DPS-DCI ANK Room A155, A156 and A157 Renovation</v>
      </c>
      <c r="B1" s="86"/>
      <c r="C1" s="6"/>
      <c r="D1" s="6"/>
      <c r="E1" s="6"/>
      <c r="F1" s="132"/>
      <c r="G1" s="132"/>
      <c r="H1" s="133"/>
      <c r="I1" s="133"/>
    </row>
    <row r="2" spans="1:9" ht="15.75" x14ac:dyDescent="0.25">
      <c r="A2" s="88" t="str">
        <f>'RECAP #9532.00'!B2</f>
        <v>Project # 9532.00</v>
      </c>
      <c r="B2" s="87"/>
      <c r="C2" s="6"/>
      <c r="D2" s="6"/>
      <c r="E2" s="6"/>
      <c r="F2" s="132"/>
      <c r="G2" s="132"/>
      <c r="H2" s="133"/>
      <c r="I2" s="133"/>
    </row>
    <row r="3" spans="1:9" ht="15.75" x14ac:dyDescent="0.25">
      <c r="A3" s="89" t="str">
        <f>'RECAP #9532.00'!B3</f>
        <v>Program code 953200</v>
      </c>
      <c r="B3" s="87"/>
      <c r="C3" s="6"/>
      <c r="D3" s="90" t="str">
        <f>'RECAP #9532.00'!E3</f>
        <v>Major Program 4E08</v>
      </c>
      <c r="E3" s="6"/>
      <c r="F3" s="132"/>
      <c r="G3" s="132"/>
      <c r="H3" s="133"/>
      <c r="I3" s="133"/>
    </row>
    <row r="4" spans="1:9" ht="15.75" x14ac:dyDescent="0.25">
      <c r="A4" s="116" t="s">
        <v>614</v>
      </c>
      <c r="B4" s="134"/>
      <c r="C4" s="135"/>
      <c r="D4" s="136" t="s">
        <v>615</v>
      </c>
      <c r="E4" s="132"/>
      <c r="F4" s="132"/>
      <c r="G4" s="132"/>
      <c r="H4" s="133"/>
      <c r="I4" s="133"/>
    </row>
    <row r="5" spans="1:9" ht="15.75" x14ac:dyDescent="0.25">
      <c r="A5" s="137" t="s">
        <v>182</v>
      </c>
      <c r="B5" s="138"/>
      <c r="C5" s="139"/>
      <c r="D5" s="140" t="s">
        <v>616</v>
      </c>
      <c r="E5" s="141"/>
      <c r="F5" s="142"/>
      <c r="G5" s="142"/>
      <c r="H5" s="138"/>
      <c r="I5" s="133"/>
    </row>
    <row r="6" spans="1:9" ht="15.75" x14ac:dyDescent="0.25">
      <c r="A6" s="93" t="str">
        <f>'RECAP #9532.00'!B6</f>
        <v>Project Manager - James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ht="12.75" customHeight="1" x14ac:dyDescent="0.25">
      <c r="A9" s="152" t="s">
        <v>617</v>
      </c>
      <c r="B9" s="153">
        <v>46114</v>
      </c>
      <c r="C9" s="154" t="s">
        <v>146</v>
      </c>
      <c r="D9" s="186">
        <v>35310</v>
      </c>
      <c r="E9" s="155">
        <f>D9</f>
        <v>35310</v>
      </c>
      <c r="F9" s="156"/>
      <c r="G9" s="156"/>
      <c r="H9" s="156">
        <f>E9</f>
        <v>35310</v>
      </c>
      <c r="I9" s="157"/>
    </row>
    <row r="10" spans="1:9" ht="12.75" customHeight="1" x14ac:dyDescent="0.25">
      <c r="A10" s="152" t="s">
        <v>757</v>
      </c>
      <c r="B10" s="19">
        <v>46161</v>
      </c>
      <c r="C10" s="154" t="s">
        <v>758</v>
      </c>
      <c r="D10" s="155"/>
      <c r="E10" s="155">
        <f t="shared" ref="E10:E21" si="0">E9+D10</f>
        <v>35310</v>
      </c>
      <c r="F10" s="325">
        <v>2700.45</v>
      </c>
      <c r="G10" s="156">
        <f t="shared" ref="G10:G21" si="1">G9+F10</f>
        <v>2700.45</v>
      </c>
      <c r="H10" s="156">
        <f t="shared" ref="H10:H21" si="2">H9-F10+D10</f>
        <v>32609.55</v>
      </c>
      <c r="I10" s="157"/>
    </row>
    <row r="11" spans="1:9" ht="12.75" customHeight="1" x14ac:dyDescent="0.25">
      <c r="A11" s="152" t="s">
        <v>835</v>
      </c>
      <c r="B11" s="153">
        <v>46176</v>
      </c>
      <c r="C11" s="154" t="s">
        <v>836</v>
      </c>
      <c r="D11" s="155"/>
      <c r="E11" s="155">
        <f t="shared" si="0"/>
        <v>35310</v>
      </c>
      <c r="F11" s="325">
        <v>2700.45</v>
      </c>
      <c r="G11" s="156">
        <f t="shared" si="1"/>
        <v>5400.9</v>
      </c>
      <c r="H11" s="156">
        <f t="shared" si="2"/>
        <v>29909.1</v>
      </c>
      <c r="I11" s="157"/>
    </row>
    <row r="12" spans="1:9" ht="12.75" customHeight="1" x14ac:dyDescent="0.25">
      <c r="A12" s="152" t="s">
        <v>973</v>
      </c>
      <c r="B12" s="153">
        <v>46210</v>
      </c>
      <c r="C12" s="154" t="s">
        <v>974</v>
      </c>
      <c r="D12" s="155"/>
      <c r="E12" s="155">
        <f t="shared" si="0"/>
        <v>35310</v>
      </c>
      <c r="F12" s="325">
        <v>15479.1</v>
      </c>
      <c r="G12" s="156">
        <f t="shared" si="1"/>
        <v>20880</v>
      </c>
      <c r="H12" s="156">
        <f t="shared" si="2"/>
        <v>14429.999999999998</v>
      </c>
      <c r="I12" s="157"/>
    </row>
    <row r="13" spans="1:9" ht="12.75" customHeight="1" x14ac:dyDescent="0.25">
      <c r="A13" s="152"/>
      <c r="B13" s="153"/>
      <c r="C13" s="154"/>
      <c r="D13" s="155"/>
      <c r="E13" s="155">
        <f t="shared" si="0"/>
        <v>35310</v>
      </c>
      <c r="F13" s="158"/>
      <c r="G13" s="156">
        <f t="shared" si="1"/>
        <v>20880</v>
      </c>
      <c r="H13" s="156">
        <f t="shared" si="2"/>
        <v>14429.999999999998</v>
      </c>
      <c r="I13" s="157"/>
    </row>
    <row r="14" spans="1:9" ht="12.75" customHeight="1" x14ac:dyDescent="0.25">
      <c r="A14" s="152"/>
      <c r="B14" s="153"/>
      <c r="C14" s="154"/>
      <c r="D14" s="155"/>
      <c r="E14" s="155">
        <f t="shared" si="0"/>
        <v>35310</v>
      </c>
      <c r="F14" s="156"/>
      <c r="G14" s="156">
        <f t="shared" si="1"/>
        <v>20880</v>
      </c>
      <c r="H14" s="156">
        <f t="shared" si="2"/>
        <v>14429.999999999998</v>
      </c>
      <c r="I14" s="157"/>
    </row>
    <row r="15" spans="1:9" ht="12.75" customHeight="1" x14ac:dyDescent="0.25">
      <c r="A15" s="152"/>
      <c r="B15" s="153"/>
      <c r="C15" s="154"/>
      <c r="D15" s="155"/>
      <c r="E15" s="155">
        <f t="shared" si="0"/>
        <v>35310</v>
      </c>
      <c r="F15" s="158"/>
      <c r="G15" s="156">
        <f t="shared" si="1"/>
        <v>20880</v>
      </c>
      <c r="H15" s="156">
        <f t="shared" si="2"/>
        <v>14429.999999999998</v>
      </c>
      <c r="I15" s="157"/>
    </row>
    <row r="16" spans="1:9" ht="12.75" customHeight="1" x14ac:dyDescent="0.25">
      <c r="A16" s="152"/>
      <c r="B16" s="153"/>
      <c r="C16" s="154"/>
      <c r="D16" s="155"/>
      <c r="E16" s="155">
        <f t="shared" si="0"/>
        <v>35310</v>
      </c>
      <c r="F16" s="158"/>
      <c r="G16" s="156">
        <f t="shared" si="1"/>
        <v>20880</v>
      </c>
      <c r="H16" s="156">
        <f t="shared" si="2"/>
        <v>14429.999999999998</v>
      </c>
      <c r="I16" s="157"/>
    </row>
    <row r="17" spans="1:9" ht="12.75" customHeight="1" x14ac:dyDescent="0.25">
      <c r="A17" s="152"/>
      <c r="B17" s="153"/>
      <c r="C17" s="154"/>
      <c r="D17" s="155"/>
      <c r="E17" s="155">
        <f t="shared" si="0"/>
        <v>35310</v>
      </c>
      <c r="F17" s="158"/>
      <c r="G17" s="156">
        <f t="shared" si="1"/>
        <v>20880</v>
      </c>
      <c r="H17" s="156">
        <f t="shared" si="2"/>
        <v>14429.999999999998</v>
      </c>
      <c r="I17" s="157"/>
    </row>
    <row r="18" spans="1:9" ht="12.75" customHeight="1" x14ac:dyDescent="0.25">
      <c r="A18" s="152"/>
      <c r="B18" s="153"/>
      <c r="C18" s="154"/>
      <c r="D18" s="155"/>
      <c r="E18" s="155">
        <f t="shared" si="0"/>
        <v>35310</v>
      </c>
      <c r="F18" s="158"/>
      <c r="G18" s="156">
        <f t="shared" si="1"/>
        <v>20880</v>
      </c>
      <c r="H18" s="156">
        <f t="shared" si="2"/>
        <v>14429.999999999998</v>
      </c>
      <c r="I18" s="157"/>
    </row>
    <row r="19" spans="1:9" ht="12.75" customHeight="1" x14ac:dyDescent="0.25">
      <c r="A19" s="152"/>
      <c r="B19" s="153"/>
      <c r="C19" s="154"/>
      <c r="D19" s="155"/>
      <c r="E19" s="155">
        <f t="shared" si="0"/>
        <v>35310</v>
      </c>
      <c r="F19" s="156"/>
      <c r="G19" s="156">
        <f t="shared" si="1"/>
        <v>20880</v>
      </c>
      <c r="H19" s="156">
        <f t="shared" si="2"/>
        <v>14429.999999999998</v>
      </c>
      <c r="I19" s="157"/>
    </row>
    <row r="20" spans="1:9" ht="12.75" customHeight="1" x14ac:dyDescent="0.25">
      <c r="A20" s="152"/>
      <c r="B20" s="153"/>
      <c r="C20" s="154"/>
      <c r="D20" s="155"/>
      <c r="E20" s="155">
        <f t="shared" si="0"/>
        <v>35310</v>
      </c>
      <c r="F20" s="156"/>
      <c r="G20" s="156">
        <f t="shared" si="1"/>
        <v>20880</v>
      </c>
      <c r="H20" s="156">
        <f t="shared" si="2"/>
        <v>14429.999999999998</v>
      </c>
      <c r="I20" s="157"/>
    </row>
    <row r="21" spans="1:9" ht="12.75" customHeight="1" x14ac:dyDescent="0.25">
      <c r="A21" s="152"/>
      <c r="B21" s="153"/>
      <c r="C21" s="159"/>
      <c r="D21" s="155"/>
      <c r="E21" s="155">
        <f t="shared" si="0"/>
        <v>35310</v>
      </c>
      <c r="F21" s="156"/>
      <c r="G21" s="156">
        <f t="shared" si="1"/>
        <v>20880</v>
      </c>
      <c r="H21" s="156">
        <f t="shared" si="2"/>
        <v>14429.999999999998</v>
      </c>
      <c r="I21" s="157"/>
    </row>
    <row r="22" spans="1:9" ht="12.75" customHeight="1" x14ac:dyDescent="0.25">
      <c r="A22" s="152"/>
      <c r="B22" s="154"/>
      <c r="C22" s="160"/>
      <c r="D22" s="156"/>
      <c r="E22" s="156"/>
      <c r="F22" s="156"/>
      <c r="G22" s="156"/>
      <c r="H22" s="156"/>
      <c r="I22" s="157"/>
    </row>
    <row r="23" spans="1:9" ht="12.75" customHeight="1" thickBot="1" x14ac:dyDescent="0.3">
      <c r="A23" s="152"/>
      <c r="B23" s="161"/>
      <c r="C23" s="330" t="s">
        <v>54</v>
      </c>
      <c r="D23" s="184">
        <f>SUM(D9:D22)</f>
        <v>35310</v>
      </c>
      <c r="E23" s="184"/>
      <c r="F23" s="184">
        <f>SUM(F9:F22)</f>
        <v>20880</v>
      </c>
      <c r="G23" s="184"/>
      <c r="H23" s="184">
        <f>D23-F23</f>
        <v>14430</v>
      </c>
      <c r="I23" s="157"/>
    </row>
    <row r="24" spans="1:9" ht="12.75" customHeight="1" thickTop="1" x14ac:dyDescent="0.25">
      <c r="A24" s="152"/>
      <c r="B24" s="154"/>
      <c r="C24" s="160"/>
      <c r="D24" s="156"/>
      <c r="E24" s="156"/>
      <c r="F24" s="156"/>
      <c r="G24" s="156"/>
      <c r="H24" s="156"/>
      <c r="I24" s="157"/>
    </row>
    <row r="25" spans="1:9" ht="12.75" customHeight="1" x14ac:dyDescent="0.25">
      <c r="A25" s="152"/>
      <c r="B25" s="154"/>
      <c r="C25" s="160"/>
      <c r="D25" s="156"/>
      <c r="E25" s="156"/>
      <c r="F25" s="156"/>
      <c r="G25" s="156"/>
      <c r="H25" s="156"/>
      <c r="I25" s="157"/>
    </row>
    <row r="26" spans="1:9" ht="12.75" customHeight="1" x14ac:dyDescent="0.25">
      <c r="A26" s="152"/>
      <c r="B26" s="154"/>
      <c r="C26" s="160" t="s">
        <v>232</v>
      </c>
      <c r="D26" s="156">
        <v>10590</v>
      </c>
      <c r="E26" s="156"/>
      <c r="F26" s="156">
        <f>2700.45+2700.45+5189.1</f>
        <v>10590</v>
      </c>
      <c r="G26" s="156"/>
      <c r="H26" s="156">
        <f>D26-F26</f>
        <v>0</v>
      </c>
      <c r="I26" s="157"/>
    </row>
    <row r="27" spans="1:9" ht="12.75" customHeight="1" x14ac:dyDescent="0.25">
      <c r="A27" s="152"/>
      <c r="B27" s="154"/>
      <c r="C27" s="160" t="s">
        <v>233</v>
      </c>
      <c r="D27" s="156">
        <v>10290</v>
      </c>
      <c r="E27" s="156"/>
      <c r="F27" s="156">
        <f>10290</f>
        <v>10290</v>
      </c>
      <c r="G27" s="156"/>
      <c r="H27" s="156">
        <f t="shared" ref="H27:H29" si="3">D27-F27</f>
        <v>0</v>
      </c>
      <c r="I27" s="157"/>
    </row>
    <row r="28" spans="1:9" ht="12.75" customHeight="1" x14ac:dyDescent="0.25">
      <c r="A28" s="152"/>
      <c r="B28" s="154"/>
      <c r="C28" s="328" t="s">
        <v>618</v>
      </c>
      <c r="D28" s="321">
        <v>2460</v>
      </c>
      <c r="E28" s="321"/>
      <c r="F28" s="321"/>
      <c r="G28" s="321"/>
      <c r="H28" s="156">
        <f t="shared" si="3"/>
        <v>2460</v>
      </c>
      <c r="I28" s="157"/>
    </row>
    <row r="29" spans="1:9" ht="12.75" customHeight="1" x14ac:dyDescent="0.25">
      <c r="A29" s="152"/>
      <c r="B29" s="154"/>
      <c r="C29" s="328" t="s">
        <v>619</v>
      </c>
      <c r="D29" s="321">
        <v>11970</v>
      </c>
      <c r="E29" s="185"/>
      <c r="F29" s="185"/>
      <c r="G29" s="185"/>
      <c r="H29" s="156">
        <f t="shared" si="3"/>
        <v>11970</v>
      </c>
      <c r="I29" s="157"/>
    </row>
    <row r="30" spans="1:9" ht="12.75" customHeight="1" thickBot="1" x14ac:dyDescent="0.3">
      <c r="C30" s="359" t="s">
        <v>157</v>
      </c>
      <c r="D30" s="360">
        <f>SUM(D26:D29)</f>
        <v>35310</v>
      </c>
      <c r="E30" s="326"/>
      <c r="F30" s="360">
        <f>SUM(F26:F29)</f>
        <v>20880</v>
      </c>
      <c r="G30" s="326"/>
      <c r="H30" s="360">
        <f>SUM(H26:H29)</f>
        <v>14430</v>
      </c>
    </row>
    <row r="31" spans="1:9" ht="12.75" customHeight="1" thickTop="1" x14ac:dyDescent="0.25"/>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sheetData>
  <conditionalFormatting sqref="I9:I25">
    <cfRule type="cellIs" dxfId="6"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4936-275F-465D-8461-5C9E9773EFC8}">
  <sheetPr>
    <pageSetUpPr fitToPage="1"/>
  </sheetPr>
  <dimension ref="A1:I124"/>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19.85546875"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#9532.00'!B1</f>
        <v>DPS-DCI ANK Room A155, A156 and A157 Renovation</v>
      </c>
      <c r="B1" s="86"/>
      <c r="C1" s="6"/>
      <c r="D1" s="6"/>
      <c r="E1" s="6"/>
      <c r="F1" s="132"/>
      <c r="G1" s="132"/>
      <c r="H1" s="133"/>
      <c r="I1" s="133"/>
    </row>
    <row r="2" spans="1:9" ht="15.75" x14ac:dyDescent="0.25">
      <c r="A2" s="88" t="str">
        <f>'RECAP #9532.00'!B2</f>
        <v>Project # 9532.00</v>
      </c>
      <c r="B2" s="87"/>
      <c r="C2" s="6"/>
      <c r="D2" s="6"/>
      <c r="E2" s="6"/>
      <c r="F2" s="132"/>
      <c r="G2" s="132"/>
      <c r="H2" s="133"/>
      <c r="I2" s="133"/>
    </row>
    <row r="3" spans="1:9" ht="15.75" x14ac:dyDescent="0.25">
      <c r="A3" s="89" t="str">
        <f>'RECAP #9532.00'!B3</f>
        <v>Program code 953200</v>
      </c>
      <c r="B3" s="87"/>
      <c r="C3" s="6"/>
      <c r="D3" s="90" t="str">
        <f>'RECAP #9532.00'!E3</f>
        <v>Major Program 4E08</v>
      </c>
      <c r="E3" s="6"/>
      <c r="F3" s="132"/>
      <c r="G3" s="132"/>
      <c r="H3" s="133"/>
      <c r="I3" s="133"/>
    </row>
    <row r="4" spans="1:9" ht="15.75" x14ac:dyDescent="0.25">
      <c r="A4" s="116" t="s">
        <v>1049</v>
      </c>
      <c r="B4" s="134"/>
      <c r="C4" s="135"/>
      <c r="D4" s="136" t="s">
        <v>142</v>
      </c>
      <c r="E4" s="132"/>
      <c r="F4" s="132"/>
      <c r="G4" s="132"/>
      <c r="H4" s="133"/>
      <c r="I4" s="133"/>
    </row>
    <row r="5" spans="1:9" ht="15.75" x14ac:dyDescent="0.25">
      <c r="A5" s="137" t="s">
        <v>147</v>
      </c>
      <c r="B5" s="138"/>
      <c r="C5" s="139"/>
      <c r="D5" s="140" t="s">
        <v>143</v>
      </c>
      <c r="E5" s="141"/>
      <c r="F5" s="142"/>
      <c r="G5" s="142"/>
      <c r="H5" s="138"/>
      <c r="I5" s="133"/>
    </row>
    <row r="6" spans="1:9" ht="15.75" x14ac:dyDescent="0.25">
      <c r="A6" s="93" t="str">
        <f>'RECAP #9532.00'!B6</f>
        <v>Project Manager - James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ht="12.75" customHeight="1" x14ac:dyDescent="0.25">
      <c r="A9" s="152" t="s">
        <v>1050</v>
      </c>
      <c r="B9" s="153">
        <v>46225</v>
      </c>
      <c r="C9" s="154" t="s">
        <v>146</v>
      </c>
      <c r="D9" s="186">
        <v>41846.910000000003</v>
      </c>
      <c r="E9" s="155">
        <f>D9</f>
        <v>41846.910000000003</v>
      </c>
      <c r="F9" s="156"/>
      <c r="G9" s="156"/>
      <c r="H9" s="156">
        <f>E9</f>
        <v>41846.910000000003</v>
      </c>
      <c r="I9" s="157"/>
    </row>
    <row r="10" spans="1:9" ht="12.75" customHeight="1" x14ac:dyDescent="0.25">
      <c r="A10" s="152"/>
      <c r="B10" s="19"/>
      <c r="C10" s="154"/>
      <c r="D10" s="155"/>
      <c r="E10" s="155">
        <f t="shared" ref="E10:E21" si="0">E9+D10</f>
        <v>41846.910000000003</v>
      </c>
      <c r="F10" s="325"/>
      <c r="G10" s="156">
        <f t="shared" ref="G10:G21" si="1">G9+F10</f>
        <v>0</v>
      </c>
      <c r="H10" s="156">
        <f t="shared" ref="H10:H21" si="2">H9-F10+D10</f>
        <v>41846.910000000003</v>
      </c>
      <c r="I10" s="157"/>
    </row>
    <row r="11" spans="1:9" ht="12.75" customHeight="1" x14ac:dyDescent="0.25">
      <c r="A11" s="152"/>
      <c r="B11" s="153"/>
      <c r="C11" s="154"/>
      <c r="D11" s="155"/>
      <c r="E11" s="155">
        <f t="shared" si="0"/>
        <v>41846.910000000003</v>
      </c>
      <c r="F11" s="325"/>
      <c r="G11" s="156">
        <f t="shared" si="1"/>
        <v>0</v>
      </c>
      <c r="H11" s="156">
        <f t="shared" si="2"/>
        <v>41846.910000000003</v>
      </c>
      <c r="I11" s="157"/>
    </row>
    <row r="12" spans="1:9" ht="12.75" customHeight="1" x14ac:dyDescent="0.25">
      <c r="A12" s="152"/>
      <c r="B12" s="153"/>
      <c r="C12" s="154"/>
      <c r="D12" s="155"/>
      <c r="E12" s="155">
        <f t="shared" si="0"/>
        <v>41846.910000000003</v>
      </c>
      <c r="F12" s="325"/>
      <c r="G12" s="156">
        <f t="shared" si="1"/>
        <v>0</v>
      </c>
      <c r="H12" s="156">
        <f t="shared" si="2"/>
        <v>41846.910000000003</v>
      </c>
      <c r="I12" s="157"/>
    </row>
    <row r="13" spans="1:9" ht="12.75" customHeight="1" x14ac:dyDescent="0.25">
      <c r="A13" s="152"/>
      <c r="B13" s="153"/>
      <c r="C13" s="154"/>
      <c r="D13" s="155"/>
      <c r="E13" s="155">
        <f t="shared" si="0"/>
        <v>41846.910000000003</v>
      </c>
      <c r="F13" s="325"/>
      <c r="G13" s="156">
        <f t="shared" si="1"/>
        <v>0</v>
      </c>
      <c r="H13" s="156">
        <f t="shared" si="2"/>
        <v>41846.910000000003</v>
      </c>
      <c r="I13" s="157"/>
    </row>
    <row r="14" spans="1:9" ht="12.75" customHeight="1" x14ac:dyDescent="0.25">
      <c r="A14" s="152"/>
      <c r="B14" s="153"/>
      <c r="C14" s="154"/>
      <c r="D14" s="155"/>
      <c r="E14" s="155">
        <f t="shared" si="0"/>
        <v>41846.910000000003</v>
      </c>
      <c r="F14" s="158"/>
      <c r="G14" s="156">
        <f t="shared" si="1"/>
        <v>0</v>
      </c>
      <c r="H14" s="156">
        <f t="shared" si="2"/>
        <v>41846.910000000003</v>
      </c>
      <c r="I14" s="157"/>
    </row>
    <row r="15" spans="1:9" ht="12.75" customHeight="1" x14ac:dyDescent="0.25">
      <c r="A15" s="152"/>
      <c r="B15" s="153"/>
      <c r="C15" s="154"/>
      <c r="D15" s="155"/>
      <c r="E15" s="155">
        <f t="shared" si="0"/>
        <v>41846.910000000003</v>
      </c>
      <c r="F15" s="158"/>
      <c r="G15" s="156">
        <f t="shared" si="1"/>
        <v>0</v>
      </c>
      <c r="H15" s="156">
        <f t="shared" si="2"/>
        <v>41846.910000000003</v>
      </c>
      <c r="I15" s="157"/>
    </row>
    <row r="16" spans="1:9" ht="12.75" customHeight="1" x14ac:dyDescent="0.25">
      <c r="A16" s="152"/>
      <c r="B16" s="153"/>
      <c r="C16" s="154"/>
      <c r="D16" s="155"/>
      <c r="E16" s="155">
        <f t="shared" si="0"/>
        <v>41846.910000000003</v>
      </c>
      <c r="F16" s="158"/>
      <c r="G16" s="156">
        <f t="shared" si="1"/>
        <v>0</v>
      </c>
      <c r="H16" s="156">
        <f t="shared" si="2"/>
        <v>41846.910000000003</v>
      </c>
      <c r="I16" s="157"/>
    </row>
    <row r="17" spans="1:9" ht="12.75" customHeight="1" x14ac:dyDescent="0.25">
      <c r="A17" s="152"/>
      <c r="B17" s="153"/>
      <c r="C17" s="154"/>
      <c r="D17" s="155"/>
      <c r="E17" s="155">
        <f t="shared" si="0"/>
        <v>41846.910000000003</v>
      </c>
      <c r="F17" s="158"/>
      <c r="G17" s="156">
        <f t="shared" si="1"/>
        <v>0</v>
      </c>
      <c r="H17" s="156">
        <f t="shared" si="2"/>
        <v>41846.910000000003</v>
      </c>
      <c r="I17" s="157"/>
    </row>
    <row r="18" spans="1:9" ht="12.75" customHeight="1" x14ac:dyDescent="0.25">
      <c r="A18" s="152"/>
      <c r="B18" s="153"/>
      <c r="C18" s="154"/>
      <c r="D18" s="155"/>
      <c r="E18" s="155">
        <f t="shared" si="0"/>
        <v>41846.910000000003</v>
      </c>
      <c r="F18" s="158"/>
      <c r="G18" s="156">
        <f t="shared" si="1"/>
        <v>0</v>
      </c>
      <c r="H18" s="156">
        <f t="shared" si="2"/>
        <v>41846.910000000003</v>
      </c>
      <c r="I18" s="157"/>
    </row>
    <row r="19" spans="1:9" ht="12.75" customHeight="1" x14ac:dyDescent="0.25">
      <c r="A19" s="152"/>
      <c r="B19" s="153"/>
      <c r="C19" s="154"/>
      <c r="D19" s="155"/>
      <c r="E19" s="155">
        <f t="shared" si="0"/>
        <v>41846.910000000003</v>
      </c>
      <c r="F19" s="156"/>
      <c r="G19" s="156">
        <f t="shared" si="1"/>
        <v>0</v>
      </c>
      <c r="H19" s="156">
        <f t="shared" si="2"/>
        <v>41846.910000000003</v>
      </c>
      <c r="I19" s="157"/>
    </row>
    <row r="20" spans="1:9" ht="12.75" customHeight="1" x14ac:dyDescent="0.25">
      <c r="A20" s="152"/>
      <c r="B20" s="153"/>
      <c r="C20" s="154"/>
      <c r="D20" s="155"/>
      <c r="E20" s="155">
        <f t="shared" si="0"/>
        <v>41846.910000000003</v>
      </c>
      <c r="F20" s="156"/>
      <c r="G20" s="156">
        <f t="shared" si="1"/>
        <v>0</v>
      </c>
      <c r="H20" s="156">
        <f t="shared" si="2"/>
        <v>41846.910000000003</v>
      </c>
      <c r="I20" s="157"/>
    </row>
    <row r="21" spans="1:9" ht="12.75" customHeight="1" x14ac:dyDescent="0.25">
      <c r="A21" s="152"/>
      <c r="B21" s="153"/>
      <c r="C21" s="159"/>
      <c r="D21" s="155"/>
      <c r="E21" s="155">
        <f t="shared" si="0"/>
        <v>41846.910000000003</v>
      </c>
      <c r="F21" s="156"/>
      <c r="G21" s="156">
        <f t="shared" si="1"/>
        <v>0</v>
      </c>
      <c r="H21" s="156">
        <f t="shared" si="2"/>
        <v>41846.910000000003</v>
      </c>
      <c r="I21" s="157"/>
    </row>
    <row r="22" spans="1:9" ht="12.75" customHeight="1" x14ac:dyDescent="0.25">
      <c r="A22" s="152"/>
      <c r="B22" s="154"/>
      <c r="C22" s="160"/>
      <c r="D22" s="156"/>
      <c r="E22" s="156"/>
      <c r="F22" s="156"/>
      <c r="G22" s="156"/>
      <c r="H22" s="156"/>
      <c r="I22" s="157"/>
    </row>
    <row r="23" spans="1:9" ht="12.75" customHeight="1" thickBot="1" x14ac:dyDescent="0.3">
      <c r="A23" s="152"/>
      <c r="B23" s="161"/>
      <c r="C23" s="330" t="s">
        <v>54</v>
      </c>
      <c r="D23" s="184">
        <f>SUM(D9:D22)</f>
        <v>41846.910000000003</v>
      </c>
      <c r="E23" s="184"/>
      <c r="F23" s="184">
        <f>SUM(F9:F22)</f>
        <v>0</v>
      </c>
      <c r="G23" s="184"/>
      <c r="H23" s="184">
        <f>D23-F23</f>
        <v>41846.910000000003</v>
      </c>
      <c r="I23" s="157"/>
    </row>
    <row r="24" spans="1:9" ht="12.75" customHeight="1" thickTop="1" x14ac:dyDescent="0.25">
      <c r="A24" s="152"/>
      <c r="B24" s="154"/>
      <c r="C24" s="160"/>
      <c r="D24" s="156"/>
      <c r="E24" s="156"/>
      <c r="F24" s="156"/>
      <c r="G24" s="156"/>
      <c r="H24" s="156"/>
      <c r="I24" s="157"/>
    </row>
    <row r="25" spans="1:9" ht="12.75" customHeight="1" x14ac:dyDescent="0.25">
      <c r="A25" s="152"/>
      <c r="B25" s="154"/>
      <c r="C25" s="160"/>
      <c r="D25" s="156"/>
      <c r="E25" s="156"/>
      <c r="F25" s="156"/>
      <c r="G25" s="156"/>
      <c r="H25" s="156"/>
      <c r="I25" s="157"/>
    </row>
    <row r="26" spans="1:9" ht="12.75" customHeight="1" x14ac:dyDescent="0.25">
      <c r="A26" s="152"/>
      <c r="B26" s="154"/>
      <c r="C26" s="328" t="s">
        <v>252</v>
      </c>
      <c r="D26" s="321">
        <v>41716.910000000003</v>
      </c>
      <c r="E26" s="321"/>
      <c r="F26" s="321"/>
      <c r="G26" s="321"/>
      <c r="H26" s="156">
        <f t="shared" ref="H26:H27" si="3">D26-F26</f>
        <v>41716.910000000003</v>
      </c>
      <c r="I26" s="157"/>
    </row>
    <row r="27" spans="1:9" ht="12.75" customHeight="1" x14ac:dyDescent="0.25">
      <c r="A27" s="152"/>
      <c r="B27" s="154"/>
      <c r="C27" s="328" t="s">
        <v>253</v>
      </c>
      <c r="D27" s="321">
        <v>130</v>
      </c>
      <c r="E27" s="185"/>
      <c r="F27" s="185"/>
      <c r="G27" s="185"/>
      <c r="H27" s="156">
        <f t="shared" si="3"/>
        <v>130</v>
      </c>
      <c r="I27" s="157"/>
    </row>
    <row r="28" spans="1:9" ht="12.75" customHeight="1" thickBot="1" x14ac:dyDescent="0.3">
      <c r="A28" s="152"/>
      <c r="B28" s="154"/>
      <c r="C28" s="359" t="s">
        <v>157</v>
      </c>
      <c r="D28" s="360">
        <f>SUM(D24:D27)</f>
        <v>41846.910000000003</v>
      </c>
      <c r="E28" s="326"/>
      <c r="F28" s="360">
        <f>SUM(F24:F27)</f>
        <v>0</v>
      </c>
      <c r="G28" s="326"/>
      <c r="H28" s="360">
        <f>SUM(H24:H27)</f>
        <v>41846.910000000003</v>
      </c>
      <c r="I28" s="157"/>
    </row>
    <row r="29" spans="1:9" ht="12.75" customHeight="1" thickTop="1" x14ac:dyDescent="0.25">
      <c r="A29" s="152"/>
      <c r="B29" s="154"/>
      <c r="C29" s="175"/>
      <c r="D29" s="416"/>
      <c r="E29" s="158"/>
      <c r="F29" s="416"/>
      <c r="G29" s="158"/>
      <c r="H29" s="416"/>
      <c r="I29" s="157"/>
    </row>
    <row r="30" spans="1:9" ht="12.75" customHeight="1" x14ac:dyDescent="0.25"/>
    <row r="31" spans="1:9" ht="12.75" customHeight="1" x14ac:dyDescent="0.25"/>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sheetData>
  <pageMargins left="0.25" right="0.25" top="0.85" bottom="0.75" header="0.08" footer="0.3"/>
  <pageSetup scale="7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38AD0-E458-4445-9807-5068DADC07B7}">
  <sheetPr codeName="Sheet107">
    <pageSetUpPr fitToPage="1"/>
  </sheetPr>
  <dimension ref="A1:G51"/>
  <sheetViews>
    <sheetView zoomScaleNormal="100" workbookViewId="0">
      <selection activeCell="B8" sqref="B8:F14"/>
    </sheetView>
  </sheetViews>
  <sheetFormatPr defaultColWidth="11.42578125" defaultRowHeight="15" customHeight="1" x14ac:dyDescent="0.25"/>
  <cols>
    <col min="1" max="1" width="3.5703125" customWidth="1"/>
    <col min="2" max="2" width="29.1406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495</v>
      </c>
      <c r="C1" s="86"/>
      <c r="D1" s="6"/>
      <c r="E1" s="6"/>
      <c r="F1" s="6"/>
      <c r="G1" s="6"/>
    </row>
    <row r="2" spans="1:7" ht="15.75" x14ac:dyDescent="0.25">
      <c r="A2" s="84"/>
      <c r="B2" s="88" t="s">
        <v>499</v>
      </c>
      <c r="C2" s="87"/>
      <c r="D2" s="6"/>
      <c r="E2" s="6"/>
      <c r="F2" s="6"/>
      <c r="G2" s="6"/>
    </row>
    <row r="3" spans="1:7" ht="15.75" x14ac:dyDescent="0.25">
      <c r="A3" s="84"/>
      <c r="B3" s="89" t="s">
        <v>500</v>
      </c>
      <c r="C3" s="87"/>
      <c r="D3" s="6"/>
      <c r="E3" s="90" t="s">
        <v>171</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111</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'#9534.00 Funds Rec''d'!H24</f>
        <v>274331.09000000003</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237</v>
      </c>
      <c r="C10" s="376"/>
      <c r="D10" s="379">
        <f>'#9534.00 Samuels Group'!D23</f>
        <v>9399.56</v>
      </c>
      <c r="E10" s="379">
        <f>'#9534.00 Samuels Group'!F23</f>
        <v>8186.78</v>
      </c>
      <c r="F10" s="379">
        <f>'#9534.00 Samuels Group'!H23</f>
        <v>1212.7799999999997</v>
      </c>
      <c r="G10" s="378"/>
    </row>
    <row r="11" spans="1:7" s="308" customFormat="1" ht="12.75" customHeight="1" x14ac:dyDescent="0.25">
      <c r="A11" s="374"/>
      <c r="B11" s="375" t="s">
        <v>41</v>
      </c>
      <c r="C11" s="376"/>
      <c r="D11" s="379">
        <f>'#9534.00 PM TIME'!E23</f>
        <v>15000</v>
      </c>
      <c r="E11" s="379">
        <f>'#9534.00 PM TIME'!G23</f>
        <v>6572.0500000000011</v>
      </c>
      <c r="F11" s="379">
        <f>'#9534.00 PM TIME'!I23</f>
        <v>8427.9499999999989</v>
      </c>
      <c r="G11" s="378"/>
    </row>
    <row r="12" spans="1:7" s="308" customFormat="1" ht="12.75" customHeight="1" x14ac:dyDescent="0.25">
      <c r="A12" s="374"/>
      <c r="B12" s="375" t="s">
        <v>42</v>
      </c>
      <c r="C12" s="377"/>
      <c r="D12" s="367">
        <f>'#9534.00 Misc'!G22</f>
        <v>3630</v>
      </c>
      <c r="E12" s="367">
        <f>'#9534.00 Misc'!G22</f>
        <v>3630</v>
      </c>
      <c r="F12" s="379">
        <f>D12-E12</f>
        <v>0</v>
      </c>
      <c r="G12" s="378"/>
    </row>
    <row r="13" spans="1:7" s="308" customFormat="1" ht="12.75" customHeight="1" x14ac:dyDescent="0.25">
      <c r="A13" s="374"/>
      <c r="B13" s="375" t="s">
        <v>691</v>
      </c>
      <c r="C13" s="377"/>
      <c r="D13" s="367">
        <f>'#9534.00 10Fold Architecture'!D23</f>
        <v>22132</v>
      </c>
      <c r="E13" s="367">
        <f>'#9534.00 10Fold Architecture'!F23</f>
        <v>11880</v>
      </c>
      <c r="F13" s="379">
        <f>'#9534.00 10Fold Architecture'!H23</f>
        <v>10252</v>
      </c>
      <c r="G13" s="378"/>
    </row>
    <row r="14" spans="1:7" s="308" customFormat="1" ht="12.75" customHeight="1" x14ac:dyDescent="0.25">
      <c r="A14" s="374"/>
      <c r="B14" s="375"/>
      <c r="C14" s="377"/>
      <c r="D14" s="367"/>
      <c r="E14" s="367"/>
      <c r="F14" s="379"/>
      <c r="G14" s="378"/>
    </row>
    <row r="15" spans="1:7" ht="24" customHeight="1" thickBot="1" x14ac:dyDescent="0.3">
      <c r="A15" s="107"/>
      <c r="B15" s="108" t="s">
        <v>43</v>
      </c>
      <c r="C15" s="109">
        <f>SUM(C8:C14)</f>
        <v>274331.09000000003</v>
      </c>
      <c r="D15" s="109">
        <f>SUM(D8:D14)</f>
        <v>50161.56</v>
      </c>
      <c r="E15" s="109">
        <f>SUM(E8:E14)</f>
        <v>30268.83</v>
      </c>
      <c r="F15" s="109">
        <f>SUM(D15-E15)</f>
        <v>19892.729999999996</v>
      </c>
      <c r="G15" s="109">
        <f>C8-D15</f>
        <v>224169.53000000003</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6"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B3607-9266-4521-BBA9-8DE682FF1288}">
  <sheetPr codeName="Sheet108">
    <pageSetUpPr fitToPage="1"/>
  </sheetPr>
  <dimension ref="A1:H25"/>
  <sheetViews>
    <sheetView topLeftCell="A5"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#9534.00'!B1</f>
        <v>IDR ATOD Will call Ramp Replacement</v>
      </c>
      <c r="B1" s="7"/>
      <c r="C1" s="2"/>
      <c r="D1" s="3"/>
      <c r="E1" s="3"/>
      <c r="F1" s="7"/>
      <c r="G1" s="7"/>
      <c r="H1" s="7"/>
    </row>
    <row r="2" spans="1:8" x14ac:dyDescent="0.25">
      <c r="A2" s="112" t="str">
        <f>'RECAP #9534.00'!B2</f>
        <v>Project # 9534.00</v>
      </c>
      <c r="B2" s="7"/>
      <c r="C2" s="113" t="s">
        <v>3</v>
      </c>
      <c r="D2" s="1"/>
      <c r="E2" s="1"/>
      <c r="F2" s="7"/>
      <c r="G2" s="7"/>
      <c r="H2" s="7"/>
    </row>
    <row r="3" spans="1:8" x14ac:dyDescent="0.25">
      <c r="A3" s="114" t="str">
        <f>'RECAP #9534.00'!B3</f>
        <v>Program code 953400</v>
      </c>
      <c r="B3" s="7"/>
      <c r="C3" s="113" t="s">
        <v>3</v>
      </c>
      <c r="D3" s="115" t="str">
        <f>'RECAP #9534.00'!E3</f>
        <v>Major Program 4H06</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#9534.00'!B6</f>
        <v>Project Manager - Jennie E</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525</v>
      </c>
      <c r="F9" s="127">
        <v>46079</v>
      </c>
      <c r="G9" s="405">
        <v>274331.09000000003</v>
      </c>
      <c r="H9" s="405">
        <v>274331.09000000003</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274331.09000000003</v>
      </c>
      <c r="H24" s="131">
        <f>SUM(H9:H22)</f>
        <v>274331.09000000003</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1307-3DAD-4E04-905C-48DC87F482B8}">
  <sheetPr codeName="Sheet8">
    <tabColor rgb="FF0070C0"/>
    <pageSetUpPr fitToPage="1"/>
  </sheetPr>
  <dimension ref="A1:R95"/>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33.5703125" style="267" customWidth="1"/>
    <col min="4" max="4" width="14.42578125" style="267" customWidth="1"/>
    <col min="5" max="5" width="13.5703125" style="267" customWidth="1"/>
    <col min="6" max="6" width="12.42578125" style="267" customWidth="1"/>
    <col min="7" max="7" width="10.5703125" style="267" customWidth="1"/>
    <col min="8" max="8" width="1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#9279.50'!B1</f>
        <v>HHS WRC Campus Utility Decentralization Phase 5</v>
      </c>
      <c r="B1" s="116"/>
      <c r="C1" s="193"/>
      <c r="D1" s="193"/>
      <c r="E1" s="193"/>
      <c r="F1" s="194"/>
      <c r="G1" s="194"/>
      <c r="H1" s="195"/>
      <c r="I1" s="195"/>
    </row>
    <row r="2" spans="1:9" ht="15.75" x14ac:dyDescent="0.25">
      <c r="A2" s="134" t="str">
        <f>'RECAP #9279.50'!B2</f>
        <v>Project # 9279.50</v>
      </c>
      <c r="B2" s="196"/>
      <c r="C2" s="193"/>
      <c r="D2" s="193"/>
      <c r="E2" s="193"/>
      <c r="F2" s="194"/>
      <c r="G2" s="194"/>
      <c r="H2" s="195"/>
      <c r="I2" s="195"/>
    </row>
    <row r="3" spans="1:9" ht="15.75" x14ac:dyDescent="0.25">
      <c r="A3" s="197" t="str">
        <f>'RECAP #9279.50'!B3</f>
        <v>Program code 927950</v>
      </c>
      <c r="B3" s="196"/>
      <c r="C3" s="193"/>
      <c r="D3" s="198" t="str">
        <f>'RECAP #9279.50'!E3</f>
        <v>Major Program 4B02</v>
      </c>
      <c r="E3" s="193"/>
      <c r="F3" s="194"/>
      <c r="G3" s="194"/>
      <c r="H3" s="195"/>
      <c r="I3" s="195"/>
    </row>
    <row r="4" spans="1:9" ht="15.75" x14ac:dyDescent="0.25">
      <c r="A4" s="116" t="s">
        <v>636</v>
      </c>
      <c r="B4" s="134"/>
      <c r="C4" s="195"/>
      <c r="D4" s="199" t="s">
        <v>637</v>
      </c>
      <c r="E4" s="194"/>
      <c r="F4" s="194"/>
      <c r="G4" s="194"/>
      <c r="H4" s="195"/>
      <c r="I4" s="195"/>
    </row>
    <row r="5" spans="1:9" ht="15.75" x14ac:dyDescent="0.25">
      <c r="A5" s="200" t="s">
        <v>147</v>
      </c>
      <c r="B5" s="195"/>
      <c r="C5" s="201"/>
      <c r="D5" s="140" t="s">
        <v>638</v>
      </c>
      <c r="E5" s="145"/>
      <c r="F5" s="194"/>
      <c r="G5" s="194"/>
      <c r="H5" s="195"/>
      <c r="I5" s="195"/>
    </row>
    <row r="6" spans="1:9" ht="15.75" x14ac:dyDescent="0.25">
      <c r="A6" s="134" t="str">
        <f>'RECAP #9279.50'!B6</f>
        <v>Project Manager - Jennifer K.</v>
      </c>
      <c r="B6" s="134"/>
      <c r="C6" s="202"/>
      <c r="D6" s="300" t="s">
        <v>262</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639</v>
      </c>
      <c r="B9" s="383">
        <v>46127</v>
      </c>
      <c r="C9" s="391" t="s">
        <v>146</v>
      </c>
      <c r="D9" s="419">
        <v>11861.5</v>
      </c>
      <c r="E9" s="386">
        <f>D9</f>
        <v>11861.5</v>
      </c>
      <c r="F9" s="387"/>
      <c r="G9" s="387"/>
      <c r="H9" s="387">
        <f>E9</f>
        <v>11861.5</v>
      </c>
      <c r="I9" s="388"/>
    </row>
    <row r="10" spans="1:9" s="389" customFormat="1" ht="12.75" customHeight="1" x14ac:dyDescent="0.25">
      <c r="A10" s="382" t="s">
        <v>821</v>
      </c>
      <c r="B10" s="390">
        <v>46176</v>
      </c>
      <c r="C10" s="391" t="s">
        <v>822</v>
      </c>
      <c r="D10" s="386"/>
      <c r="E10" s="386">
        <f t="shared" ref="E10:E21" si="0">E9+D10</f>
        <v>11861.5</v>
      </c>
      <c r="F10" s="392">
        <v>5219</v>
      </c>
      <c r="G10" s="387">
        <f t="shared" ref="G10:G21" si="1">G9+F10</f>
        <v>5219</v>
      </c>
      <c r="H10" s="387">
        <f t="shared" ref="H10:H21" si="2">H9-F10+D10</f>
        <v>6642.5</v>
      </c>
      <c r="I10" s="388"/>
    </row>
    <row r="11" spans="1:9" s="389" customFormat="1" ht="12.75" customHeight="1" x14ac:dyDescent="0.25">
      <c r="A11" s="382" t="s">
        <v>842</v>
      </c>
      <c r="B11" s="383">
        <v>46181</v>
      </c>
      <c r="C11" s="391" t="s">
        <v>843</v>
      </c>
      <c r="D11" s="386"/>
      <c r="E11" s="386">
        <f t="shared" si="0"/>
        <v>11861.5</v>
      </c>
      <c r="F11" s="392">
        <v>3226.25</v>
      </c>
      <c r="G11" s="387">
        <f t="shared" si="1"/>
        <v>8445.25</v>
      </c>
      <c r="H11" s="387">
        <f t="shared" si="2"/>
        <v>3416.25</v>
      </c>
      <c r="I11" s="388"/>
    </row>
    <row r="12" spans="1:9" s="389" customFormat="1" ht="12.75" customHeight="1" x14ac:dyDescent="0.25">
      <c r="A12" s="382" t="s">
        <v>639</v>
      </c>
      <c r="B12" s="383">
        <v>46219</v>
      </c>
      <c r="C12" s="391" t="s">
        <v>1033</v>
      </c>
      <c r="D12" s="385">
        <v>-3416.25</v>
      </c>
      <c r="E12" s="386">
        <f t="shared" si="0"/>
        <v>8445.25</v>
      </c>
      <c r="F12" s="392"/>
      <c r="G12" s="387">
        <f t="shared" si="1"/>
        <v>8445.25</v>
      </c>
      <c r="H12" s="387">
        <f t="shared" si="2"/>
        <v>0</v>
      </c>
      <c r="I12" s="388"/>
    </row>
    <row r="13" spans="1:9" s="389" customFormat="1" ht="12.75" customHeight="1" x14ac:dyDescent="0.25">
      <c r="A13" s="382"/>
      <c r="B13" s="383"/>
      <c r="C13" s="391"/>
      <c r="D13" s="386"/>
      <c r="E13" s="386">
        <f t="shared" si="0"/>
        <v>8445.25</v>
      </c>
      <c r="F13" s="392"/>
      <c r="G13" s="387">
        <f t="shared" si="1"/>
        <v>8445.25</v>
      </c>
      <c r="H13" s="387">
        <f t="shared" si="2"/>
        <v>0</v>
      </c>
      <c r="I13" s="388"/>
    </row>
    <row r="14" spans="1:9" s="389" customFormat="1" ht="12.75" customHeight="1" x14ac:dyDescent="0.25">
      <c r="A14" s="382"/>
      <c r="B14" s="383"/>
      <c r="C14" s="391"/>
      <c r="D14" s="386"/>
      <c r="E14" s="386">
        <f t="shared" si="0"/>
        <v>8445.25</v>
      </c>
      <c r="F14" s="387"/>
      <c r="G14" s="387">
        <f t="shared" si="1"/>
        <v>8445.25</v>
      </c>
      <c r="H14" s="387">
        <f t="shared" si="2"/>
        <v>0</v>
      </c>
      <c r="I14" s="388"/>
    </row>
    <row r="15" spans="1:9" s="389" customFormat="1" ht="12.75" customHeight="1" x14ac:dyDescent="0.25">
      <c r="A15" s="382"/>
      <c r="B15" s="383"/>
      <c r="C15" s="391"/>
      <c r="D15" s="386"/>
      <c r="E15" s="386">
        <f t="shared" si="0"/>
        <v>8445.25</v>
      </c>
      <c r="F15" s="392"/>
      <c r="G15" s="387">
        <f t="shared" si="1"/>
        <v>8445.25</v>
      </c>
      <c r="H15" s="387">
        <f t="shared" si="2"/>
        <v>0</v>
      </c>
      <c r="I15" s="388"/>
    </row>
    <row r="16" spans="1:9" s="389" customFormat="1" ht="12.75" customHeight="1" x14ac:dyDescent="0.25">
      <c r="A16" s="382"/>
      <c r="B16" s="383"/>
      <c r="C16" s="391"/>
      <c r="D16" s="386"/>
      <c r="E16" s="386">
        <f t="shared" si="0"/>
        <v>8445.25</v>
      </c>
      <c r="F16" s="392"/>
      <c r="G16" s="387">
        <f t="shared" si="1"/>
        <v>8445.25</v>
      </c>
      <c r="H16" s="387">
        <f t="shared" si="2"/>
        <v>0</v>
      </c>
      <c r="I16" s="388"/>
    </row>
    <row r="17" spans="1:9" s="389" customFormat="1" ht="12.75" customHeight="1" x14ac:dyDescent="0.25">
      <c r="A17" s="382"/>
      <c r="B17" s="383"/>
      <c r="C17" s="391"/>
      <c r="D17" s="386"/>
      <c r="E17" s="386">
        <f t="shared" si="0"/>
        <v>8445.25</v>
      </c>
      <c r="F17" s="392"/>
      <c r="G17" s="387">
        <f t="shared" si="1"/>
        <v>8445.25</v>
      </c>
      <c r="H17" s="387">
        <f t="shared" si="2"/>
        <v>0</v>
      </c>
      <c r="I17" s="388"/>
    </row>
    <row r="18" spans="1:9" s="389" customFormat="1" ht="12.75" customHeight="1" x14ac:dyDescent="0.25">
      <c r="A18" s="382"/>
      <c r="B18" s="383"/>
      <c r="C18" s="391"/>
      <c r="D18" s="386"/>
      <c r="E18" s="386">
        <f t="shared" si="0"/>
        <v>8445.25</v>
      </c>
      <c r="F18" s="392"/>
      <c r="G18" s="387">
        <f t="shared" si="1"/>
        <v>8445.25</v>
      </c>
      <c r="H18" s="387">
        <f t="shared" si="2"/>
        <v>0</v>
      </c>
      <c r="I18" s="388"/>
    </row>
    <row r="19" spans="1:9" s="389" customFormat="1" ht="12.75" customHeight="1" x14ac:dyDescent="0.25">
      <c r="A19" s="382"/>
      <c r="B19" s="383"/>
      <c r="C19" s="391"/>
      <c r="D19" s="386"/>
      <c r="E19" s="386">
        <f t="shared" si="0"/>
        <v>8445.25</v>
      </c>
      <c r="F19" s="387"/>
      <c r="G19" s="387">
        <f t="shared" si="1"/>
        <v>8445.25</v>
      </c>
      <c r="H19" s="387">
        <f t="shared" si="2"/>
        <v>0</v>
      </c>
      <c r="I19" s="388"/>
    </row>
    <row r="20" spans="1:9" s="389" customFormat="1" ht="12.75" customHeight="1" x14ac:dyDescent="0.25">
      <c r="A20" s="382"/>
      <c r="B20" s="383"/>
      <c r="C20" s="391"/>
      <c r="D20" s="386"/>
      <c r="E20" s="386">
        <f t="shared" si="0"/>
        <v>8445.25</v>
      </c>
      <c r="F20" s="387"/>
      <c r="G20" s="387">
        <f t="shared" si="1"/>
        <v>8445.25</v>
      </c>
      <c r="H20" s="387">
        <f t="shared" si="2"/>
        <v>0</v>
      </c>
      <c r="I20" s="388"/>
    </row>
    <row r="21" spans="1:9" s="389" customFormat="1" ht="12.75" customHeight="1" x14ac:dyDescent="0.25">
      <c r="A21" s="382"/>
      <c r="B21" s="383"/>
      <c r="C21" s="393"/>
      <c r="D21" s="386"/>
      <c r="E21" s="386">
        <f t="shared" si="0"/>
        <v>8445.25</v>
      </c>
      <c r="F21" s="387"/>
      <c r="G21" s="387">
        <f t="shared" si="1"/>
        <v>8445.25</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8445.25</v>
      </c>
      <c r="E23" s="396"/>
      <c r="F23" s="396">
        <f>SUM(F9:F22)</f>
        <v>8445.25</v>
      </c>
      <c r="G23" s="396"/>
      <c r="H23" s="396">
        <f>D23-F23</f>
        <v>0</v>
      </c>
      <c r="I23" s="388"/>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640</v>
      </c>
      <c r="D26" s="387"/>
      <c r="E26" s="387"/>
      <c r="F26" s="387"/>
      <c r="G26" s="387"/>
      <c r="H26" s="387"/>
      <c r="I26" s="388"/>
    </row>
    <row r="27" spans="1:9" s="389" customFormat="1" ht="12.75" customHeight="1" x14ac:dyDescent="0.25">
      <c r="A27" s="382"/>
      <c r="B27" s="391" t="s">
        <v>642</v>
      </c>
      <c r="C27" s="372" t="s">
        <v>643</v>
      </c>
      <c r="D27" s="387">
        <f>625-375</f>
        <v>250</v>
      </c>
      <c r="E27" s="387"/>
      <c r="F27" s="387">
        <f>250</f>
        <v>250</v>
      </c>
      <c r="G27" s="387"/>
      <c r="H27" s="387">
        <f>D27-F27</f>
        <v>0</v>
      </c>
      <c r="I27" s="388"/>
    </row>
    <row r="28" spans="1:9" s="389" customFormat="1" ht="12.75" customHeight="1" x14ac:dyDescent="0.25">
      <c r="A28" s="382"/>
      <c r="B28" s="391" t="s">
        <v>662</v>
      </c>
      <c r="C28" s="372" t="s">
        <v>644</v>
      </c>
      <c r="D28" s="387">
        <v>255</v>
      </c>
      <c r="E28" s="387"/>
      <c r="F28" s="387">
        <f>255</f>
        <v>255</v>
      </c>
      <c r="G28" s="387"/>
      <c r="H28" s="387">
        <f t="shared" ref="H28:H32" si="3">D28-F28</f>
        <v>0</v>
      </c>
      <c r="I28" s="388"/>
    </row>
    <row r="29" spans="1:9" s="389" customFormat="1" ht="12.75" customHeight="1" x14ac:dyDescent="0.25">
      <c r="A29" s="382"/>
      <c r="B29" s="391" t="s">
        <v>663</v>
      </c>
      <c r="C29" s="483" t="s">
        <v>646</v>
      </c>
      <c r="D29" s="387">
        <f>90-45</f>
        <v>45</v>
      </c>
      <c r="E29" s="387"/>
      <c r="F29" s="387">
        <f>45</f>
        <v>45</v>
      </c>
      <c r="G29" s="387"/>
      <c r="H29" s="387">
        <f t="shared" si="3"/>
        <v>0</v>
      </c>
      <c r="I29" s="388"/>
    </row>
    <row r="30" spans="1:9" s="389" customFormat="1" ht="12.75" customHeight="1" x14ac:dyDescent="0.25">
      <c r="A30" s="382"/>
      <c r="B30" s="391" t="s">
        <v>664</v>
      </c>
      <c r="C30" s="372" t="s">
        <v>645</v>
      </c>
      <c r="D30" s="387">
        <f>850-170</f>
        <v>680</v>
      </c>
      <c r="E30" s="387"/>
      <c r="F30" s="387">
        <f>680</f>
        <v>680</v>
      </c>
      <c r="G30" s="387"/>
      <c r="H30" s="387">
        <f t="shared" si="3"/>
        <v>0</v>
      </c>
      <c r="I30" s="388"/>
    </row>
    <row r="31" spans="1:9" s="389" customFormat="1" ht="12.75" customHeight="1" x14ac:dyDescent="0.25">
      <c r="A31" s="382"/>
      <c r="B31" s="391" t="s">
        <v>665</v>
      </c>
      <c r="C31" s="372" t="s">
        <v>828</v>
      </c>
      <c r="D31" s="387">
        <f>2100-577.5</f>
        <v>1522.5</v>
      </c>
      <c r="E31" s="387"/>
      <c r="F31" s="387">
        <f>1522.5</f>
        <v>1522.5</v>
      </c>
      <c r="G31" s="387"/>
      <c r="H31" s="387">
        <f t="shared" si="3"/>
        <v>0</v>
      </c>
      <c r="I31" s="388"/>
    </row>
    <row r="32" spans="1:9" s="389" customFormat="1" ht="12.75" customHeight="1" x14ac:dyDescent="0.25">
      <c r="A32" s="382"/>
      <c r="B32" s="391" t="s">
        <v>666</v>
      </c>
      <c r="C32" s="372" t="s">
        <v>647</v>
      </c>
      <c r="D32" s="387">
        <v>37.5</v>
      </c>
      <c r="E32" s="387"/>
      <c r="F32" s="387">
        <f>37.5</f>
        <v>37.5</v>
      </c>
      <c r="G32" s="387"/>
      <c r="H32" s="387">
        <f t="shared" si="3"/>
        <v>0</v>
      </c>
      <c r="I32" s="388"/>
    </row>
    <row r="33" spans="1:9" s="389" customFormat="1" ht="12.75" customHeight="1" thickBot="1" x14ac:dyDescent="0.3">
      <c r="A33" s="382"/>
      <c r="B33" s="391"/>
      <c r="C33" s="399" t="s">
        <v>648</v>
      </c>
      <c r="D33" s="400">
        <f>SUM(D27:D32)</f>
        <v>2790</v>
      </c>
      <c r="E33" s="392"/>
      <c r="F33" s="400">
        <f>SUM(F27:F32)</f>
        <v>2790</v>
      </c>
      <c r="G33" s="392"/>
      <c r="H33" s="400">
        <f>SUM(H27:H32)</f>
        <v>0</v>
      </c>
      <c r="I33" s="388"/>
    </row>
    <row r="34" spans="1:9" s="389" customFormat="1" ht="12.75" customHeight="1" thickTop="1" x14ac:dyDescent="0.25">
      <c r="A34" s="382"/>
      <c r="B34" s="391"/>
      <c r="C34" s="372"/>
      <c r="D34" s="387"/>
      <c r="E34" s="387"/>
      <c r="F34" s="387"/>
      <c r="G34" s="387"/>
      <c r="H34" s="387"/>
      <c r="I34" s="388"/>
    </row>
    <row r="35" spans="1:9" s="389" customFormat="1" ht="12.75" customHeight="1" x14ac:dyDescent="0.25">
      <c r="A35" s="382"/>
      <c r="B35" s="391"/>
      <c r="C35" s="372" t="s">
        <v>661</v>
      </c>
      <c r="D35" s="387"/>
      <c r="E35" s="387"/>
      <c r="F35" s="387"/>
      <c r="G35" s="387"/>
      <c r="H35" s="387"/>
      <c r="I35" s="388"/>
    </row>
    <row r="36" spans="1:9" s="389" customFormat="1" ht="12.75" customHeight="1" x14ac:dyDescent="0.25">
      <c r="A36" s="382"/>
      <c r="B36" s="391" t="s">
        <v>642</v>
      </c>
      <c r="C36" s="372" t="s">
        <v>649</v>
      </c>
      <c r="D36" s="387">
        <f>175-87.5</f>
        <v>87.5</v>
      </c>
      <c r="E36" s="387"/>
      <c r="F36" s="387">
        <f>87.5</f>
        <v>87.5</v>
      </c>
      <c r="G36" s="387"/>
      <c r="H36" s="387">
        <f>D36-F36</f>
        <v>0</v>
      </c>
      <c r="I36" s="388"/>
    </row>
    <row r="37" spans="1:9" s="389" customFormat="1" ht="12.75" customHeight="1" x14ac:dyDescent="0.25">
      <c r="A37" s="382"/>
      <c r="B37" s="391" t="s">
        <v>662</v>
      </c>
      <c r="C37" s="372" t="s">
        <v>650</v>
      </c>
      <c r="D37" s="387">
        <f>136-17</f>
        <v>119</v>
      </c>
      <c r="E37" s="387"/>
      <c r="F37" s="387">
        <f>119</f>
        <v>119</v>
      </c>
      <c r="G37" s="387"/>
      <c r="H37" s="387">
        <f t="shared" ref="H37:H41" si="4">D37-F37</f>
        <v>0</v>
      </c>
      <c r="I37" s="388"/>
    </row>
    <row r="38" spans="1:9" s="389" customFormat="1" ht="12.75" customHeight="1" x14ac:dyDescent="0.25">
      <c r="A38" s="382"/>
      <c r="B38" s="391" t="s">
        <v>663</v>
      </c>
      <c r="C38" s="483" t="s">
        <v>646</v>
      </c>
      <c r="D38" s="387">
        <f>45-45</f>
        <v>0</v>
      </c>
      <c r="E38" s="387"/>
      <c r="F38" s="387"/>
      <c r="G38" s="387"/>
      <c r="H38" s="387">
        <f t="shared" si="4"/>
        <v>0</v>
      </c>
      <c r="I38" s="388"/>
    </row>
    <row r="39" spans="1:9" s="389" customFormat="1" ht="12.75" customHeight="1" x14ac:dyDescent="0.25">
      <c r="A39" s="382"/>
      <c r="B39" s="391" t="s">
        <v>664</v>
      </c>
      <c r="C39" s="372" t="s">
        <v>651</v>
      </c>
      <c r="D39" s="387">
        <f>425-85</f>
        <v>340</v>
      </c>
      <c r="E39" s="387"/>
      <c r="F39" s="387">
        <f>340</f>
        <v>340</v>
      </c>
      <c r="G39" s="387"/>
      <c r="H39" s="387">
        <f t="shared" si="4"/>
        <v>0</v>
      </c>
      <c r="I39" s="388"/>
    </row>
    <row r="40" spans="1:9" s="389" customFormat="1" ht="12.75" customHeight="1" x14ac:dyDescent="0.25">
      <c r="A40" s="382"/>
      <c r="B40" s="391" t="s">
        <v>665</v>
      </c>
      <c r="C40" s="372" t="s">
        <v>830</v>
      </c>
      <c r="D40" s="387">
        <v>945</v>
      </c>
      <c r="E40" s="387"/>
      <c r="F40" s="387">
        <f>945</f>
        <v>945</v>
      </c>
      <c r="G40" s="387"/>
      <c r="H40" s="387">
        <f t="shared" si="4"/>
        <v>0</v>
      </c>
      <c r="I40" s="388"/>
    </row>
    <row r="41" spans="1:9" s="389" customFormat="1" ht="12.75" customHeight="1" x14ac:dyDescent="0.25">
      <c r="A41" s="382"/>
      <c r="B41" s="391" t="s">
        <v>666</v>
      </c>
      <c r="C41" s="372" t="s">
        <v>647</v>
      </c>
      <c r="D41" s="387">
        <v>37.5</v>
      </c>
      <c r="E41" s="387"/>
      <c r="F41" s="387">
        <f>37.5</f>
        <v>37.5</v>
      </c>
      <c r="G41" s="387"/>
      <c r="H41" s="387">
        <f t="shared" si="4"/>
        <v>0</v>
      </c>
      <c r="I41" s="388"/>
    </row>
    <row r="42" spans="1:9" s="389" customFormat="1" ht="12.75" customHeight="1" thickBot="1" x14ac:dyDescent="0.3">
      <c r="A42" s="382"/>
      <c r="B42" s="391"/>
      <c r="C42" s="399" t="s">
        <v>648</v>
      </c>
      <c r="D42" s="400">
        <f>SUM(D36:D41)</f>
        <v>1529</v>
      </c>
      <c r="E42" s="392"/>
      <c r="F42" s="400">
        <f>SUM(F36:F41)</f>
        <v>1529</v>
      </c>
      <c r="G42" s="392"/>
      <c r="H42" s="400">
        <f>SUM(H36:H41)</f>
        <v>0</v>
      </c>
      <c r="I42" s="388"/>
    </row>
    <row r="43" spans="1:9" s="389" customFormat="1" ht="12.75" customHeight="1" thickTop="1" x14ac:dyDescent="0.25">
      <c r="A43" s="382"/>
      <c r="B43" s="391"/>
      <c r="C43" s="372"/>
      <c r="D43" s="387"/>
      <c r="E43" s="387"/>
      <c r="F43" s="387"/>
      <c r="G43" s="387"/>
      <c r="H43" s="387"/>
      <c r="I43" s="388"/>
    </row>
    <row r="44" spans="1:9" s="389" customFormat="1" ht="12.75" customHeight="1" x14ac:dyDescent="0.25">
      <c r="A44" s="382"/>
      <c r="B44" s="391"/>
      <c r="C44" s="372" t="s">
        <v>652</v>
      </c>
      <c r="D44" s="387"/>
      <c r="E44" s="387"/>
      <c r="F44" s="387"/>
      <c r="G44" s="387"/>
      <c r="H44" s="387"/>
      <c r="I44" s="388"/>
    </row>
    <row r="45" spans="1:9" s="389" customFormat="1" ht="12.75" customHeight="1" x14ac:dyDescent="0.25">
      <c r="A45" s="382"/>
      <c r="B45" s="391" t="s">
        <v>642</v>
      </c>
      <c r="C45" s="372" t="s">
        <v>653</v>
      </c>
      <c r="D45" s="387">
        <f>100-100</f>
        <v>0</v>
      </c>
      <c r="E45" s="387"/>
      <c r="F45" s="387"/>
      <c r="G45" s="387"/>
      <c r="H45" s="387">
        <f>D45-F45</f>
        <v>0</v>
      </c>
      <c r="I45" s="388"/>
    </row>
    <row r="46" spans="1:9" s="389" customFormat="1" ht="12.75" customHeight="1" x14ac:dyDescent="0.25">
      <c r="A46" s="382"/>
      <c r="B46" s="391" t="s">
        <v>662</v>
      </c>
      <c r="C46" s="372" t="s">
        <v>654</v>
      </c>
      <c r="D46" s="387">
        <f>68-68</f>
        <v>0</v>
      </c>
      <c r="E46" s="387"/>
      <c r="F46" s="387"/>
      <c r="G46" s="387"/>
      <c r="H46" s="387">
        <f t="shared" ref="H46:H50" si="5">D46-F46</f>
        <v>0</v>
      </c>
      <c r="I46" s="388"/>
    </row>
    <row r="47" spans="1:9" s="389" customFormat="1" ht="12.75" customHeight="1" x14ac:dyDescent="0.25">
      <c r="A47" s="382"/>
      <c r="B47" s="391" t="s">
        <v>663</v>
      </c>
      <c r="C47" s="483" t="s">
        <v>655</v>
      </c>
      <c r="D47" s="387">
        <f>45-45</f>
        <v>0</v>
      </c>
      <c r="E47" s="387"/>
      <c r="F47" s="387"/>
      <c r="G47" s="387"/>
      <c r="H47" s="387">
        <f t="shared" si="5"/>
        <v>0</v>
      </c>
      <c r="I47" s="388"/>
    </row>
    <row r="48" spans="1:9" s="389" customFormat="1" ht="12.75" customHeight="1" x14ac:dyDescent="0.25">
      <c r="A48" s="382"/>
      <c r="B48" s="391" t="s">
        <v>664</v>
      </c>
      <c r="C48" s="372" t="s">
        <v>651</v>
      </c>
      <c r="D48" s="387">
        <f>340-212.5</f>
        <v>127.5</v>
      </c>
      <c r="E48" s="387"/>
      <c r="F48" s="387">
        <f>127.5</f>
        <v>127.5</v>
      </c>
      <c r="G48" s="387"/>
      <c r="H48" s="387">
        <f t="shared" si="5"/>
        <v>0</v>
      </c>
      <c r="I48" s="388"/>
    </row>
    <row r="49" spans="1:18" s="389" customFormat="1" ht="12.75" customHeight="1" x14ac:dyDescent="0.25">
      <c r="A49" s="382"/>
      <c r="B49" s="391" t="s">
        <v>665</v>
      </c>
      <c r="C49" s="372" t="s">
        <v>829</v>
      </c>
      <c r="D49" s="387">
        <v>735</v>
      </c>
      <c r="E49" s="387"/>
      <c r="F49" s="387">
        <f>735</f>
        <v>735</v>
      </c>
      <c r="G49" s="387"/>
      <c r="H49" s="387">
        <f t="shared" si="5"/>
        <v>0</v>
      </c>
      <c r="I49" s="388"/>
    </row>
    <row r="50" spans="1:18" s="389" customFormat="1" ht="12.75" customHeight="1" x14ac:dyDescent="0.25">
      <c r="A50" s="382"/>
      <c r="B50" s="391" t="s">
        <v>666</v>
      </c>
      <c r="C50" s="372" t="s">
        <v>647</v>
      </c>
      <c r="D50" s="387">
        <v>37.5</v>
      </c>
      <c r="E50" s="387"/>
      <c r="F50" s="387">
        <f>37.5</f>
        <v>37.5</v>
      </c>
      <c r="G50" s="387"/>
      <c r="H50" s="387">
        <f t="shared" si="5"/>
        <v>0</v>
      </c>
      <c r="I50" s="388"/>
    </row>
    <row r="51" spans="1:18" s="389" customFormat="1" ht="12.75" customHeight="1" thickBot="1" x14ac:dyDescent="0.3">
      <c r="A51" s="382"/>
      <c r="B51" s="391"/>
      <c r="C51" s="399" t="s">
        <v>648</v>
      </c>
      <c r="D51" s="400">
        <f>SUM(D45:D50)</f>
        <v>900</v>
      </c>
      <c r="E51" s="392"/>
      <c r="F51" s="400">
        <f>SUM(F45:F50)</f>
        <v>900</v>
      </c>
      <c r="G51" s="392"/>
      <c r="H51" s="400">
        <f>SUM(H45:H50)</f>
        <v>0</v>
      </c>
      <c r="I51" s="388"/>
    </row>
    <row r="52" spans="1:18" s="389" customFormat="1" ht="12.75" customHeight="1" thickTop="1" x14ac:dyDescent="0.25">
      <c r="A52" s="382"/>
      <c r="B52" s="391"/>
      <c r="C52" s="372"/>
      <c r="D52" s="387"/>
      <c r="E52" s="387"/>
      <c r="F52" s="387"/>
      <c r="G52" s="387"/>
      <c r="H52" s="387"/>
      <c r="I52" s="388"/>
    </row>
    <row r="53" spans="1:18" s="389" customFormat="1" ht="12.75" customHeight="1" x14ac:dyDescent="0.25">
      <c r="A53" s="382"/>
      <c r="B53" s="391"/>
      <c r="C53" s="372" t="s">
        <v>641</v>
      </c>
      <c r="D53" s="387"/>
      <c r="E53" s="387"/>
      <c r="F53" s="387"/>
      <c r="G53" s="387"/>
      <c r="H53" s="387"/>
      <c r="I53" s="388"/>
    </row>
    <row r="54" spans="1:18" s="389" customFormat="1" ht="12.75" customHeight="1" x14ac:dyDescent="0.25">
      <c r="A54" s="382"/>
      <c r="B54" s="391" t="s">
        <v>663</v>
      </c>
      <c r="C54" s="483" t="s">
        <v>646</v>
      </c>
      <c r="D54" s="387">
        <f>90-45</f>
        <v>45</v>
      </c>
      <c r="E54" s="387"/>
      <c r="F54" s="387">
        <f>45</f>
        <v>45</v>
      </c>
      <c r="G54" s="387"/>
      <c r="H54" s="387">
        <f>D54-F54</f>
        <v>0</v>
      </c>
      <c r="I54" s="388"/>
      <c r="L54" s="484"/>
      <c r="M54" s="484"/>
      <c r="N54" s="484"/>
      <c r="O54" s="484"/>
      <c r="P54" s="484"/>
      <c r="Q54" s="484"/>
      <c r="R54" s="484"/>
    </row>
    <row r="55" spans="1:18" s="389" customFormat="1" ht="12.75" customHeight="1" x14ac:dyDescent="0.25">
      <c r="A55" s="382"/>
      <c r="B55" s="391" t="s">
        <v>664</v>
      </c>
      <c r="C55" s="372" t="s">
        <v>656</v>
      </c>
      <c r="D55" s="387">
        <f>510-510</f>
        <v>0</v>
      </c>
      <c r="E55" s="387"/>
      <c r="F55" s="387"/>
      <c r="G55" s="387"/>
      <c r="H55" s="387">
        <f t="shared" ref="H55:H57" si="6">D55-F55</f>
        <v>0</v>
      </c>
      <c r="I55" s="388"/>
    </row>
    <row r="56" spans="1:18" s="389" customFormat="1" ht="12.75" customHeight="1" x14ac:dyDescent="0.25">
      <c r="A56" s="382"/>
      <c r="B56" s="391" t="s">
        <v>665</v>
      </c>
      <c r="C56" s="372" t="s">
        <v>828</v>
      </c>
      <c r="D56" s="387">
        <f>2100-656.25</f>
        <v>1443.75</v>
      </c>
      <c r="E56" s="387"/>
      <c r="F56" s="387">
        <f>1443.75</f>
        <v>1443.75</v>
      </c>
      <c r="G56" s="387"/>
      <c r="H56" s="387">
        <f t="shared" si="6"/>
        <v>0</v>
      </c>
      <c r="I56" s="388"/>
    </row>
    <row r="57" spans="1:18" s="389" customFormat="1" ht="12.75" customHeight="1" x14ac:dyDescent="0.25">
      <c r="A57" s="382"/>
      <c r="B57" s="391" t="s">
        <v>666</v>
      </c>
      <c r="C57" s="372" t="s">
        <v>647</v>
      </c>
      <c r="D57" s="387">
        <f>37.5-37.5</f>
        <v>0</v>
      </c>
      <c r="E57" s="387"/>
      <c r="F57" s="387"/>
      <c r="G57" s="387"/>
      <c r="H57" s="387">
        <f t="shared" si="6"/>
        <v>0</v>
      </c>
      <c r="I57" s="388"/>
    </row>
    <row r="58" spans="1:18" s="389" customFormat="1" ht="12.75" customHeight="1" thickBot="1" x14ac:dyDescent="0.3">
      <c r="A58" s="382"/>
      <c r="B58" s="391"/>
      <c r="C58" s="399" t="s">
        <v>157</v>
      </c>
      <c r="D58" s="400">
        <f>SUM(D54:D57)</f>
        <v>1488.75</v>
      </c>
      <c r="E58" s="392"/>
      <c r="F58" s="400">
        <f>SUM(F54:F57)</f>
        <v>1488.75</v>
      </c>
      <c r="G58" s="392"/>
      <c r="H58" s="400">
        <f>SUM(H54:H57)</f>
        <v>0</v>
      </c>
      <c r="I58" s="388"/>
    </row>
    <row r="59" spans="1:18" s="389" customFormat="1" ht="12.75" customHeight="1" thickTop="1" x14ac:dyDescent="0.25"/>
    <row r="60" spans="1:18" s="389" customFormat="1" ht="12.75" customHeight="1" x14ac:dyDescent="0.25">
      <c r="C60" s="372" t="s">
        <v>448</v>
      </c>
      <c r="D60" s="387"/>
      <c r="E60" s="387"/>
      <c r="F60" s="387"/>
      <c r="G60" s="387"/>
      <c r="H60" s="387"/>
      <c r="I60" s="388"/>
    </row>
    <row r="61" spans="1:18" s="389" customFormat="1" ht="12.75" customHeight="1" x14ac:dyDescent="0.25">
      <c r="B61" s="391" t="s">
        <v>663</v>
      </c>
      <c r="C61" s="483" t="s">
        <v>657</v>
      </c>
      <c r="D61" s="387">
        <v>22.5</v>
      </c>
      <c r="E61" s="387"/>
      <c r="F61" s="387">
        <f>22.5</f>
        <v>22.5</v>
      </c>
      <c r="G61" s="387"/>
      <c r="H61" s="387">
        <f>D61-F61</f>
        <v>0</v>
      </c>
      <c r="I61" s="388"/>
    </row>
    <row r="62" spans="1:18" s="389" customFormat="1" ht="12.75" customHeight="1" x14ac:dyDescent="0.25">
      <c r="B62" s="391" t="s">
        <v>664</v>
      </c>
      <c r="C62" s="372" t="s">
        <v>658</v>
      </c>
      <c r="D62" s="387">
        <f>340-340</f>
        <v>0</v>
      </c>
      <c r="E62" s="387"/>
      <c r="F62" s="387"/>
      <c r="G62" s="387"/>
      <c r="H62" s="387">
        <f t="shared" ref="H62:H64" si="7">D62-F62</f>
        <v>0</v>
      </c>
      <c r="I62" s="388"/>
    </row>
    <row r="63" spans="1:18" s="389" customFormat="1" ht="12.75" customHeight="1" x14ac:dyDescent="0.25">
      <c r="B63" s="391" t="s">
        <v>665</v>
      </c>
      <c r="C63" s="372" t="s">
        <v>827</v>
      </c>
      <c r="D63" s="387">
        <v>1575</v>
      </c>
      <c r="E63" s="387"/>
      <c r="F63" s="387">
        <f>1575</f>
        <v>1575</v>
      </c>
      <c r="G63" s="387"/>
      <c r="H63" s="387">
        <f t="shared" si="7"/>
        <v>0</v>
      </c>
      <c r="I63" s="388"/>
    </row>
    <row r="64" spans="1:18" s="389" customFormat="1" ht="12.75" customHeight="1" x14ac:dyDescent="0.25">
      <c r="B64" s="391" t="s">
        <v>666</v>
      </c>
      <c r="C64" s="372" t="s">
        <v>659</v>
      </c>
      <c r="D64" s="387">
        <v>140</v>
      </c>
      <c r="E64" s="387"/>
      <c r="F64" s="387">
        <f>140</f>
        <v>140</v>
      </c>
      <c r="G64" s="387"/>
      <c r="H64" s="387">
        <f t="shared" si="7"/>
        <v>0</v>
      </c>
      <c r="I64" s="388"/>
    </row>
    <row r="65" spans="3:14" s="389" customFormat="1" ht="12.75" customHeight="1" thickBot="1" x14ac:dyDescent="0.3">
      <c r="C65" s="399" t="s">
        <v>157</v>
      </c>
      <c r="D65" s="400">
        <f>SUM(D61:D64)</f>
        <v>1737.5</v>
      </c>
      <c r="E65" s="392"/>
      <c r="F65" s="400">
        <f>SUM(F61:F64)</f>
        <v>1737.5</v>
      </c>
      <c r="G65" s="392"/>
      <c r="H65" s="400">
        <f>SUM(H61:H64)</f>
        <v>0</v>
      </c>
      <c r="I65" s="388"/>
      <c r="L65" s="484"/>
      <c r="M65" s="484"/>
      <c r="N65" s="484"/>
    </row>
    <row r="66" spans="3:14" s="389" customFormat="1" ht="12.75" customHeight="1" thickTop="1" x14ac:dyDescent="0.25">
      <c r="C66" s="399"/>
      <c r="D66" s="470"/>
      <c r="E66" s="392"/>
      <c r="F66" s="470"/>
      <c r="G66" s="392"/>
      <c r="H66" s="470"/>
      <c r="I66" s="388"/>
      <c r="L66" s="484"/>
      <c r="M66" s="484"/>
      <c r="N66" s="484"/>
    </row>
    <row r="67" spans="3:14" s="389" customFormat="1" ht="12.75" customHeight="1" x14ac:dyDescent="0.25">
      <c r="C67" s="399"/>
      <c r="D67" s="470"/>
      <c r="E67" s="392"/>
      <c r="F67" s="470"/>
      <c r="G67" s="392"/>
      <c r="H67" s="470"/>
      <c r="I67" s="388"/>
      <c r="L67" s="484"/>
      <c r="M67" s="484"/>
      <c r="N67" s="484"/>
    </row>
    <row r="68" spans="3:14" s="389" customFormat="1" ht="12.75" customHeight="1" x14ac:dyDescent="0.25">
      <c r="C68" s="372" t="s">
        <v>823</v>
      </c>
      <c r="D68" s="387">
        <f>900-562.5</f>
        <v>337.5</v>
      </c>
      <c r="E68" s="387"/>
      <c r="F68" s="387">
        <f>F45+F36+F27</f>
        <v>337.5</v>
      </c>
      <c r="G68" s="387"/>
      <c r="H68" s="387">
        <f>D68-F68</f>
        <v>0</v>
      </c>
      <c r="I68" s="388"/>
      <c r="L68" s="484"/>
      <c r="M68" s="484"/>
      <c r="N68" s="484"/>
    </row>
    <row r="69" spans="3:14" s="389" customFormat="1" ht="12.75" customHeight="1" x14ac:dyDescent="0.25">
      <c r="C69" s="372" t="s">
        <v>824</v>
      </c>
      <c r="D69" s="387">
        <f>459-85</f>
        <v>374</v>
      </c>
      <c r="E69" s="387"/>
      <c r="F69" s="387">
        <f>F37+F28</f>
        <v>374</v>
      </c>
      <c r="G69" s="387"/>
      <c r="H69" s="387">
        <f t="shared" ref="H69:H73" si="8">D69-F69</f>
        <v>0</v>
      </c>
      <c r="I69" s="388"/>
      <c r="L69" s="484"/>
      <c r="M69" s="484"/>
      <c r="N69" s="484"/>
    </row>
    <row r="70" spans="3:14" s="389" customFormat="1" ht="12.75" customHeight="1" x14ac:dyDescent="0.25">
      <c r="C70" s="483" t="s">
        <v>825</v>
      </c>
      <c r="D70" s="387">
        <f>292.5-180</f>
        <v>112.5</v>
      </c>
      <c r="E70" s="387"/>
      <c r="F70" s="387">
        <f>F29+F38+F47+F54+F61</f>
        <v>112.5</v>
      </c>
      <c r="G70" s="387"/>
      <c r="H70" s="387">
        <f t="shared" si="8"/>
        <v>0</v>
      </c>
      <c r="I70" s="388"/>
      <c r="L70" s="484"/>
      <c r="M70" s="484"/>
      <c r="N70" s="484"/>
    </row>
    <row r="71" spans="3:14" s="389" customFormat="1" ht="12.75" customHeight="1" x14ac:dyDescent="0.25">
      <c r="C71" s="372" t="s">
        <v>826</v>
      </c>
      <c r="D71" s="387">
        <f>2465-1317.5</f>
        <v>1147.5</v>
      </c>
      <c r="E71" s="387"/>
      <c r="F71" s="387">
        <f>F62+F55+F48+F39+F30</f>
        <v>1147.5</v>
      </c>
      <c r="G71" s="387"/>
      <c r="H71" s="387">
        <f t="shared" si="8"/>
        <v>0</v>
      </c>
      <c r="I71" s="388"/>
      <c r="L71" s="484"/>
      <c r="M71" s="484"/>
      <c r="N71" s="484"/>
    </row>
    <row r="72" spans="3:14" s="389" customFormat="1" ht="12.75" customHeight="1" x14ac:dyDescent="0.25">
      <c r="C72" s="372" t="s">
        <v>831</v>
      </c>
      <c r="D72" s="387">
        <f>7455-1233.75</f>
        <v>6221.25</v>
      </c>
      <c r="E72" s="387"/>
      <c r="F72" s="387">
        <f>F63+F56+F49+F40+F31</f>
        <v>6221.25</v>
      </c>
      <c r="G72" s="387"/>
      <c r="H72" s="387">
        <f t="shared" si="8"/>
        <v>0</v>
      </c>
    </row>
    <row r="73" spans="3:14" s="389" customFormat="1" ht="12.75" customHeight="1" x14ac:dyDescent="0.25">
      <c r="C73" s="372" t="s">
        <v>832</v>
      </c>
      <c r="D73" s="387">
        <f>290-37.5</f>
        <v>252.5</v>
      </c>
      <c r="E73" s="387"/>
      <c r="F73" s="387">
        <f>F64+F57+F50+F41+F32</f>
        <v>252.5</v>
      </c>
      <c r="G73" s="387"/>
      <c r="H73" s="387">
        <f t="shared" si="8"/>
        <v>0</v>
      </c>
    </row>
    <row r="74" spans="3:14" s="389" customFormat="1" ht="12.75" customHeight="1" thickBot="1" x14ac:dyDescent="0.3">
      <c r="C74" s="484" t="s">
        <v>660</v>
      </c>
      <c r="D74" s="400">
        <f>D33+D42+D51+D58+D65</f>
        <v>8445.25</v>
      </c>
      <c r="E74" s="392"/>
      <c r="F74" s="400">
        <f>SUM(F68:F73)</f>
        <v>8445.25</v>
      </c>
      <c r="G74" s="392"/>
      <c r="H74" s="400">
        <f>SUM(H68:H73)</f>
        <v>0</v>
      </c>
    </row>
    <row r="75" spans="3:14" s="389" customFormat="1" ht="12.75" customHeight="1" thickTop="1" x14ac:dyDescent="0.25"/>
    <row r="76" spans="3:14" s="389" customFormat="1" ht="12.75" customHeight="1" x14ac:dyDescent="0.25"/>
    <row r="77" spans="3:14" s="389" customFormat="1" ht="12.75" customHeight="1" x14ac:dyDescent="0.25">
      <c r="C77" s="372"/>
      <c r="D77" s="387"/>
      <c r="E77" s="387"/>
      <c r="F77" s="387"/>
      <c r="G77" s="387"/>
      <c r="H77" s="387"/>
    </row>
    <row r="78" spans="3:14" s="389" customFormat="1" ht="12.75" customHeight="1" x14ac:dyDescent="0.25">
      <c r="C78" s="372"/>
      <c r="D78" s="387"/>
      <c r="E78" s="387"/>
      <c r="F78" s="387"/>
      <c r="G78" s="387"/>
      <c r="H78" s="387"/>
    </row>
    <row r="79" spans="3:14" s="389" customFormat="1" ht="12.75" customHeight="1" x14ac:dyDescent="0.25">
      <c r="C79" s="485"/>
      <c r="D79" s="387"/>
      <c r="E79" s="387"/>
      <c r="F79" s="387"/>
      <c r="G79" s="387"/>
      <c r="H79" s="387"/>
    </row>
    <row r="80" spans="3:14" s="389" customFormat="1" ht="12.75" customHeight="1" x14ac:dyDescent="0.25">
      <c r="C80" s="372"/>
      <c r="D80" s="387"/>
      <c r="E80" s="387"/>
      <c r="F80" s="387"/>
      <c r="G80" s="387"/>
      <c r="H80" s="387"/>
    </row>
    <row r="81" spans="3:8" s="389" customFormat="1" ht="12.75" customHeight="1" x14ac:dyDescent="0.25">
      <c r="C81" s="372"/>
      <c r="D81" s="387"/>
      <c r="E81" s="387"/>
      <c r="F81" s="387"/>
      <c r="G81" s="387"/>
      <c r="H81" s="387"/>
    </row>
    <row r="82" spans="3:8" s="389" customFormat="1" ht="12.75" customHeight="1" x14ac:dyDescent="0.25">
      <c r="C82" s="372"/>
      <c r="D82" s="387"/>
      <c r="E82" s="387"/>
      <c r="F82" s="387"/>
      <c r="G82" s="387"/>
      <c r="H82" s="387"/>
    </row>
    <row r="83" spans="3:8" s="389" customFormat="1" ht="12.75" customHeight="1" x14ac:dyDescent="0.25">
      <c r="C83" s="399"/>
      <c r="D83" s="470"/>
      <c r="E83" s="392"/>
      <c r="F83" s="470"/>
      <c r="G83" s="392"/>
      <c r="H83" s="470"/>
    </row>
    <row r="84" spans="3:8" s="389" customFormat="1" ht="12.75" customHeight="1" x14ac:dyDescent="0.25"/>
    <row r="85" spans="3:8" s="389" customFormat="1" ht="12.75" customHeight="1" x14ac:dyDescent="0.25"/>
    <row r="86" spans="3:8" s="389" customFormat="1" ht="12.75" customHeight="1" x14ac:dyDescent="0.25"/>
    <row r="87" spans="3:8" s="389" customFormat="1" ht="12.75" customHeight="1" x14ac:dyDescent="0.25"/>
    <row r="88" spans="3:8" s="389" customFormat="1" ht="12.75" customHeight="1" x14ac:dyDescent="0.25"/>
    <row r="89" spans="3:8" s="389" customFormat="1" ht="12.75" customHeight="1" x14ac:dyDescent="0.25"/>
    <row r="90" spans="3:8" s="389" customFormat="1" ht="12.75" customHeight="1" x14ac:dyDescent="0.25"/>
    <row r="91" spans="3:8" s="389" customFormat="1" ht="12.75" customHeight="1" x14ac:dyDescent="0.25"/>
    <row r="92" spans="3:8" s="389" customFormat="1" ht="12.75" customHeight="1" x14ac:dyDescent="0.25"/>
    <row r="93" spans="3:8" s="389" customFormat="1" ht="12.75" customHeight="1" x14ac:dyDescent="0.25"/>
    <row r="94" spans="3:8" s="389" customFormat="1" ht="12.75" customHeight="1" x14ac:dyDescent="0.25"/>
    <row r="95" spans="3:8" s="389" customFormat="1" ht="12.75" customHeight="1" x14ac:dyDescent="0.25"/>
  </sheetData>
  <conditionalFormatting sqref="I9:I57">
    <cfRule type="cellIs" dxfId="37" priority="2" operator="greaterThan">
      <formula>$H$23</formula>
    </cfRule>
  </conditionalFormatting>
  <conditionalFormatting sqref="I60:I64">
    <cfRule type="cellIs" dxfId="36" priority="1" operator="greaterThan">
      <formula>$H$23</formula>
    </cfRule>
  </conditionalFormatting>
  <hyperlinks>
    <hyperlink ref="C29" r:id="rId1" display="Admin2@45" xr:uid="{F3AAECF2-8D6A-4A32-A622-B3860634B6AD}"/>
    <hyperlink ref="C47" r:id="rId2" display="Admin2@45" xr:uid="{E55039BD-9533-44B4-81DB-63085B7C225C}"/>
    <hyperlink ref="C54" r:id="rId3" display="Admin2@45" xr:uid="{4D6C0318-A1A8-4546-B65C-D2E5BC3C68D7}"/>
    <hyperlink ref="C61" r:id="rId4" display="Admin2@45" xr:uid="{194C97C5-158D-4748-8F4F-FFE3C5DA374B}"/>
    <hyperlink ref="C38" r:id="rId5" display="Admin2@45" xr:uid="{FFD01123-E9F6-4622-A077-2B858B1DF1F3}"/>
    <hyperlink ref="C70" r:id="rId6" display="Admin2@45" xr:uid="{4418EA47-B7B6-4923-84BB-34AE440B0222}"/>
  </hyperlinks>
  <pageMargins left="0.25" right="0.25" top="0.85" bottom="0.75" header="0.08" footer="0.3"/>
  <pageSetup scale="70" orientation="portrait" r:id="rId7"/>
  <headerFooter alignWithMargins="0">
    <oddHeader>&amp;CDepartment of Administrative Services
MOU Project Improvements DA26
&amp;A
&amp;D</oddHeader>
    <oddFooter>&amp;LAcct Codes 0506-335-DA26
&amp;C&amp;Z&amp;F&amp;R&amp;P/&amp;N</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26E58-4A4C-4479-AA76-9CF970A54235}">
  <sheetPr codeName="Sheet109">
    <pageSetUpPr fitToPage="1"/>
  </sheetPr>
  <dimension ref="A1:I176"/>
  <sheetViews>
    <sheetView zoomScaleNormal="100" workbookViewId="0">
      <selection activeCell="F12" sqref="F12"/>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#9534.00'!B1</f>
        <v>IDR ATOD Will call Ramp Replacement</v>
      </c>
      <c r="B1" s="86"/>
      <c r="C1" s="6"/>
      <c r="D1" s="6"/>
      <c r="E1" s="6"/>
      <c r="F1" s="132"/>
      <c r="G1" s="132"/>
      <c r="H1" s="133"/>
      <c r="I1" s="133"/>
    </row>
    <row r="2" spans="1:9" ht="15.75" x14ac:dyDescent="0.25">
      <c r="A2" s="88" t="str">
        <f>'RECAP #9534.00'!B2</f>
        <v>Project # 9534.00</v>
      </c>
      <c r="B2" s="87"/>
      <c r="C2" s="6"/>
      <c r="D2" s="6"/>
      <c r="E2" s="6"/>
      <c r="F2" s="132"/>
      <c r="G2" s="132"/>
      <c r="H2" s="133"/>
      <c r="I2" s="133"/>
    </row>
    <row r="3" spans="1:9" ht="15.75" x14ac:dyDescent="0.25">
      <c r="A3" s="89" t="str">
        <f>'RECAP #9534.00'!B3</f>
        <v>Program code 953400</v>
      </c>
      <c r="B3" s="87"/>
      <c r="C3" s="6"/>
      <c r="D3" s="90" t="str">
        <f>'RECAP #9534.00'!E3</f>
        <v>Major Program 4H06</v>
      </c>
      <c r="E3" s="6"/>
      <c r="F3" s="132"/>
      <c r="G3" s="132"/>
      <c r="H3" s="133"/>
      <c r="I3" s="133"/>
    </row>
    <row r="4" spans="1:9" ht="15.75" x14ac:dyDescent="0.25">
      <c r="A4" s="116" t="s">
        <v>237</v>
      </c>
      <c r="B4" s="134"/>
      <c r="C4" s="135"/>
      <c r="D4" s="136" t="s">
        <v>238</v>
      </c>
      <c r="E4" s="132"/>
      <c r="F4" s="132"/>
      <c r="G4" s="132"/>
      <c r="H4" s="133"/>
      <c r="I4" s="133"/>
    </row>
    <row r="5" spans="1:9" ht="15.75" x14ac:dyDescent="0.25">
      <c r="A5" s="137" t="s">
        <v>147</v>
      </c>
      <c r="B5" s="138"/>
      <c r="C5" s="139"/>
      <c r="D5" s="140" t="s">
        <v>239</v>
      </c>
      <c r="E5" s="141"/>
      <c r="F5" s="142"/>
      <c r="G5" s="142"/>
      <c r="H5" s="138"/>
      <c r="I5" s="133"/>
    </row>
    <row r="6" spans="1:9" ht="15.75" x14ac:dyDescent="0.25">
      <c r="A6" s="93" t="str">
        <f>'RECAP #9534.00'!B6</f>
        <v>Project Manager - Jennie E</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533</v>
      </c>
      <c r="B9" s="318">
        <v>46084</v>
      </c>
      <c r="C9" s="324" t="s">
        <v>146</v>
      </c>
      <c r="D9" s="186">
        <v>9399.56</v>
      </c>
      <c r="E9" s="320">
        <f>D9</f>
        <v>9399.56</v>
      </c>
      <c r="F9" s="321"/>
      <c r="G9" s="321"/>
      <c r="H9" s="321">
        <f>E9</f>
        <v>9399.56</v>
      </c>
      <c r="I9" s="322"/>
    </row>
    <row r="10" spans="1:9" s="308" customFormat="1" ht="12.75" customHeight="1" x14ac:dyDescent="0.25">
      <c r="A10" s="317" t="s">
        <v>721</v>
      </c>
      <c r="B10" s="323">
        <v>46142</v>
      </c>
      <c r="C10" s="324" t="s">
        <v>722</v>
      </c>
      <c r="D10" s="320"/>
      <c r="E10" s="320">
        <f t="shared" ref="E10:E21" si="0">E9+D10</f>
        <v>9399.56</v>
      </c>
      <c r="F10" s="325">
        <v>3440.3</v>
      </c>
      <c r="G10" s="321">
        <f t="shared" ref="G10:G21" si="1">G9+F10</f>
        <v>3440.3</v>
      </c>
      <c r="H10" s="321">
        <f t="shared" ref="H10:H21" si="2">H9-F10+D10</f>
        <v>5959.2599999999993</v>
      </c>
      <c r="I10" s="322"/>
    </row>
    <row r="11" spans="1:9" s="308" customFormat="1" ht="12.75" customHeight="1" x14ac:dyDescent="0.25">
      <c r="A11" s="317" t="s">
        <v>855</v>
      </c>
      <c r="B11" s="318">
        <v>46188</v>
      </c>
      <c r="C11" s="324" t="s">
        <v>856</v>
      </c>
      <c r="D11" s="320"/>
      <c r="E11" s="320">
        <f t="shared" si="0"/>
        <v>9399.56</v>
      </c>
      <c r="F11" s="325">
        <v>3373.12</v>
      </c>
      <c r="G11" s="321">
        <f t="shared" si="1"/>
        <v>6813.42</v>
      </c>
      <c r="H11" s="321">
        <f t="shared" si="2"/>
        <v>2586.1399999999994</v>
      </c>
      <c r="I11" s="322"/>
    </row>
    <row r="12" spans="1:9" s="308" customFormat="1" ht="12.75" customHeight="1" x14ac:dyDescent="0.25">
      <c r="A12" s="317" t="s">
        <v>971</v>
      </c>
      <c r="B12" s="318">
        <v>46210</v>
      </c>
      <c r="C12" s="324" t="s">
        <v>972</v>
      </c>
      <c r="D12" s="320"/>
      <c r="E12" s="320">
        <f t="shared" si="0"/>
        <v>9399.56</v>
      </c>
      <c r="F12" s="325">
        <v>1373.36</v>
      </c>
      <c r="G12" s="321">
        <f t="shared" si="1"/>
        <v>8186.78</v>
      </c>
      <c r="H12" s="321">
        <f t="shared" si="2"/>
        <v>1212.7799999999995</v>
      </c>
      <c r="I12" s="322"/>
    </row>
    <row r="13" spans="1:9" s="308" customFormat="1" ht="12.75" customHeight="1" x14ac:dyDescent="0.25">
      <c r="A13" s="317"/>
      <c r="B13" s="318"/>
      <c r="C13" s="324"/>
      <c r="D13" s="320"/>
      <c r="E13" s="320">
        <f t="shared" si="0"/>
        <v>9399.56</v>
      </c>
      <c r="F13" s="326"/>
      <c r="G13" s="321">
        <f t="shared" si="1"/>
        <v>8186.78</v>
      </c>
      <c r="H13" s="321">
        <f t="shared" si="2"/>
        <v>1212.7799999999995</v>
      </c>
      <c r="I13" s="322"/>
    </row>
    <row r="14" spans="1:9" s="308" customFormat="1" ht="12.75" customHeight="1" x14ac:dyDescent="0.25">
      <c r="A14" s="317"/>
      <c r="B14" s="318"/>
      <c r="C14" s="324"/>
      <c r="D14" s="320"/>
      <c r="E14" s="320">
        <f t="shared" si="0"/>
        <v>9399.56</v>
      </c>
      <c r="F14" s="321"/>
      <c r="G14" s="321">
        <f t="shared" si="1"/>
        <v>8186.78</v>
      </c>
      <c r="H14" s="321">
        <f t="shared" si="2"/>
        <v>1212.7799999999995</v>
      </c>
      <c r="I14" s="322"/>
    </row>
    <row r="15" spans="1:9" s="308" customFormat="1" ht="12.75" customHeight="1" x14ac:dyDescent="0.25">
      <c r="A15" s="317"/>
      <c r="B15" s="318"/>
      <c r="C15" s="324"/>
      <c r="D15" s="320"/>
      <c r="E15" s="320">
        <f t="shared" si="0"/>
        <v>9399.56</v>
      </c>
      <c r="F15" s="326"/>
      <c r="G15" s="321">
        <f t="shared" si="1"/>
        <v>8186.78</v>
      </c>
      <c r="H15" s="321">
        <f t="shared" si="2"/>
        <v>1212.7799999999995</v>
      </c>
      <c r="I15" s="322"/>
    </row>
    <row r="16" spans="1:9" s="308" customFormat="1" ht="12.75" customHeight="1" x14ac:dyDescent="0.25">
      <c r="A16" s="317"/>
      <c r="B16" s="318"/>
      <c r="C16" s="324"/>
      <c r="D16" s="320"/>
      <c r="E16" s="320">
        <f t="shared" si="0"/>
        <v>9399.56</v>
      </c>
      <c r="F16" s="326"/>
      <c r="G16" s="321">
        <f t="shared" si="1"/>
        <v>8186.78</v>
      </c>
      <c r="H16" s="321">
        <f t="shared" si="2"/>
        <v>1212.7799999999995</v>
      </c>
      <c r="I16" s="322"/>
    </row>
    <row r="17" spans="1:9" s="308" customFormat="1" ht="12.75" customHeight="1" x14ac:dyDescent="0.25">
      <c r="A17" s="317"/>
      <c r="B17" s="318"/>
      <c r="C17" s="324"/>
      <c r="D17" s="320"/>
      <c r="E17" s="320">
        <f t="shared" si="0"/>
        <v>9399.56</v>
      </c>
      <c r="F17" s="326"/>
      <c r="G17" s="321">
        <f t="shared" si="1"/>
        <v>8186.78</v>
      </c>
      <c r="H17" s="321">
        <f t="shared" si="2"/>
        <v>1212.7799999999995</v>
      </c>
      <c r="I17" s="322"/>
    </row>
    <row r="18" spans="1:9" s="308" customFormat="1" ht="12.75" customHeight="1" x14ac:dyDescent="0.25">
      <c r="A18" s="317"/>
      <c r="B18" s="318"/>
      <c r="C18" s="324"/>
      <c r="D18" s="320"/>
      <c r="E18" s="320">
        <f t="shared" si="0"/>
        <v>9399.56</v>
      </c>
      <c r="F18" s="326"/>
      <c r="G18" s="321">
        <f t="shared" si="1"/>
        <v>8186.78</v>
      </c>
      <c r="H18" s="321">
        <f t="shared" si="2"/>
        <v>1212.7799999999995</v>
      </c>
      <c r="I18" s="322"/>
    </row>
    <row r="19" spans="1:9" s="308" customFormat="1" ht="12.75" customHeight="1" x14ac:dyDescent="0.25">
      <c r="A19" s="317"/>
      <c r="B19" s="318"/>
      <c r="C19" s="324"/>
      <c r="D19" s="320"/>
      <c r="E19" s="320">
        <f t="shared" si="0"/>
        <v>9399.56</v>
      </c>
      <c r="F19" s="321"/>
      <c r="G19" s="321">
        <f t="shared" si="1"/>
        <v>8186.78</v>
      </c>
      <c r="H19" s="321">
        <f t="shared" si="2"/>
        <v>1212.7799999999995</v>
      </c>
      <c r="I19" s="322"/>
    </row>
    <row r="20" spans="1:9" s="308" customFormat="1" ht="12.75" customHeight="1" x14ac:dyDescent="0.25">
      <c r="A20" s="317"/>
      <c r="B20" s="318"/>
      <c r="C20" s="324"/>
      <c r="D20" s="320"/>
      <c r="E20" s="320">
        <f t="shared" si="0"/>
        <v>9399.56</v>
      </c>
      <c r="F20" s="321"/>
      <c r="G20" s="321">
        <f t="shared" si="1"/>
        <v>8186.78</v>
      </c>
      <c r="H20" s="321">
        <f t="shared" si="2"/>
        <v>1212.7799999999995</v>
      </c>
      <c r="I20" s="322"/>
    </row>
    <row r="21" spans="1:9" s="308" customFormat="1" ht="12.75" customHeight="1" x14ac:dyDescent="0.25">
      <c r="A21" s="317"/>
      <c r="B21" s="318"/>
      <c r="C21" s="327"/>
      <c r="D21" s="320"/>
      <c r="E21" s="320">
        <f t="shared" si="0"/>
        <v>9399.56</v>
      </c>
      <c r="F21" s="321"/>
      <c r="G21" s="321">
        <f t="shared" si="1"/>
        <v>8186.78</v>
      </c>
      <c r="H21" s="321">
        <f t="shared" si="2"/>
        <v>1212.7799999999995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9399.56</v>
      </c>
      <c r="E23" s="184"/>
      <c r="F23" s="184">
        <f>SUM(F9:F22)</f>
        <v>8186.78</v>
      </c>
      <c r="G23" s="184"/>
      <c r="H23" s="184">
        <f>D23-F23</f>
        <v>1212.7799999999997</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9399.56</v>
      </c>
      <c r="E26" s="321"/>
      <c r="F26" s="321">
        <f>3440.3+3373.12+1373.36</f>
        <v>8186.78</v>
      </c>
      <c r="G26" s="321"/>
      <c r="H26" s="321">
        <f>D26-F26</f>
        <v>1212.7799999999997</v>
      </c>
      <c r="I26" s="322"/>
    </row>
    <row r="27" spans="1:9" s="308" customFormat="1" ht="12.75" customHeight="1" x14ac:dyDescent="0.25">
      <c r="A27" s="317"/>
      <c r="B27" s="324"/>
      <c r="C27" s="328" t="s">
        <v>253</v>
      </c>
      <c r="D27" s="321">
        <v>0</v>
      </c>
      <c r="E27" s="185"/>
      <c r="F27" s="185"/>
      <c r="G27" s="185"/>
      <c r="H27" s="321">
        <f>D27-F27</f>
        <v>0</v>
      </c>
      <c r="I27" s="322"/>
    </row>
    <row r="28" spans="1:9" s="308" customFormat="1" ht="12.75" customHeight="1" thickBot="1" x14ac:dyDescent="0.3">
      <c r="A28" s="317"/>
      <c r="B28" s="324"/>
      <c r="C28" s="359" t="s">
        <v>157</v>
      </c>
      <c r="D28" s="360">
        <f>SUM(D25:D27)</f>
        <v>9399.56</v>
      </c>
      <c r="E28" s="326"/>
      <c r="F28" s="360">
        <f>SUM(F25:F27)</f>
        <v>8186.78</v>
      </c>
      <c r="G28" s="326"/>
      <c r="H28" s="360">
        <f>SUM(H25:H27)</f>
        <v>1212.7799999999997</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sheetData>
  <conditionalFormatting sqref="I9:I25">
    <cfRule type="cellIs" dxfId="5" priority="1" operator="greaterThan">
      <formula>$H$23</formula>
    </cfRule>
  </conditionalFormatting>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744A4-2669-4FBB-972B-6166BE762AF1}">
  <sheetPr codeName="Sheet110">
    <pageSetUpPr fitToPage="1"/>
  </sheetPr>
  <dimension ref="A1:L182"/>
  <sheetViews>
    <sheetView zoomScaleNormal="100" workbookViewId="0">
      <selection activeCell="D20" sqref="D20"/>
    </sheetView>
  </sheetViews>
  <sheetFormatPr defaultColWidth="11.42578125" defaultRowHeight="15" customHeight="1" x14ac:dyDescent="0.25"/>
  <cols>
    <col min="1" max="1" width="24.5703125" customWidth="1"/>
    <col min="2" max="3" width="9.42578125" customWidth="1"/>
    <col min="4" max="4" width="42" customWidth="1"/>
    <col min="5" max="5" width="14.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#9534.00'!B1</f>
        <v>IDR ATOD Will call Ramp Replacement</v>
      </c>
      <c r="B1" s="86"/>
      <c r="C1" s="86"/>
      <c r="D1" s="6"/>
      <c r="E1" s="6"/>
      <c r="F1" s="6"/>
      <c r="G1" s="132"/>
      <c r="H1" s="132"/>
      <c r="I1" s="133"/>
      <c r="J1" s="133"/>
    </row>
    <row r="2" spans="1:10" ht="15.75" x14ac:dyDescent="0.25">
      <c r="A2" s="88" t="str">
        <f>'RECAP #9534.00'!B2</f>
        <v>Project # 9534.00</v>
      </c>
      <c r="B2" s="87"/>
      <c r="C2" s="87"/>
      <c r="D2" s="6"/>
      <c r="E2" s="6"/>
      <c r="F2" s="6"/>
      <c r="G2" s="132"/>
      <c r="H2" s="132"/>
      <c r="I2" s="133"/>
      <c r="J2" s="133"/>
    </row>
    <row r="3" spans="1:10" ht="15.75" x14ac:dyDescent="0.25">
      <c r="A3" s="89" t="str">
        <f>'RECAP #9534.00'!B3</f>
        <v>Program code 953400</v>
      </c>
      <c r="B3" s="87"/>
      <c r="C3" s="87"/>
      <c r="D3" s="6"/>
      <c r="E3" s="90" t="str">
        <f>'RECAP #9534.00'!E3</f>
        <v>Major Program 4H06</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#9534.00'!B6</f>
        <v>Project Manager - Jennie E</v>
      </c>
      <c r="B6" s="93"/>
      <c r="C6" s="93"/>
      <c r="D6" s="143"/>
      <c r="E6" s="140" t="s">
        <v>504</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5000+10000</f>
        <v>15000</v>
      </c>
      <c r="F9" s="320">
        <f>E9</f>
        <v>15000</v>
      </c>
      <c r="G9" s="321"/>
      <c r="H9" s="321"/>
      <c r="I9" s="321">
        <f>F9</f>
        <v>15000</v>
      </c>
      <c r="J9" s="322"/>
    </row>
    <row r="10" spans="1:10" s="308" customFormat="1" ht="12.75" customHeight="1" x14ac:dyDescent="0.2">
      <c r="A10" s="171" t="s">
        <v>550</v>
      </c>
      <c r="B10" s="153">
        <v>46090</v>
      </c>
      <c r="C10" s="155" t="s">
        <v>274</v>
      </c>
      <c r="D10" s="181" t="s">
        <v>551</v>
      </c>
      <c r="E10" s="320"/>
      <c r="F10" s="320">
        <f>E10+F9</f>
        <v>15000</v>
      </c>
      <c r="G10" s="325">
        <v>23.17</v>
      </c>
      <c r="H10" s="321">
        <f t="shared" ref="H10:H21" si="0">H9+G10</f>
        <v>23.17</v>
      </c>
      <c r="I10" s="321">
        <f>I9-G10+E10</f>
        <v>14976.83</v>
      </c>
      <c r="J10" s="322"/>
    </row>
    <row r="11" spans="1:10" s="308" customFormat="1" ht="12.75" customHeight="1" x14ac:dyDescent="0.2">
      <c r="A11" s="171" t="s">
        <v>550</v>
      </c>
      <c r="B11" s="153">
        <v>46090</v>
      </c>
      <c r="C11" s="401">
        <v>9500</v>
      </c>
      <c r="D11" s="126" t="s">
        <v>552</v>
      </c>
      <c r="E11" s="320"/>
      <c r="F11" s="320">
        <f t="shared" ref="F11:F21" si="1">E11+F10</f>
        <v>15000</v>
      </c>
      <c r="G11" s="325">
        <v>266.8</v>
      </c>
      <c r="H11" s="321">
        <f t="shared" si="0"/>
        <v>289.97000000000003</v>
      </c>
      <c r="I11" s="321">
        <f t="shared" ref="I11:I21" si="2">I10-G11+E11</f>
        <v>14710.03</v>
      </c>
      <c r="J11" s="322"/>
    </row>
    <row r="12" spans="1:10" s="308" customFormat="1" ht="12.75" customHeight="1" x14ac:dyDescent="0.25">
      <c r="A12" s="171" t="s">
        <v>626</v>
      </c>
      <c r="B12" s="153">
        <v>46118</v>
      </c>
      <c r="C12" s="155" t="s">
        <v>274</v>
      </c>
      <c r="D12" s="181" t="s">
        <v>627</v>
      </c>
      <c r="E12"/>
      <c r="F12" s="320">
        <f t="shared" si="1"/>
        <v>15000</v>
      </c>
      <c r="G12" s="325">
        <v>131.66999999999999</v>
      </c>
      <c r="H12" s="321">
        <f t="shared" si="0"/>
        <v>421.64</v>
      </c>
      <c r="I12" s="321">
        <f t="shared" si="2"/>
        <v>14578.36</v>
      </c>
      <c r="J12" s="322"/>
    </row>
    <row r="13" spans="1:10" s="308" customFormat="1" ht="12.75" customHeight="1" x14ac:dyDescent="0.25">
      <c r="A13" s="171" t="s">
        <v>626</v>
      </c>
      <c r="B13" s="153">
        <v>46118</v>
      </c>
      <c r="C13" s="401">
        <v>9500</v>
      </c>
      <c r="D13" s="126" t="s">
        <v>628</v>
      </c>
      <c r="E13"/>
      <c r="F13" s="320">
        <f t="shared" si="1"/>
        <v>15000</v>
      </c>
      <c r="G13" s="325">
        <v>1074.2</v>
      </c>
      <c r="H13" s="321">
        <f t="shared" si="0"/>
        <v>1495.8400000000001</v>
      </c>
      <c r="I13" s="321">
        <f t="shared" si="2"/>
        <v>13504.16</v>
      </c>
      <c r="J13" s="322"/>
    </row>
    <row r="14" spans="1:10" s="308" customFormat="1" ht="12.75" customHeight="1" x14ac:dyDescent="0.2">
      <c r="A14" s="171" t="s">
        <v>752</v>
      </c>
      <c r="B14" s="153">
        <v>46149</v>
      </c>
      <c r="C14" s="155" t="s">
        <v>274</v>
      </c>
      <c r="D14" s="181" t="s">
        <v>753</v>
      </c>
      <c r="E14" s="320"/>
      <c r="F14" s="320">
        <f t="shared" si="1"/>
        <v>15000</v>
      </c>
      <c r="G14" s="325">
        <v>143.91</v>
      </c>
      <c r="H14" s="321">
        <f t="shared" si="0"/>
        <v>1639.7500000000002</v>
      </c>
      <c r="I14" s="321">
        <f t="shared" si="2"/>
        <v>13360.25</v>
      </c>
      <c r="J14" s="322"/>
    </row>
    <row r="15" spans="1:10" s="308" customFormat="1" ht="12.75" customHeight="1" x14ac:dyDescent="0.2">
      <c r="A15" s="171" t="s">
        <v>752</v>
      </c>
      <c r="B15" s="153">
        <v>46149</v>
      </c>
      <c r="C15" s="401">
        <v>9500</v>
      </c>
      <c r="D15" s="126" t="s">
        <v>754</v>
      </c>
      <c r="E15" s="320"/>
      <c r="F15" s="320">
        <f t="shared" si="1"/>
        <v>15000</v>
      </c>
      <c r="G15" s="325">
        <v>1504.2</v>
      </c>
      <c r="H15" s="321">
        <f t="shared" si="0"/>
        <v>3143.9500000000003</v>
      </c>
      <c r="I15" s="321">
        <f t="shared" si="2"/>
        <v>11856.05</v>
      </c>
      <c r="J15" s="322"/>
    </row>
    <row r="16" spans="1:10" s="308" customFormat="1" ht="12.75" customHeight="1" x14ac:dyDescent="0.25">
      <c r="A16" s="171" t="s">
        <v>844</v>
      </c>
      <c r="B16" s="153">
        <v>46181</v>
      </c>
      <c r="C16" s="155" t="s">
        <v>274</v>
      </c>
      <c r="D16" s="181" t="s">
        <v>845</v>
      </c>
      <c r="E16"/>
      <c r="F16" s="320">
        <f t="shared" si="1"/>
        <v>15000</v>
      </c>
      <c r="G16" s="325">
        <v>84.23</v>
      </c>
      <c r="H16" s="321">
        <f t="shared" si="0"/>
        <v>3228.1800000000003</v>
      </c>
      <c r="I16" s="321">
        <f t="shared" si="2"/>
        <v>11771.82</v>
      </c>
      <c r="J16" s="322"/>
    </row>
    <row r="17" spans="1:10" s="308" customFormat="1" ht="12.75" customHeight="1" x14ac:dyDescent="0.25">
      <c r="A17" s="171" t="s">
        <v>844</v>
      </c>
      <c r="B17" s="153">
        <v>46181</v>
      </c>
      <c r="C17" s="401">
        <v>9500</v>
      </c>
      <c r="D17" s="126" t="s">
        <v>846</v>
      </c>
      <c r="E17"/>
      <c r="F17" s="320">
        <f t="shared" si="1"/>
        <v>15000</v>
      </c>
      <c r="G17" s="325">
        <v>1029.3</v>
      </c>
      <c r="H17" s="321">
        <f t="shared" si="0"/>
        <v>4257.4800000000005</v>
      </c>
      <c r="I17" s="321">
        <f t="shared" si="2"/>
        <v>10742.52</v>
      </c>
      <c r="J17" s="322"/>
    </row>
    <row r="18" spans="1:10" s="308" customFormat="1" ht="12.75" customHeight="1" x14ac:dyDescent="0.2">
      <c r="A18" s="171" t="s">
        <v>989</v>
      </c>
      <c r="B18" s="153">
        <v>46211</v>
      </c>
      <c r="C18" s="155" t="s">
        <v>274</v>
      </c>
      <c r="D18" s="181" t="s">
        <v>992</v>
      </c>
      <c r="E18" s="320"/>
      <c r="F18" s="320">
        <f t="shared" si="1"/>
        <v>15000</v>
      </c>
      <c r="G18" s="325">
        <v>179.18</v>
      </c>
      <c r="H18" s="321">
        <f t="shared" si="0"/>
        <v>4436.6600000000008</v>
      </c>
      <c r="I18" s="321">
        <f t="shared" si="2"/>
        <v>10563.34</v>
      </c>
      <c r="J18" s="322"/>
    </row>
    <row r="19" spans="1:10" s="308" customFormat="1" ht="12.75" customHeight="1" x14ac:dyDescent="0.2">
      <c r="A19" s="171" t="s">
        <v>989</v>
      </c>
      <c r="B19" s="153">
        <v>46211</v>
      </c>
      <c r="C19" s="401">
        <v>9500</v>
      </c>
      <c r="D19" s="126" t="s">
        <v>993</v>
      </c>
      <c r="E19" s="320"/>
      <c r="F19" s="320">
        <f t="shared" si="1"/>
        <v>15000</v>
      </c>
      <c r="G19" s="325">
        <v>2063.9</v>
      </c>
      <c r="H19" s="321">
        <f t="shared" si="0"/>
        <v>6500.5600000000013</v>
      </c>
      <c r="I19" s="321">
        <f t="shared" si="2"/>
        <v>8499.44</v>
      </c>
      <c r="J19" s="322"/>
    </row>
    <row r="20" spans="1:10" s="308" customFormat="1" ht="12.75" customHeight="1" x14ac:dyDescent="0.2">
      <c r="A20" s="171" t="s">
        <v>1036</v>
      </c>
      <c r="B20" s="153">
        <v>46218</v>
      </c>
      <c r="C20" s="155" t="s">
        <v>274</v>
      </c>
      <c r="D20" s="181" t="s">
        <v>1037</v>
      </c>
      <c r="E20" s="320"/>
      <c r="F20" s="320">
        <f t="shared" si="1"/>
        <v>15000</v>
      </c>
      <c r="G20" s="325">
        <v>71.489999999999995</v>
      </c>
      <c r="H20" s="321">
        <f t="shared" si="0"/>
        <v>6572.0500000000011</v>
      </c>
      <c r="I20" s="321">
        <f t="shared" si="2"/>
        <v>8427.9500000000007</v>
      </c>
      <c r="J20" s="322"/>
    </row>
    <row r="21" spans="1:10" s="308" customFormat="1" ht="12.75" customHeight="1" x14ac:dyDescent="0.25">
      <c r="A21" s="332"/>
      <c r="B21" s="318"/>
      <c r="C21" s="318"/>
      <c r="D21" s="363"/>
      <c r="E21" s="320"/>
      <c r="F21" s="320">
        <f t="shared" si="1"/>
        <v>15000</v>
      </c>
      <c r="G21" s="321"/>
      <c r="H21" s="321">
        <f t="shared" si="0"/>
        <v>6572.0500000000011</v>
      </c>
      <c r="I21" s="321">
        <f t="shared" si="2"/>
        <v>8427.9500000000007</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15000</v>
      </c>
      <c r="F23" s="184"/>
      <c r="G23" s="184">
        <f>SUM(G9:G22)</f>
        <v>6572.0500000000011</v>
      </c>
      <c r="H23" s="184"/>
      <c r="I23" s="184">
        <f>SUM(E23-G23)</f>
        <v>8427.9499999999989</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pans="12:12" s="308" customFormat="1" ht="12.75" customHeight="1" x14ac:dyDescent="0.25"/>
    <row r="34" spans="12:12" s="308" customFormat="1" ht="12.75" customHeight="1" x14ac:dyDescent="0.25"/>
    <row r="35" spans="12:12" s="308" customFormat="1" ht="12.75" customHeight="1" x14ac:dyDescent="0.25"/>
    <row r="36" spans="12:12" s="308" customFormat="1" ht="12.75" customHeight="1" x14ac:dyDescent="0.25"/>
    <row r="37" spans="12:12" s="308" customFormat="1" ht="12.75" customHeight="1" x14ac:dyDescent="0.25">
      <c r="L37" s="325"/>
    </row>
    <row r="38" spans="12:12" s="308" customFormat="1" ht="12.75" customHeight="1" x14ac:dyDescent="0.25"/>
    <row r="39" spans="12:12" s="308" customFormat="1" ht="12.75" customHeight="1" x14ac:dyDescent="0.25"/>
    <row r="40" spans="12:12" s="308" customFormat="1" ht="12.75" customHeight="1" x14ac:dyDescent="0.25"/>
    <row r="41" spans="12:12" s="308" customFormat="1" ht="12.75" customHeight="1" x14ac:dyDescent="0.25"/>
    <row r="42" spans="12:12" s="308" customFormat="1" ht="12.75" customHeight="1" x14ac:dyDescent="0.25"/>
    <row r="43" spans="12:12" s="308" customFormat="1" ht="12.75" customHeight="1" x14ac:dyDescent="0.25"/>
    <row r="44" spans="12:12" s="308" customFormat="1" ht="12.75" customHeight="1" x14ac:dyDescent="0.25"/>
    <row r="45" spans="12:12" s="308" customFormat="1" ht="12.75" customHeight="1" x14ac:dyDescent="0.25"/>
    <row r="46" spans="12:12" s="308" customFormat="1" ht="12.75" customHeight="1" x14ac:dyDescent="0.25"/>
    <row r="47" spans="12:12" s="308" customFormat="1" ht="12.75" customHeight="1" x14ac:dyDescent="0.25"/>
    <row r="48" spans="12:12"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5C7E4-AEF5-4FF8-85B9-BC238DE4A959}">
  <sheetPr codeName="Sheet111">
    <pageSetUpPr fitToPage="1"/>
  </sheetPr>
  <dimension ref="A1:H23"/>
  <sheetViews>
    <sheetView topLeftCell="A8" zoomScaleNormal="100" workbookViewId="0">
      <selection activeCell="E9" sqref="E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7109375" customWidth="1"/>
    <col min="6" max="6" width="16.5703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'#9534.00 PM TIME'!A1</f>
        <v>IDR ATOD Will call Ramp Replacement</v>
      </c>
      <c r="B1" s="86"/>
      <c r="C1" s="86"/>
      <c r="D1" s="86"/>
      <c r="E1" s="6"/>
      <c r="F1" s="6"/>
      <c r="G1" s="6"/>
      <c r="H1" s="132"/>
    </row>
    <row r="2" spans="1:8" ht="15.75" x14ac:dyDescent="0.25">
      <c r="A2" s="88" t="str">
        <f>'RECAP #9534.00'!B2</f>
        <v>Project # 9534.00</v>
      </c>
      <c r="B2" s="87"/>
      <c r="C2" s="87"/>
      <c r="D2" s="87"/>
      <c r="E2" s="6"/>
      <c r="F2" s="6"/>
      <c r="G2" s="6"/>
      <c r="H2" s="132"/>
    </row>
    <row r="3" spans="1:8" ht="15.75" x14ac:dyDescent="0.25">
      <c r="A3" s="89" t="str">
        <f>'RECAP #9534.00'!B3</f>
        <v>Program code 953400</v>
      </c>
      <c r="B3" s="87"/>
      <c r="C3" s="87"/>
      <c r="D3" s="87"/>
      <c r="E3" s="90" t="str">
        <f>'RECAP #9534.00'!E3</f>
        <v>Major Program 4H06</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#9534.00'!B6</f>
        <v>Project Manager - Jennie E</v>
      </c>
      <c r="B6" s="93"/>
      <c r="C6" s="93"/>
      <c r="D6" s="93"/>
      <c r="E6" s="90" t="s">
        <v>696</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t="s">
        <v>1052</v>
      </c>
      <c r="B9" s="153">
        <v>46230</v>
      </c>
      <c r="C9" s="165" t="s">
        <v>209</v>
      </c>
      <c r="D9" s="165" t="s">
        <v>372</v>
      </c>
      <c r="E9" s="181" t="s">
        <v>490</v>
      </c>
      <c r="F9" s="172" t="s">
        <v>1051</v>
      </c>
      <c r="G9" s="325">
        <v>3630</v>
      </c>
      <c r="H9" s="162">
        <f>G9</f>
        <v>3630</v>
      </c>
    </row>
    <row r="10" spans="1:8" x14ac:dyDescent="0.25">
      <c r="A10" s="165"/>
      <c r="B10" s="153"/>
      <c r="C10" s="160"/>
      <c r="D10" s="160"/>
      <c r="E10" s="141"/>
      <c r="F10" s="106"/>
      <c r="G10" s="162"/>
      <c r="H10" s="162">
        <f>H9+G10</f>
        <v>3630</v>
      </c>
    </row>
    <row r="11" spans="1:8" x14ac:dyDescent="0.25">
      <c r="A11" s="165"/>
      <c r="B11" s="153"/>
      <c r="C11" s="153"/>
      <c r="D11" s="153"/>
      <c r="E11" s="141"/>
      <c r="F11" s="106"/>
      <c r="G11" s="162"/>
      <c r="H11" s="162">
        <f t="shared" ref="H11:H20" si="0">H10+G11</f>
        <v>3630</v>
      </c>
    </row>
    <row r="12" spans="1:8" x14ac:dyDescent="0.25">
      <c r="A12" s="165" t="s">
        <v>3</v>
      </c>
      <c r="B12" s="153" t="s">
        <v>3</v>
      </c>
      <c r="C12" s="153"/>
      <c r="D12" s="153"/>
      <c r="E12" s="141" t="s">
        <v>3</v>
      </c>
      <c r="F12" s="106"/>
      <c r="G12" s="162"/>
      <c r="H12" s="162">
        <f t="shared" si="0"/>
        <v>3630</v>
      </c>
    </row>
    <row r="13" spans="1:8" x14ac:dyDescent="0.25">
      <c r="A13" s="165" t="s">
        <v>3</v>
      </c>
      <c r="B13" s="153" t="s">
        <v>3</v>
      </c>
      <c r="C13" s="153"/>
      <c r="D13" s="153"/>
      <c r="E13" s="141" t="s">
        <v>3</v>
      </c>
      <c r="F13" s="106"/>
      <c r="G13" s="162"/>
      <c r="H13" s="162">
        <f t="shared" si="0"/>
        <v>3630</v>
      </c>
    </row>
    <row r="14" spans="1:8" x14ac:dyDescent="0.25">
      <c r="A14" s="165"/>
      <c r="B14" s="153"/>
      <c r="C14" s="153"/>
      <c r="D14" s="153"/>
      <c r="E14" s="141"/>
      <c r="F14" s="106"/>
      <c r="G14" s="162"/>
      <c r="H14" s="162">
        <f t="shared" si="0"/>
        <v>3630</v>
      </c>
    </row>
    <row r="15" spans="1:8" x14ac:dyDescent="0.25">
      <c r="A15" s="165"/>
      <c r="B15" s="153"/>
      <c r="C15" s="153"/>
      <c r="D15" s="153"/>
      <c r="E15" s="173"/>
      <c r="F15" s="106"/>
      <c r="G15" s="162"/>
      <c r="H15" s="162">
        <f t="shared" si="0"/>
        <v>3630</v>
      </c>
    </row>
    <row r="16" spans="1:8" x14ac:dyDescent="0.25">
      <c r="A16" s="165"/>
      <c r="B16" s="153"/>
      <c r="C16" s="153"/>
      <c r="D16" s="153"/>
      <c r="E16" s="141"/>
      <c r="F16" s="106"/>
      <c r="G16" s="162"/>
      <c r="H16" s="162">
        <f t="shared" si="0"/>
        <v>3630</v>
      </c>
    </row>
    <row r="17" spans="1:8" x14ac:dyDescent="0.25">
      <c r="A17" s="152"/>
      <c r="B17" s="153"/>
      <c r="C17" s="153"/>
      <c r="D17" s="153"/>
      <c r="E17" s="141"/>
      <c r="F17" s="106"/>
      <c r="G17" s="162"/>
      <c r="H17" s="162">
        <f t="shared" si="0"/>
        <v>3630</v>
      </c>
    </row>
    <row r="18" spans="1:8" x14ac:dyDescent="0.25">
      <c r="A18" s="152"/>
      <c r="B18" s="153"/>
      <c r="C18" s="153"/>
      <c r="D18" s="153"/>
      <c r="E18" s="141"/>
      <c r="F18" s="106"/>
      <c r="G18" s="162"/>
      <c r="H18" s="162">
        <f t="shared" si="0"/>
        <v>3630</v>
      </c>
    </row>
    <row r="19" spans="1:8" x14ac:dyDescent="0.25">
      <c r="A19" s="152"/>
      <c r="B19" s="153"/>
      <c r="C19" s="153"/>
      <c r="D19" s="153"/>
      <c r="E19" s="141"/>
      <c r="F19" s="106"/>
      <c r="G19" s="162"/>
      <c r="H19" s="162">
        <f t="shared" si="0"/>
        <v>3630</v>
      </c>
    </row>
    <row r="20" spans="1:8" x14ac:dyDescent="0.25">
      <c r="A20" s="152"/>
      <c r="B20" s="153"/>
      <c r="C20" s="153"/>
      <c r="D20" s="153"/>
      <c r="E20" s="141"/>
      <c r="F20" s="106"/>
      <c r="G20" s="162"/>
      <c r="H20" s="162">
        <f t="shared" si="0"/>
        <v>3630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3630</v>
      </c>
      <c r="H22" s="177"/>
    </row>
    <row r="23" spans="1:8" ht="15" customHeight="1" thickTop="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3FF17-C9E2-4830-81AC-CFDE58D2916F}">
  <sheetPr>
    <pageSetUpPr fitToPage="1"/>
  </sheetPr>
  <dimension ref="A1:I179"/>
  <sheetViews>
    <sheetView zoomScaleNormal="100" workbookViewId="0">
      <selection activeCell="F11" sqref="F1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855468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#9534.00'!B1</f>
        <v>IDR ATOD Will call Ramp Replacement</v>
      </c>
      <c r="B1" s="86"/>
      <c r="C1" s="6"/>
      <c r="D1" s="6"/>
      <c r="E1" s="6"/>
      <c r="F1" s="132"/>
      <c r="G1" s="132"/>
      <c r="H1" s="133"/>
      <c r="I1" s="133"/>
    </row>
    <row r="2" spans="1:9" ht="15.75" x14ac:dyDescent="0.25">
      <c r="A2" s="88" t="str">
        <f>'RECAP #9534.00'!B2</f>
        <v>Project # 9534.00</v>
      </c>
      <c r="B2" s="87"/>
      <c r="C2" s="6"/>
      <c r="D2" s="6"/>
      <c r="E2" s="6"/>
      <c r="F2" s="132"/>
      <c r="G2" s="132"/>
      <c r="H2" s="133"/>
      <c r="I2" s="133"/>
    </row>
    <row r="3" spans="1:9" ht="15.75" x14ac:dyDescent="0.25">
      <c r="A3" s="89" t="str">
        <f>'RECAP #9534.00'!B3</f>
        <v>Program code 953400</v>
      </c>
      <c r="B3" s="87"/>
      <c r="C3" s="6"/>
      <c r="D3" s="90" t="str">
        <f>'RECAP #9534.00'!E3</f>
        <v>Major Program 4H06</v>
      </c>
      <c r="E3" s="6"/>
      <c r="F3" s="132"/>
      <c r="G3" s="132"/>
      <c r="H3" s="133"/>
      <c r="I3" s="133"/>
    </row>
    <row r="4" spans="1:9" ht="15.75" x14ac:dyDescent="0.25">
      <c r="A4" s="116" t="s">
        <v>691</v>
      </c>
      <c r="B4" s="134"/>
      <c r="C4" s="135"/>
      <c r="D4" s="136" t="s">
        <v>692</v>
      </c>
      <c r="E4" s="132"/>
      <c r="F4" s="132"/>
      <c r="G4" s="132"/>
      <c r="H4" s="133"/>
      <c r="I4" s="133"/>
    </row>
    <row r="5" spans="1:9" ht="15.75" x14ac:dyDescent="0.25">
      <c r="A5" s="137" t="s">
        <v>182</v>
      </c>
      <c r="B5" s="138"/>
      <c r="C5" s="139"/>
      <c r="D5" s="140" t="s">
        <v>693</v>
      </c>
      <c r="E5" s="141"/>
      <c r="F5" s="142"/>
      <c r="G5" s="142"/>
      <c r="H5" s="138"/>
      <c r="I5" s="133"/>
    </row>
    <row r="6" spans="1:9" ht="15.75" x14ac:dyDescent="0.25">
      <c r="A6" s="93" t="str">
        <f>'RECAP #9534.00'!B6</f>
        <v>Project Manager - Jennie E</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695</v>
      </c>
      <c r="B9" s="318">
        <v>46134</v>
      </c>
      <c r="C9" s="324" t="s">
        <v>146</v>
      </c>
      <c r="D9" s="186">
        <v>22132</v>
      </c>
      <c r="E9" s="320">
        <f>D9</f>
        <v>22132</v>
      </c>
      <c r="F9" s="321"/>
      <c r="G9" s="321"/>
      <c r="H9" s="321">
        <f>E9</f>
        <v>22132</v>
      </c>
      <c r="I9" s="322"/>
    </row>
    <row r="10" spans="1:9" s="308" customFormat="1" ht="12.75" customHeight="1" x14ac:dyDescent="0.25">
      <c r="A10" s="317" t="s">
        <v>762</v>
      </c>
      <c r="B10" s="323">
        <v>46161</v>
      </c>
      <c r="C10" s="324" t="s">
        <v>763</v>
      </c>
      <c r="D10" s="320"/>
      <c r="E10" s="320">
        <f t="shared" ref="E10:E21" si="0">E9+D10</f>
        <v>22132</v>
      </c>
      <c r="F10" s="325">
        <v>2340</v>
      </c>
      <c r="G10" s="321">
        <f t="shared" ref="G10:G21" si="1">G9+F10</f>
        <v>2340</v>
      </c>
      <c r="H10" s="321">
        <f t="shared" ref="H10:H21" si="2">H9-F10+D10</f>
        <v>19792</v>
      </c>
      <c r="I10" s="322"/>
    </row>
    <row r="11" spans="1:9" s="308" customFormat="1" ht="12.75" customHeight="1" x14ac:dyDescent="0.25">
      <c r="A11" s="317" t="s">
        <v>1043</v>
      </c>
      <c r="B11" s="318">
        <v>46220</v>
      </c>
      <c r="C11" s="324" t="s">
        <v>1044</v>
      </c>
      <c r="D11" s="320"/>
      <c r="E11" s="320">
        <f t="shared" si="0"/>
        <v>22132</v>
      </c>
      <c r="F11" s="325">
        <v>9540</v>
      </c>
      <c r="G11" s="321">
        <f t="shared" si="1"/>
        <v>11880</v>
      </c>
      <c r="H11" s="321">
        <f t="shared" si="2"/>
        <v>10252</v>
      </c>
      <c r="I11" s="322"/>
    </row>
    <row r="12" spans="1:9" s="308" customFormat="1" ht="12.75" customHeight="1" x14ac:dyDescent="0.25">
      <c r="A12" s="317"/>
      <c r="B12" s="318"/>
      <c r="C12" s="324"/>
      <c r="D12" s="320"/>
      <c r="E12" s="320">
        <f t="shared" si="0"/>
        <v>22132</v>
      </c>
      <c r="F12" s="326"/>
      <c r="G12" s="321">
        <f t="shared" si="1"/>
        <v>11880</v>
      </c>
      <c r="H12" s="321">
        <f t="shared" si="2"/>
        <v>10252</v>
      </c>
      <c r="I12" s="322"/>
    </row>
    <row r="13" spans="1:9" s="308" customFormat="1" ht="12.75" customHeight="1" x14ac:dyDescent="0.25">
      <c r="A13" s="317"/>
      <c r="B13" s="318"/>
      <c r="C13" s="324"/>
      <c r="D13" s="320"/>
      <c r="E13" s="320">
        <f t="shared" si="0"/>
        <v>22132</v>
      </c>
      <c r="F13" s="326"/>
      <c r="G13" s="321">
        <f t="shared" si="1"/>
        <v>11880</v>
      </c>
      <c r="H13" s="321">
        <f t="shared" si="2"/>
        <v>10252</v>
      </c>
      <c r="I13" s="322"/>
    </row>
    <row r="14" spans="1:9" s="308" customFormat="1" ht="12.75" customHeight="1" x14ac:dyDescent="0.25">
      <c r="A14" s="317"/>
      <c r="B14" s="318"/>
      <c r="C14" s="324"/>
      <c r="D14" s="320"/>
      <c r="E14" s="320">
        <f t="shared" si="0"/>
        <v>22132</v>
      </c>
      <c r="F14" s="321"/>
      <c r="G14" s="321">
        <f t="shared" si="1"/>
        <v>11880</v>
      </c>
      <c r="H14" s="321">
        <f t="shared" si="2"/>
        <v>10252</v>
      </c>
      <c r="I14" s="322"/>
    </row>
    <row r="15" spans="1:9" s="308" customFormat="1" ht="12.75" customHeight="1" x14ac:dyDescent="0.25">
      <c r="A15" s="317"/>
      <c r="B15" s="318"/>
      <c r="C15" s="324"/>
      <c r="D15" s="320"/>
      <c r="E15" s="320">
        <f t="shared" si="0"/>
        <v>22132</v>
      </c>
      <c r="F15" s="326"/>
      <c r="G15" s="321">
        <f t="shared" si="1"/>
        <v>11880</v>
      </c>
      <c r="H15" s="321">
        <f t="shared" si="2"/>
        <v>10252</v>
      </c>
      <c r="I15" s="322"/>
    </row>
    <row r="16" spans="1:9" s="308" customFormat="1" ht="12.75" customHeight="1" x14ac:dyDescent="0.25">
      <c r="A16" s="317"/>
      <c r="B16" s="318"/>
      <c r="C16" s="324"/>
      <c r="D16" s="320"/>
      <c r="E16" s="320">
        <f t="shared" si="0"/>
        <v>22132</v>
      </c>
      <c r="F16" s="326"/>
      <c r="G16" s="321">
        <f t="shared" si="1"/>
        <v>11880</v>
      </c>
      <c r="H16" s="321">
        <f t="shared" si="2"/>
        <v>10252</v>
      </c>
      <c r="I16" s="322"/>
    </row>
    <row r="17" spans="1:9" s="308" customFormat="1" ht="12.75" customHeight="1" x14ac:dyDescent="0.25">
      <c r="A17" s="317"/>
      <c r="B17" s="318"/>
      <c r="C17" s="324"/>
      <c r="D17" s="320"/>
      <c r="E17" s="320">
        <f t="shared" si="0"/>
        <v>22132</v>
      </c>
      <c r="F17" s="326"/>
      <c r="G17" s="321">
        <f t="shared" si="1"/>
        <v>11880</v>
      </c>
      <c r="H17" s="321">
        <f t="shared" si="2"/>
        <v>10252</v>
      </c>
      <c r="I17" s="322"/>
    </row>
    <row r="18" spans="1:9" s="308" customFormat="1" ht="12.75" customHeight="1" x14ac:dyDescent="0.25">
      <c r="A18" s="317"/>
      <c r="B18" s="318"/>
      <c r="C18" s="324"/>
      <c r="D18" s="320"/>
      <c r="E18" s="320">
        <f t="shared" si="0"/>
        <v>22132</v>
      </c>
      <c r="F18" s="326"/>
      <c r="G18" s="321">
        <f t="shared" si="1"/>
        <v>11880</v>
      </c>
      <c r="H18" s="321">
        <f t="shared" si="2"/>
        <v>10252</v>
      </c>
      <c r="I18" s="322"/>
    </row>
    <row r="19" spans="1:9" s="308" customFormat="1" ht="12.75" customHeight="1" x14ac:dyDescent="0.25">
      <c r="A19" s="317"/>
      <c r="B19" s="318"/>
      <c r="C19" s="324"/>
      <c r="D19" s="320"/>
      <c r="E19" s="320">
        <f t="shared" si="0"/>
        <v>22132</v>
      </c>
      <c r="F19" s="321"/>
      <c r="G19" s="321">
        <f t="shared" si="1"/>
        <v>11880</v>
      </c>
      <c r="H19" s="321">
        <f t="shared" si="2"/>
        <v>10252</v>
      </c>
      <c r="I19" s="322"/>
    </row>
    <row r="20" spans="1:9" s="308" customFormat="1" ht="12.75" customHeight="1" x14ac:dyDescent="0.25">
      <c r="A20" s="317"/>
      <c r="B20" s="318"/>
      <c r="C20" s="324"/>
      <c r="D20" s="320"/>
      <c r="E20" s="320">
        <f t="shared" si="0"/>
        <v>22132</v>
      </c>
      <c r="F20" s="321"/>
      <c r="G20" s="321">
        <f t="shared" si="1"/>
        <v>11880</v>
      </c>
      <c r="H20" s="321">
        <f t="shared" si="2"/>
        <v>10252</v>
      </c>
      <c r="I20" s="322"/>
    </row>
    <row r="21" spans="1:9" s="308" customFormat="1" ht="12.75" customHeight="1" x14ac:dyDescent="0.25">
      <c r="A21" s="317"/>
      <c r="B21" s="318"/>
      <c r="C21" s="327"/>
      <c r="D21" s="320"/>
      <c r="E21" s="320">
        <f t="shared" si="0"/>
        <v>22132</v>
      </c>
      <c r="F21" s="321"/>
      <c r="G21" s="321">
        <f t="shared" si="1"/>
        <v>11880</v>
      </c>
      <c r="H21" s="321">
        <f t="shared" si="2"/>
        <v>10252</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22132</v>
      </c>
      <c r="E23" s="184"/>
      <c r="F23" s="184">
        <f>SUM(F9:F22)</f>
        <v>11880</v>
      </c>
      <c r="G23" s="184"/>
      <c r="H23" s="184">
        <f>D23-F23</f>
        <v>10252</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232</v>
      </c>
      <c r="D26" s="321">
        <v>5200</v>
      </c>
      <c r="E26" s="321"/>
      <c r="F26" s="321">
        <f>2340+2860</f>
        <v>5200</v>
      </c>
      <c r="G26" s="321"/>
      <c r="H26" s="321">
        <f>D26-F26</f>
        <v>0</v>
      </c>
      <c r="I26" s="322"/>
    </row>
    <row r="27" spans="1:9" s="308" customFormat="1" ht="12.75" customHeight="1" x14ac:dyDescent="0.25">
      <c r="A27" s="317"/>
      <c r="B27" s="324"/>
      <c r="C27" s="328" t="s">
        <v>233</v>
      </c>
      <c r="D27" s="321">
        <v>6680</v>
      </c>
      <c r="E27" s="321"/>
      <c r="F27" s="321">
        <f>6680</f>
        <v>6680</v>
      </c>
      <c r="G27" s="321"/>
      <c r="H27" s="321">
        <f t="shared" ref="H27:H30" si="3">D27-F27</f>
        <v>0</v>
      </c>
      <c r="I27" s="322"/>
    </row>
    <row r="28" spans="1:9" s="308" customFormat="1" ht="12.75" customHeight="1" x14ac:dyDescent="0.25">
      <c r="A28" s="317"/>
      <c r="B28" s="324"/>
      <c r="C28" s="328" t="s">
        <v>694</v>
      </c>
      <c r="D28" s="321">
        <v>840</v>
      </c>
      <c r="E28" s="321"/>
      <c r="F28" s="321"/>
      <c r="G28" s="321"/>
      <c r="H28" s="321">
        <f t="shared" si="3"/>
        <v>840</v>
      </c>
      <c r="I28" s="322"/>
    </row>
    <row r="29" spans="1:9" s="308" customFormat="1" ht="12.75" customHeight="1" x14ac:dyDescent="0.25">
      <c r="A29" s="317"/>
      <c r="B29" s="324"/>
      <c r="C29" s="328" t="s">
        <v>619</v>
      </c>
      <c r="D29" s="321">
        <v>8860</v>
      </c>
      <c r="E29" s="321"/>
      <c r="F29" s="321"/>
      <c r="G29" s="321"/>
      <c r="H29" s="321">
        <f t="shared" si="3"/>
        <v>8860</v>
      </c>
      <c r="I29" s="322"/>
    </row>
    <row r="30" spans="1:9" s="308" customFormat="1" ht="12.75" customHeight="1" x14ac:dyDescent="0.25">
      <c r="A30" s="317"/>
      <c r="B30" s="324"/>
      <c r="C30" s="328" t="s">
        <v>253</v>
      </c>
      <c r="D30" s="321">
        <v>552</v>
      </c>
      <c r="E30" s="185"/>
      <c r="F30" s="185"/>
      <c r="G30" s="185"/>
      <c r="H30" s="321">
        <f t="shared" si="3"/>
        <v>552</v>
      </c>
      <c r="I30" s="322"/>
    </row>
    <row r="31" spans="1:9" s="308" customFormat="1" ht="12.75" customHeight="1" thickBot="1" x14ac:dyDescent="0.3">
      <c r="A31" s="317"/>
      <c r="B31" s="324"/>
      <c r="C31" s="359" t="s">
        <v>157</v>
      </c>
      <c r="D31" s="360">
        <f>SUM(D25:D30)</f>
        <v>22132</v>
      </c>
      <c r="E31" s="326"/>
      <c r="F31" s="360">
        <f>SUM(F25:F30)</f>
        <v>11880</v>
      </c>
      <c r="G31" s="326"/>
      <c r="H31" s="360">
        <f>SUM(H25:H30)</f>
        <v>10252</v>
      </c>
      <c r="I31" s="322"/>
    </row>
    <row r="32" spans="1:9" s="308" customFormat="1" ht="12.75" customHeight="1" thickTop="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sheetData>
  <conditionalFormatting sqref="I9:I28">
    <cfRule type="cellIs" dxfId="4"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91E4A-CC99-44F5-A792-456A7120EFF8}">
  <sheetPr codeName="Sheet112">
    <pageSetUpPr fitToPage="1"/>
  </sheetPr>
  <dimension ref="A1:G51"/>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496</v>
      </c>
      <c r="C1" s="86"/>
      <c r="D1" s="6"/>
      <c r="E1" s="6"/>
      <c r="F1" s="6"/>
      <c r="G1" s="6"/>
    </row>
    <row r="2" spans="1:7" ht="15.75" x14ac:dyDescent="0.25">
      <c r="A2" s="84"/>
      <c r="B2" s="88" t="s">
        <v>501</v>
      </c>
      <c r="C2" s="87"/>
      <c r="D2" s="6"/>
      <c r="E2" s="6"/>
      <c r="F2" s="6"/>
      <c r="G2" s="6"/>
    </row>
    <row r="3" spans="1:7" ht="15.75" x14ac:dyDescent="0.25">
      <c r="A3" s="84"/>
      <c r="B3" s="89" t="s">
        <v>502</v>
      </c>
      <c r="C3" s="87"/>
      <c r="D3" s="6"/>
      <c r="E3" s="90" t="s">
        <v>503</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70</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'#9535.00 Funds Rec''d'!H24</f>
        <v>810000</v>
      </c>
      <c r="D8" s="102"/>
      <c r="E8" s="102"/>
      <c r="F8" s="102"/>
      <c r="G8" s="103"/>
    </row>
    <row r="9" spans="1:7" x14ac:dyDescent="0.25">
      <c r="A9" s="84"/>
      <c r="B9" s="87"/>
      <c r="C9" s="104"/>
      <c r="D9" s="105"/>
      <c r="E9" s="105"/>
      <c r="F9" s="105"/>
      <c r="G9" s="103"/>
    </row>
    <row r="10" spans="1:7" x14ac:dyDescent="0.25">
      <c r="A10" s="84"/>
      <c r="B10" s="87" t="s">
        <v>459</v>
      </c>
      <c r="C10" s="104"/>
      <c r="D10" s="102">
        <f>'#9535.00 Story Construction'!D23</f>
        <v>19055.650000000001</v>
      </c>
      <c r="E10" s="102">
        <f>'#9535.00 Story Construction'!F23</f>
        <v>5407.6</v>
      </c>
      <c r="F10" s="102">
        <f>'#9535.00 Story Construction'!H23</f>
        <v>13648.050000000001</v>
      </c>
      <c r="G10" s="103"/>
    </row>
    <row r="11" spans="1:7" x14ac:dyDescent="0.25">
      <c r="A11" s="84"/>
      <c r="B11" s="87" t="s">
        <v>41</v>
      </c>
      <c r="C11" s="104"/>
      <c r="D11" s="102">
        <f>'#9535.00 PM TIME'!E23</f>
        <v>18000</v>
      </c>
      <c r="E11" s="102">
        <f>'#9535.00 PM TIME'!G23</f>
        <v>3025.32</v>
      </c>
      <c r="F11" s="102">
        <f>'#9535.00 PM TIME'!I23</f>
        <v>14974.68</v>
      </c>
      <c r="G11" s="103"/>
    </row>
    <row r="12" spans="1:7" x14ac:dyDescent="0.25">
      <c r="A12" s="84"/>
      <c r="B12" s="87" t="s">
        <v>42</v>
      </c>
      <c r="C12" s="105"/>
      <c r="D12" s="106">
        <f>'#9535.00 Misc'!G22</f>
        <v>0</v>
      </c>
      <c r="E12" s="106">
        <f>'#9535.00 Misc'!G22</f>
        <v>0</v>
      </c>
      <c r="F12" s="102">
        <f>D12-E12</f>
        <v>0</v>
      </c>
      <c r="G12" s="103"/>
    </row>
    <row r="13" spans="1:7" x14ac:dyDescent="0.25">
      <c r="A13" s="84"/>
      <c r="B13" s="87" t="s">
        <v>733</v>
      </c>
      <c r="C13" s="105"/>
      <c r="D13" s="106">
        <f>'#9535.00 Genesis Architectural'!D23</f>
        <v>28800</v>
      </c>
      <c r="E13" s="106">
        <f>'#9535.00 Genesis Architectural'!F23</f>
        <v>16245</v>
      </c>
      <c r="F13" s="102">
        <f>'#9535.00 Genesis Architectural'!H23</f>
        <v>12555</v>
      </c>
      <c r="G13" s="103"/>
    </row>
    <row r="14" spans="1:7" ht="13.35" customHeight="1" x14ac:dyDescent="0.25">
      <c r="A14" s="84"/>
      <c r="B14" s="87"/>
      <c r="C14" s="105"/>
      <c r="D14" s="106"/>
      <c r="E14" s="106"/>
      <c r="F14" s="102"/>
      <c r="G14" s="103"/>
    </row>
    <row r="15" spans="1:7" ht="24" customHeight="1" thickBot="1" x14ac:dyDescent="0.3">
      <c r="A15" s="107"/>
      <c r="B15" s="108" t="s">
        <v>43</v>
      </c>
      <c r="C15" s="109">
        <f>SUM(C8:C14)</f>
        <v>810000</v>
      </c>
      <c r="D15" s="109">
        <f>SUM(D8:D14)</f>
        <v>65855.649999999994</v>
      </c>
      <c r="E15" s="109">
        <f>SUM(E8:E14)</f>
        <v>24677.919999999998</v>
      </c>
      <c r="F15" s="109">
        <f>SUM(D15-E15)</f>
        <v>41177.729999999996</v>
      </c>
      <c r="G15" s="109">
        <f>C8-D15</f>
        <v>744144.35</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F9A7-D0DD-40A6-A98B-169A042FBFE3}">
  <sheetPr codeName="Sheet113">
    <pageSetUpPr fitToPage="1"/>
  </sheetPr>
  <dimension ref="A1:H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#9535.00'!B1</f>
        <v>HHS WRC Linden Court Bay Window Replacement</v>
      </c>
      <c r="B1" s="7"/>
      <c r="C1" s="2"/>
      <c r="D1" s="3"/>
      <c r="E1" s="3"/>
      <c r="F1" s="7"/>
      <c r="G1" s="7"/>
      <c r="H1" s="7"/>
    </row>
    <row r="2" spans="1:8" x14ac:dyDescent="0.25">
      <c r="A2" s="112" t="str">
        <f>'RECAP #9535.00'!B2</f>
        <v>Project # 9535.00</v>
      </c>
      <c r="B2" s="7"/>
      <c r="C2" s="113" t="s">
        <v>3</v>
      </c>
      <c r="D2" s="1"/>
      <c r="E2" s="1"/>
      <c r="F2" s="7"/>
      <c r="G2" s="7"/>
      <c r="H2" s="7"/>
    </row>
    <row r="3" spans="1:8" x14ac:dyDescent="0.25">
      <c r="A3" s="114" t="str">
        <f>'RECAP #9535.00'!B3</f>
        <v>Program code 953500</v>
      </c>
      <c r="B3" s="7"/>
      <c r="C3" s="113" t="s">
        <v>3</v>
      </c>
      <c r="D3" s="115" t="str">
        <f>'RECAP #9535.00'!E3</f>
        <v>Major Program 4G01</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#9535.00'!B6</f>
        <v>Project Manager - Jennifer K.</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457</v>
      </c>
      <c r="E9" s="15" t="s">
        <v>537</v>
      </c>
      <c r="F9" s="127">
        <v>46085</v>
      </c>
      <c r="G9" s="405">
        <v>810000</v>
      </c>
      <c r="H9" s="405">
        <v>810000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810000</v>
      </c>
      <c r="H24" s="131">
        <f>SUM(H9:H22)</f>
        <v>810000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29378-5486-4171-A23B-97167896ACCE}">
  <sheetPr codeName="Sheet114">
    <pageSetUpPr fitToPage="1"/>
  </sheetPr>
  <dimension ref="A1:I86"/>
  <sheetViews>
    <sheetView zoomScaleNormal="100" workbookViewId="0">
      <selection activeCell="F12" sqref="F12"/>
    </sheetView>
  </sheetViews>
  <sheetFormatPr defaultColWidth="11.42578125" defaultRowHeight="15" customHeight="1" x14ac:dyDescent="0.25"/>
  <cols>
    <col min="1" max="1" width="24.5703125" customWidth="1"/>
    <col min="2" max="2" width="9.42578125" customWidth="1"/>
    <col min="3" max="3" width="17.42578125"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#9535.00'!B1</f>
        <v>HHS WRC Linden Court Bay Window Replacement</v>
      </c>
      <c r="B1" s="86"/>
      <c r="C1" s="6"/>
      <c r="D1" s="6"/>
      <c r="E1" s="6"/>
      <c r="F1" s="132"/>
      <c r="G1" s="132"/>
      <c r="H1" s="133"/>
      <c r="I1" s="133"/>
    </row>
    <row r="2" spans="1:9" ht="15.75" x14ac:dyDescent="0.25">
      <c r="A2" s="88" t="str">
        <f>'RECAP #9535.00'!B2</f>
        <v>Project # 9535.00</v>
      </c>
      <c r="B2" s="87"/>
      <c r="C2" s="6"/>
      <c r="D2" s="6"/>
      <c r="E2" s="6"/>
      <c r="F2" s="132"/>
      <c r="G2" s="132"/>
      <c r="H2" s="133"/>
      <c r="I2" s="133"/>
    </row>
    <row r="3" spans="1:9" ht="15.75" x14ac:dyDescent="0.25">
      <c r="A3" s="89" t="str">
        <f>'RECAP #9535.00'!B3</f>
        <v>Program code 953500</v>
      </c>
      <c r="B3" s="87"/>
      <c r="C3" s="6"/>
      <c r="D3" s="90" t="str">
        <f>'RECAP #9535.00'!E3</f>
        <v>Major Program 4G01</v>
      </c>
      <c r="E3" s="6"/>
      <c r="F3" s="132"/>
      <c r="G3" s="132"/>
      <c r="H3" s="133"/>
      <c r="I3" s="133"/>
    </row>
    <row r="4" spans="1:9" ht="15.75" x14ac:dyDescent="0.25">
      <c r="A4" s="116" t="s">
        <v>459</v>
      </c>
      <c r="B4" s="134"/>
      <c r="C4" s="135"/>
      <c r="D4" s="136" t="s">
        <v>460</v>
      </c>
      <c r="E4" s="132"/>
      <c r="F4" s="132"/>
      <c r="G4" s="132"/>
      <c r="H4" s="133"/>
      <c r="I4" s="133"/>
    </row>
    <row r="5" spans="1:9" ht="15.75" x14ac:dyDescent="0.25">
      <c r="A5" s="137" t="s">
        <v>559</v>
      </c>
      <c r="B5" s="138"/>
      <c r="C5" s="139"/>
      <c r="D5" s="140" t="s">
        <v>560</v>
      </c>
      <c r="E5" s="141"/>
      <c r="F5" s="142"/>
      <c r="G5" s="142"/>
      <c r="H5" s="138"/>
      <c r="I5" s="133"/>
    </row>
    <row r="6" spans="1:9" ht="15.75" x14ac:dyDescent="0.25">
      <c r="A6" s="93" t="str">
        <f>'RECAP #9535.00'!B6</f>
        <v>Project Manager - Jennifer K.</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561</v>
      </c>
      <c r="B9" s="318">
        <v>46097</v>
      </c>
      <c r="C9" s="324" t="s">
        <v>146</v>
      </c>
      <c r="D9" s="186">
        <v>19055.650000000001</v>
      </c>
      <c r="E9" s="320">
        <f>D9</f>
        <v>19055.650000000001</v>
      </c>
      <c r="F9" s="321"/>
      <c r="G9" s="321"/>
      <c r="H9" s="321">
        <f>E9</f>
        <v>19055.650000000001</v>
      </c>
      <c r="I9" s="322"/>
    </row>
    <row r="10" spans="1:9" s="308" customFormat="1" ht="12.75" customHeight="1" x14ac:dyDescent="0.25">
      <c r="A10" s="317" t="s">
        <v>792</v>
      </c>
      <c r="B10" s="323">
        <v>46168</v>
      </c>
      <c r="C10" s="324" t="s">
        <v>793</v>
      </c>
      <c r="D10" s="320"/>
      <c r="E10" s="320">
        <f t="shared" ref="E10:E21" si="0">E9+D10</f>
        <v>19055.650000000001</v>
      </c>
      <c r="F10" s="325">
        <v>2836.53</v>
      </c>
      <c r="G10" s="321">
        <f t="shared" ref="G10:G21" si="1">G9+F10</f>
        <v>2836.53</v>
      </c>
      <c r="H10" s="321">
        <f t="shared" ref="H10:H21" si="2">H9-F10+D10</f>
        <v>16219.12</v>
      </c>
      <c r="I10" s="322"/>
    </row>
    <row r="11" spans="1:9" s="308" customFormat="1" ht="12.75" customHeight="1" x14ac:dyDescent="0.25">
      <c r="A11" s="317" t="s">
        <v>871</v>
      </c>
      <c r="B11" s="318">
        <v>46190</v>
      </c>
      <c r="C11" s="324" t="s">
        <v>872</v>
      </c>
      <c r="D11" s="320"/>
      <c r="E11" s="320">
        <f t="shared" si="0"/>
        <v>19055.650000000001</v>
      </c>
      <c r="F11" s="325">
        <v>1218.97</v>
      </c>
      <c r="G11" s="321">
        <f t="shared" si="1"/>
        <v>4055.5</v>
      </c>
      <c r="H11" s="321">
        <f t="shared" si="2"/>
        <v>15000.150000000001</v>
      </c>
      <c r="I11" s="322"/>
    </row>
    <row r="12" spans="1:9" s="308" customFormat="1" ht="12.75" customHeight="1" x14ac:dyDescent="0.25">
      <c r="A12" s="317" t="s">
        <v>1026</v>
      </c>
      <c r="B12" s="318">
        <v>46218</v>
      </c>
      <c r="C12" s="324" t="s">
        <v>1027</v>
      </c>
      <c r="D12" s="320"/>
      <c r="E12" s="320">
        <f t="shared" si="0"/>
        <v>19055.650000000001</v>
      </c>
      <c r="F12" s="325">
        <v>1352.1</v>
      </c>
      <c r="G12" s="321">
        <f t="shared" si="1"/>
        <v>5407.6</v>
      </c>
      <c r="H12" s="321">
        <f t="shared" si="2"/>
        <v>13648.050000000001</v>
      </c>
      <c r="I12" s="322"/>
    </row>
    <row r="13" spans="1:9" s="308" customFormat="1" ht="12.75" customHeight="1" x14ac:dyDescent="0.25">
      <c r="A13" s="317"/>
      <c r="B13" s="318"/>
      <c r="C13" s="324"/>
      <c r="D13" s="320"/>
      <c r="E13" s="320">
        <f t="shared" si="0"/>
        <v>19055.650000000001</v>
      </c>
      <c r="F13" s="326"/>
      <c r="G13" s="321">
        <f t="shared" si="1"/>
        <v>5407.6</v>
      </c>
      <c r="H13" s="321">
        <f t="shared" si="2"/>
        <v>13648.050000000001</v>
      </c>
      <c r="I13" s="322"/>
    </row>
    <row r="14" spans="1:9" s="308" customFormat="1" ht="12.75" customHeight="1" x14ac:dyDescent="0.25">
      <c r="A14" s="317"/>
      <c r="B14" s="318"/>
      <c r="C14" s="324"/>
      <c r="D14" s="320"/>
      <c r="E14" s="320">
        <f t="shared" si="0"/>
        <v>19055.650000000001</v>
      </c>
      <c r="F14" s="321"/>
      <c r="G14" s="321">
        <f t="shared" si="1"/>
        <v>5407.6</v>
      </c>
      <c r="H14" s="321">
        <f t="shared" si="2"/>
        <v>13648.050000000001</v>
      </c>
      <c r="I14" s="322"/>
    </row>
    <row r="15" spans="1:9" s="308" customFormat="1" ht="12.75" customHeight="1" x14ac:dyDescent="0.25">
      <c r="A15" s="317"/>
      <c r="B15" s="318"/>
      <c r="C15" s="324"/>
      <c r="D15" s="320"/>
      <c r="E15" s="320">
        <f t="shared" si="0"/>
        <v>19055.650000000001</v>
      </c>
      <c r="F15" s="326"/>
      <c r="G15" s="321">
        <f t="shared" si="1"/>
        <v>5407.6</v>
      </c>
      <c r="H15" s="321">
        <f t="shared" si="2"/>
        <v>13648.050000000001</v>
      </c>
      <c r="I15" s="322"/>
    </row>
    <row r="16" spans="1:9" s="308" customFormat="1" ht="12.75" customHeight="1" x14ac:dyDescent="0.25">
      <c r="A16" s="317"/>
      <c r="B16" s="318"/>
      <c r="C16" s="324"/>
      <c r="D16" s="320"/>
      <c r="E16" s="320">
        <f t="shared" si="0"/>
        <v>19055.650000000001</v>
      </c>
      <c r="F16" s="326"/>
      <c r="G16" s="321">
        <f t="shared" si="1"/>
        <v>5407.6</v>
      </c>
      <c r="H16" s="321">
        <f t="shared" si="2"/>
        <v>13648.050000000001</v>
      </c>
      <c r="I16" s="322"/>
    </row>
    <row r="17" spans="1:9" s="308" customFormat="1" ht="12.75" customHeight="1" x14ac:dyDescent="0.25">
      <c r="A17" s="317"/>
      <c r="B17" s="318"/>
      <c r="C17" s="324"/>
      <c r="D17" s="320"/>
      <c r="E17" s="320">
        <f t="shared" si="0"/>
        <v>19055.650000000001</v>
      </c>
      <c r="F17" s="326"/>
      <c r="G17" s="321">
        <f t="shared" si="1"/>
        <v>5407.6</v>
      </c>
      <c r="H17" s="321">
        <f t="shared" si="2"/>
        <v>13648.050000000001</v>
      </c>
      <c r="I17" s="322"/>
    </row>
    <row r="18" spans="1:9" s="308" customFormat="1" ht="12.75" customHeight="1" x14ac:dyDescent="0.25">
      <c r="A18" s="317"/>
      <c r="B18" s="318"/>
      <c r="C18" s="324"/>
      <c r="D18" s="320"/>
      <c r="E18" s="320">
        <f t="shared" si="0"/>
        <v>19055.650000000001</v>
      </c>
      <c r="F18" s="326"/>
      <c r="G18" s="321">
        <f t="shared" si="1"/>
        <v>5407.6</v>
      </c>
      <c r="H18" s="321">
        <f t="shared" si="2"/>
        <v>13648.050000000001</v>
      </c>
      <c r="I18" s="322"/>
    </row>
    <row r="19" spans="1:9" s="308" customFormat="1" ht="12.75" customHeight="1" x14ac:dyDescent="0.25">
      <c r="A19" s="317"/>
      <c r="B19" s="318"/>
      <c r="C19" s="324"/>
      <c r="D19" s="320"/>
      <c r="E19" s="320">
        <f t="shared" si="0"/>
        <v>19055.650000000001</v>
      </c>
      <c r="F19" s="321"/>
      <c r="G19" s="321">
        <f t="shared" si="1"/>
        <v>5407.6</v>
      </c>
      <c r="H19" s="321">
        <f t="shared" si="2"/>
        <v>13648.050000000001</v>
      </c>
      <c r="I19" s="322"/>
    </row>
    <row r="20" spans="1:9" s="308" customFormat="1" ht="12.75" customHeight="1" x14ac:dyDescent="0.25">
      <c r="A20" s="317"/>
      <c r="B20" s="318"/>
      <c r="C20" s="324"/>
      <c r="D20" s="320"/>
      <c r="E20" s="320">
        <f t="shared" si="0"/>
        <v>19055.650000000001</v>
      </c>
      <c r="F20" s="321"/>
      <c r="G20" s="321">
        <f t="shared" si="1"/>
        <v>5407.6</v>
      </c>
      <c r="H20" s="321">
        <f t="shared" si="2"/>
        <v>13648.050000000001</v>
      </c>
      <c r="I20" s="322"/>
    </row>
    <row r="21" spans="1:9" s="308" customFormat="1" ht="12.75" customHeight="1" x14ac:dyDescent="0.25">
      <c r="A21" s="317"/>
      <c r="B21" s="318"/>
      <c r="C21" s="327"/>
      <c r="D21" s="320"/>
      <c r="E21" s="320">
        <f t="shared" si="0"/>
        <v>19055.650000000001</v>
      </c>
      <c r="F21" s="321"/>
      <c r="G21" s="321">
        <f t="shared" si="1"/>
        <v>5407.6</v>
      </c>
      <c r="H21" s="321">
        <f t="shared" si="2"/>
        <v>13648.050000000001</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19055.650000000001</v>
      </c>
      <c r="E23" s="184"/>
      <c r="F23" s="184">
        <f>SUM(F9:F22)</f>
        <v>5407.6</v>
      </c>
      <c r="G23" s="184"/>
      <c r="H23" s="184">
        <f>D23-F23</f>
        <v>13648.050000000001</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18996.650000000001</v>
      </c>
      <c r="E26" s="321"/>
      <c r="F26" s="321">
        <f>2807.03+1189.47+1352.1</f>
        <v>5348.6</v>
      </c>
      <c r="G26" s="321"/>
      <c r="H26" s="321">
        <f>D26-F26</f>
        <v>13648.050000000001</v>
      </c>
      <c r="I26" s="322"/>
    </row>
    <row r="27" spans="1:9" s="308" customFormat="1" ht="12.75" customHeight="1" x14ac:dyDescent="0.25">
      <c r="A27" s="317"/>
      <c r="B27" s="324"/>
      <c r="C27" s="328" t="s">
        <v>253</v>
      </c>
      <c r="D27" s="321">
        <v>59</v>
      </c>
      <c r="E27" s="185"/>
      <c r="F27" s="321">
        <f>29.5+29.5</f>
        <v>59</v>
      </c>
      <c r="G27" s="185"/>
      <c r="H27" s="321">
        <f>D27-F27</f>
        <v>0</v>
      </c>
      <c r="I27" s="322"/>
    </row>
    <row r="28" spans="1:9" s="308" customFormat="1" ht="12.75" customHeight="1" thickBot="1" x14ac:dyDescent="0.3">
      <c r="A28" s="317"/>
      <c r="B28" s="324"/>
      <c r="C28" s="359" t="s">
        <v>157</v>
      </c>
      <c r="D28" s="360">
        <f>SUM(D25:D27)</f>
        <v>19055.650000000001</v>
      </c>
      <c r="E28" s="326"/>
      <c r="F28" s="360">
        <f>SUM(F25:F27)</f>
        <v>5407.6</v>
      </c>
      <c r="G28" s="326"/>
      <c r="H28" s="360">
        <f>SUM(H25:H27)</f>
        <v>13648.050000000001</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sheetData>
  <conditionalFormatting sqref="I9:I25">
    <cfRule type="cellIs" dxfId="3" priority="1" operator="greaterThan">
      <formula>$H$23</formula>
    </cfRule>
  </conditionalFormatting>
  <pageMargins left="0.25" right="0.25" top="0.85" bottom="0.75" header="0.08" footer="0.3"/>
  <pageSetup scale="8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643BF-3052-4A21-8A86-16943A7C679A}">
  <sheetPr codeName="Sheet115">
    <pageSetUpPr fitToPage="1"/>
  </sheetPr>
  <dimension ref="A1:J182"/>
  <sheetViews>
    <sheetView topLeftCell="A7" zoomScaleNormal="100" workbookViewId="0">
      <selection activeCell="G18" sqref="G18"/>
    </sheetView>
  </sheetViews>
  <sheetFormatPr defaultColWidth="11.42578125" defaultRowHeight="15" customHeight="1" x14ac:dyDescent="0.25"/>
  <cols>
    <col min="1" max="1" width="24.5703125" customWidth="1"/>
    <col min="2" max="3" width="9.42578125" customWidth="1"/>
    <col min="4" max="4" width="42" customWidth="1"/>
    <col min="5" max="5" width="12.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#9535.00'!B1</f>
        <v>HHS WRC Linden Court Bay Window Replacement</v>
      </c>
      <c r="B1" s="86"/>
      <c r="C1" s="86"/>
      <c r="D1" s="6"/>
      <c r="E1" s="6"/>
      <c r="F1" s="6"/>
      <c r="G1" s="132"/>
      <c r="H1" s="132"/>
      <c r="I1" s="133"/>
      <c r="J1" s="133"/>
    </row>
    <row r="2" spans="1:10" ht="15.75" x14ac:dyDescent="0.25">
      <c r="A2" s="88" t="str">
        <f>'RECAP #9535.00'!B2</f>
        <v>Project # 9535.00</v>
      </c>
      <c r="B2" s="87"/>
      <c r="C2" s="87"/>
      <c r="D2" s="6"/>
      <c r="E2" s="6"/>
      <c r="F2" s="6"/>
      <c r="G2" s="132"/>
      <c r="H2" s="132"/>
      <c r="I2" s="133"/>
      <c r="J2" s="133"/>
    </row>
    <row r="3" spans="1:10" ht="15.75" x14ac:dyDescent="0.25">
      <c r="A3" s="89" t="str">
        <f>'RECAP #9535.00'!B3</f>
        <v>Program code 953500</v>
      </c>
      <c r="B3" s="87"/>
      <c r="C3" s="87"/>
      <c r="D3" s="6"/>
      <c r="E3" s="90" t="str">
        <f>'RECAP #9535.00'!E3</f>
        <v>Major Program 4G01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#9535.00'!B6</f>
        <v>Project Manager - Jennifer K.</v>
      </c>
      <c r="B6" s="93"/>
      <c r="C6" s="93"/>
      <c r="D6" s="143"/>
      <c r="E6" s="140" t="s">
        <v>505</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18000</v>
      </c>
      <c r="F9" s="320">
        <f>E9</f>
        <v>18000</v>
      </c>
      <c r="G9" s="321"/>
      <c r="H9" s="321"/>
      <c r="I9" s="321">
        <f>F9</f>
        <v>18000</v>
      </c>
      <c r="J9" s="322"/>
    </row>
    <row r="10" spans="1:10" s="308" customFormat="1" ht="12.75" customHeight="1" x14ac:dyDescent="0.2">
      <c r="A10" s="171" t="s">
        <v>626</v>
      </c>
      <c r="B10" s="153">
        <v>46118</v>
      </c>
      <c r="C10" s="155" t="s">
        <v>274</v>
      </c>
      <c r="D10" s="181" t="s">
        <v>627</v>
      </c>
      <c r="E10" s="320"/>
      <c r="F10" s="320">
        <f>E10+F9</f>
        <v>18000</v>
      </c>
      <c r="G10" s="325">
        <v>60.04</v>
      </c>
      <c r="H10" s="321">
        <f t="shared" ref="H10:H21" si="0">H9+G10</f>
        <v>60.04</v>
      </c>
      <c r="I10" s="321">
        <f>I9-G10+E10</f>
        <v>17939.96</v>
      </c>
      <c r="J10" s="322"/>
    </row>
    <row r="11" spans="1:10" s="308" customFormat="1" ht="12.75" customHeight="1" x14ac:dyDescent="0.2">
      <c r="A11" s="171" t="s">
        <v>626</v>
      </c>
      <c r="B11" s="153">
        <v>46118</v>
      </c>
      <c r="C11" s="401">
        <v>9500</v>
      </c>
      <c r="D11" s="126" t="s">
        <v>628</v>
      </c>
      <c r="E11" s="320"/>
      <c r="F11" s="320">
        <f t="shared" ref="F11:F21" si="1">E11+F10</f>
        <v>18000</v>
      </c>
      <c r="G11" s="325">
        <v>493.1</v>
      </c>
      <c r="H11" s="321">
        <f t="shared" si="0"/>
        <v>553.14</v>
      </c>
      <c r="I11" s="321">
        <f t="shared" ref="I11:I21" si="2">I10-G11+E11</f>
        <v>17446.86</v>
      </c>
      <c r="J11" s="322"/>
    </row>
    <row r="12" spans="1:10" s="308" customFormat="1" ht="12.75" customHeight="1" x14ac:dyDescent="0.2">
      <c r="A12" s="171" t="s">
        <v>752</v>
      </c>
      <c r="B12" s="153">
        <v>46149</v>
      </c>
      <c r="C12" s="155" t="s">
        <v>274</v>
      </c>
      <c r="D12" s="181" t="s">
        <v>753</v>
      </c>
      <c r="E12" s="320"/>
      <c r="F12" s="320">
        <f t="shared" si="1"/>
        <v>18000</v>
      </c>
      <c r="G12" s="325">
        <v>81.38</v>
      </c>
      <c r="H12" s="321">
        <f t="shared" si="0"/>
        <v>634.52</v>
      </c>
      <c r="I12" s="321">
        <f t="shared" si="2"/>
        <v>17365.48</v>
      </c>
      <c r="J12" s="322"/>
    </row>
    <row r="13" spans="1:10" s="308" customFormat="1" ht="12.75" customHeight="1" x14ac:dyDescent="0.2">
      <c r="A13" s="171" t="s">
        <v>752</v>
      </c>
      <c r="B13" s="153">
        <v>46149</v>
      </c>
      <c r="C13" s="401">
        <v>9500</v>
      </c>
      <c r="D13" s="126" t="s">
        <v>754</v>
      </c>
      <c r="E13" s="320"/>
      <c r="F13" s="320">
        <f t="shared" si="1"/>
        <v>18000</v>
      </c>
      <c r="G13" s="325">
        <v>846.5</v>
      </c>
      <c r="H13" s="321">
        <f t="shared" si="0"/>
        <v>1481.02</v>
      </c>
      <c r="I13" s="321">
        <f t="shared" si="2"/>
        <v>16518.98</v>
      </c>
      <c r="J13" s="322"/>
    </row>
    <row r="14" spans="1:10" s="308" customFormat="1" ht="12.75" customHeight="1" x14ac:dyDescent="0.25">
      <c r="A14" s="171" t="s">
        <v>844</v>
      </c>
      <c r="B14" s="153">
        <v>46181</v>
      </c>
      <c r="C14" s="155" t="s">
        <v>274</v>
      </c>
      <c r="D14" s="181" t="s">
        <v>845</v>
      </c>
      <c r="E14"/>
      <c r="F14" s="320">
        <f t="shared" si="1"/>
        <v>18000</v>
      </c>
      <c r="G14" s="325">
        <v>48.14</v>
      </c>
      <c r="H14" s="321">
        <f t="shared" si="0"/>
        <v>1529.16</v>
      </c>
      <c r="I14" s="321">
        <f t="shared" si="2"/>
        <v>16470.84</v>
      </c>
      <c r="J14" s="322"/>
    </row>
    <row r="15" spans="1:10" s="308" customFormat="1" ht="12.75" customHeight="1" x14ac:dyDescent="0.25">
      <c r="A15" s="171" t="s">
        <v>844</v>
      </c>
      <c r="B15" s="153">
        <v>46181</v>
      </c>
      <c r="C15" s="401">
        <v>9500</v>
      </c>
      <c r="D15" s="126" t="s">
        <v>846</v>
      </c>
      <c r="E15"/>
      <c r="F15" s="320">
        <f t="shared" si="1"/>
        <v>18000</v>
      </c>
      <c r="G15" s="325">
        <v>593.1</v>
      </c>
      <c r="H15" s="321">
        <f t="shared" si="0"/>
        <v>2122.2600000000002</v>
      </c>
      <c r="I15" s="321">
        <f t="shared" si="2"/>
        <v>15877.74</v>
      </c>
      <c r="J15" s="322"/>
    </row>
    <row r="16" spans="1:10" s="308" customFormat="1" ht="12.75" customHeight="1" x14ac:dyDescent="0.2">
      <c r="A16" s="171" t="s">
        <v>989</v>
      </c>
      <c r="B16" s="153">
        <v>46211</v>
      </c>
      <c r="C16" s="155" t="s">
        <v>274</v>
      </c>
      <c r="D16" s="181" t="s">
        <v>992</v>
      </c>
      <c r="E16" s="320"/>
      <c r="F16" s="320">
        <f t="shared" si="1"/>
        <v>18000</v>
      </c>
      <c r="G16" s="325">
        <v>69.47</v>
      </c>
      <c r="H16" s="321">
        <f t="shared" si="0"/>
        <v>2191.73</v>
      </c>
      <c r="I16" s="321">
        <f t="shared" si="2"/>
        <v>15808.27</v>
      </c>
      <c r="J16" s="322"/>
    </row>
    <row r="17" spans="1:10" s="308" customFormat="1" ht="12.75" customHeight="1" x14ac:dyDescent="0.2">
      <c r="A17" s="171" t="s">
        <v>989</v>
      </c>
      <c r="B17" s="153">
        <v>46211</v>
      </c>
      <c r="C17" s="401">
        <v>9500</v>
      </c>
      <c r="D17" s="126" t="s">
        <v>993</v>
      </c>
      <c r="E17" s="320"/>
      <c r="F17" s="320">
        <f t="shared" si="1"/>
        <v>18000</v>
      </c>
      <c r="G17" s="325">
        <v>805.2</v>
      </c>
      <c r="H17" s="321">
        <f t="shared" si="0"/>
        <v>2996.9300000000003</v>
      </c>
      <c r="I17" s="321">
        <f t="shared" si="2"/>
        <v>15003.07</v>
      </c>
      <c r="J17" s="322"/>
    </row>
    <row r="18" spans="1:10" s="308" customFormat="1" ht="12.75" customHeight="1" x14ac:dyDescent="0.2">
      <c r="A18" s="171" t="s">
        <v>1036</v>
      </c>
      <c r="B18" s="153">
        <v>46218</v>
      </c>
      <c r="C18" s="155" t="s">
        <v>274</v>
      </c>
      <c r="D18" s="181" t="s">
        <v>1037</v>
      </c>
      <c r="E18" s="320"/>
      <c r="F18" s="320">
        <f t="shared" si="1"/>
        <v>18000</v>
      </c>
      <c r="G18" s="325">
        <v>28.39</v>
      </c>
      <c r="H18" s="321">
        <f t="shared" si="0"/>
        <v>3025.32</v>
      </c>
      <c r="I18" s="321">
        <f t="shared" si="2"/>
        <v>14974.68</v>
      </c>
      <c r="J18" s="322"/>
    </row>
    <row r="19" spans="1:10" s="308" customFormat="1" ht="12.75" customHeight="1" x14ac:dyDescent="0.25">
      <c r="A19" s="332"/>
      <c r="B19" s="318"/>
      <c r="C19" s="318"/>
      <c r="D19" s="328"/>
      <c r="E19" s="320"/>
      <c r="F19" s="320">
        <f t="shared" si="1"/>
        <v>18000</v>
      </c>
      <c r="G19" s="321"/>
      <c r="H19" s="321">
        <f t="shared" si="0"/>
        <v>3025.32</v>
      </c>
      <c r="I19" s="321">
        <f t="shared" si="2"/>
        <v>14974.68</v>
      </c>
      <c r="J19" s="322"/>
    </row>
    <row r="20" spans="1:10" s="308" customFormat="1" ht="12.75" customHeight="1" x14ac:dyDescent="0.25">
      <c r="A20" s="332"/>
      <c r="B20" s="318"/>
      <c r="C20" s="318"/>
      <c r="D20" s="328"/>
      <c r="E20" s="320"/>
      <c r="F20" s="320">
        <f t="shared" si="1"/>
        <v>18000</v>
      </c>
      <c r="G20" s="321"/>
      <c r="H20" s="321">
        <f t="shared" si="0"/>
        <v>3025.32</v>
      </c>
      <c r="I20" s="321">
        <f t="shared" si="2"/>
        <v>14974.68</v>
      </c>
      <c r="J20" s="322"/>
    </row>
    <row r="21" spans="1:10" s="308" customFormat="1" ht="12.75" customHeight="1" x14ac:dyDescent="0.25">
      <c r="A21" s="332"/>
      <c r="B21" s="318"/>
      <c r="C21" s="318"/>
      <c r="D21" s="363"/>
      <c r="E21" s="320"/>
      <c r="F21" s="320">
        <f t="shared" si="1"/>
        <v>18000</v>
      </c>
      <c r="G21" s="321"/>
      <c r="H21" s="321">
        <f t="shared" si="0"/>
        <v>3025.32</v>
      </c>
      <c r="I21" s="321">
        <f t="shared" si="2"/>
        <v>14974.68</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18000</v>
      </c>
      <c r="F23" s="184"/>
      <c r="G23" s="184">
        <f>SUM(G9:G22)</f>
        <v>3025.32</v>
      </c>
      <c r="H23" s="184"/>
      <c r="I23" s="184">
        <f>SUM(E23-G23)</f>
        <v>14974.68</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086FE-4F8C-4D90-8396-0351834436D5}">
  <sheetPr codeName="Sheet116">
    <tabColor indexed="30"/>
    <pageSetUpPr fitToPage="1"/>
  </sheetPr>
  <dimension ref="A1:H23"/>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'#9535.00 PM TIME'!A1</f>
        <v>HHS WRC Linden Court Bay Window Replacement</v>
      </c>
      <c r="B1" s="86"/>
      <c r="C1" s="86"/>
      <c r="D1" s="86"/>
      <c r="E1" s="6"/>
      <c r="F1" s="6"/>
      <c r="G1" s="6"/>
      <c r="H1" s="132"/>
    </row>
    <row r="2" spans="1:8" ht="15.75" x14ac:dyDescent="0.25">
      <c r="A2" s="88" t="str">
        <f>'RECAP #9535.00'!B2</f>
        <v>Project # 9535.00</v>
      </c>
      <c r="B2" s="87"/>
      <c r="C2" s="87"/>
      <c r="D2" s="87"/>
      <c r="E2" s="6"/>
      <c r="F2" s="6"/>
      <c r="G2" s="6"/>
      <c r="H2" s="132"/>
    </row>
    <row r="3" spans="1:8" ht="15.75" x14ac:dyDescent="0.25">
      <c r="A3" s="89" t="str">
        <f>'RECAP #9535.00'!B3</f>
        <v>Program code 953500</v>
      </c>
      <c r="B3" s="87"/>
      <c r="C3" s="87"/>
      <c r="D3" s="87"/>
      <c r="E3" s="90" t="str">
        <f>'RECAP #9535.00'!E3</f>
        <v>Major Program 4G01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#9535.00'!B6</f>
        <v>Project Manager - Jennifer K.</v>
      </c>
      <c r="B6" s="93"/>
      <c r="C6" s="93"/>
      <c r="D6" s="93"/>
      <c r="E6" s="90" t="s">
        <v>319</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08B6-48A5-4C00-87BC-9163097513CE}">
  <sheetPr>
    <pageSetUpPr fitToPage="1"/>
  </sheetPr>
  <dimension ref="A1:I87"/>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17.42578125"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#9535.00'!B1</f>
        <v>HHS WRC Linden Court Bay Window Replacement</v>
      </c>
      <c r="B1" s="86"/>
      <c r="C1" s="6"/>
      <c r="D1" s="6"/>
      <c r="E1" s="6"/>
      <c r="F1" s="132"/>
      <c r="G1" s="132"/>
      <c r="H1" s="133"/>
      <c r="I1" s="133"/>
    </row>
    <row r="2" spans="1:9" ht="15.75" x14ac:dyDescent="0.25">
      <c r="A2" s="88" t="str">
        <f>'RECAP #9535.00'!B2</f>
        <v>Project # 9535.00</v>
      </c>
      <c r="B2" s="87"/>
      <c r="C2" s="6"/>
      <c r="D2" s="6"/>
      <c r="E2" s="6"/>
      <c r="F2" s="132"/>
      <c r="G2" s="132"/>
      <c r="H2" s="133"/>
      <c r="I2" s="133"/>
    </row>
    <row r="3" spans="1:9" ht="15.75" x14ac:dyDescent="0.25">
      <c r="A3" s="89" t="str">
        <f>'RECAP #9535.00'!B3</f>
        <v>Program code 953500</v>
      </c>
      <c r="B3" s="87"/>
      <c r="C3" s="6"/>
      <c r="D3" s="90" t="str">
        <f>'RECAP #9535.00'!E3</f>
        <v>Major Program 4G01</v>
      </c>
      <c r="E3" s="6"/>
      <c r="F3" s="132"/>
      <c r="G3" s="132"/>
      <c r="H3" s="133"/>
      <c r="I3" s="133"/>
    </row>
    <row r="4" spans="1:9" ht="15.75" x14ac:dyDescent="0.25">
      <c r="A4" s="116" t="s">
        <v>181</v>
      </c>
      <c r="B4" s="134"/>
      <c r="C4" s="135"/>
      <c r="D4" s="136" t="s">
        <v>183</v>
      </c>
      <c r="E4" s="132"/>
      <c r="F4" s="132"/>
      <c r="G4" s="132"/>
      <c r="H4" s="133"/>
      <c r="I4" s="133"/>
    </row>
    <row r="5" spans="1:9" ht="15.75" x14ac:dyDescent="0.25">
      <c r="A5" s="137" t="s">
        <v>734</v>
      </c>
      <c r="B5" s="138"/>
      <c r="C5" s="139"/>
      <c r="D5" s="140" t="s">
        <v>735</v>
      </c>
      <c r="E5" s="141"/>
      <c r="F5" s="142"/>
      <c r="G5" s="142"/>
      <c r="H5" s="138"/>
      <c r="I5" s="133"/>
    </row>
    <row r="6" spans="1:9" ht="15.75" x14ac:dyDescent="0.25">
      <c r="A6" s="93" t="str">
        <f>'RECAP #9535.00'!B6</f>
        <v>Project Manager - Jennifer K.</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736</v>
      </c>
      <c r="B9" s="318">
        <v>46153</v>
      </c>
      <c r="C9" s="324" t="s">
        <v>146</v>
      </c>
      <c r="D9" s="186">
        <v>28800</v>
      </c>
      <c r="E9" s="320">
        <f>D9</f>
        <v>28800</v>
      </c>
      <c r="F9" s="321"/>
      <c r="G9" s="321"/>
      <c r="H9" s="321">
        <f>E9</f>
        <v>28800</v>
      </c>
      <c r="I9" s="322"/>
    </row>
    <row r="10" spans="1:9" s="308" customFormat="1" ht="12.75" customHeight="1" x14ac:dyDescent="0.25">
      <c r="A10" s="317" t="s">
        <v>975</v>
      </c>
      <c r="B10" s="323">
        <v>46210</v>
      </c>
      <c r="C10" s="324" t="s">
        <v>976</v>
      </c>
      <c r="D10" s="320"/>
      <c r="E10" s="320">
        <f t="shared" ref="E10:E21" si="0">E9+D10</f>
        <v>28800</v>
      </c>
      <c r="F10" s="325">
        <v>16245</v>
      </c>
      <c r="G10" s="321">
        <f t="shared" ref="G10:G21" si="1">G9+F10</f>
        <v>16245</v>
      </c>
      <c r="H10" s="321">
        <f t="shared" ref="H10:H21" si="2">H9-F10+D10</f>
        <v>12555</v>
      </c>
      <c r="I10" s="322"/>
    </row>
    <row r="11" spans="1:9" s="308" customFormat="1" ht="12.75" customHeight="1" x14ac:dyDescent="0.25">
      <c r="A11" s="317"/>
      <c r="B11" s="318"/>
      <c r="C11" s="324"/>
      <c r="D11" s="320"/>
      <c r="E11" s="320">
        <f t="shared" si="0"/>
        <v>28800</v>
      </c>
      <c r="F11" s="326"/>
      <c r="G11" s="321">
        <f t="shared" si="1"/>
        <v>16245</v>
      </c>
      <c r="H11" s="321">
        <f t="shared" si="2"/>
        <v>12555</v>
      </c>
      <c r="I11" s="322"/>
    </row>
    <row r="12" spans="1:9" s="308" customFormat="1" ht="12.75" customHeight="1" x14ac:dyDescent="0.25">
      <c r="A12" s="317"/>
      <c r="B12" s="318"/>
      <c r="C12" s="324"/>
      <c r="D12" s="320"/>
      <c r="E12" s="320">
        <f t="shared" si="0"/>
        <v>28800</v>
      </c>
      <c r="F12" s="326"/>
      <c r="G12" s="321">
        <f t="shared" si="1"/>
        <v>16245</v>
      </c>
      <c r="H12" s="321">
        <f t="shared" si="2"/>
        <v>12555</v>
      </c>
      <c r="I12" s="322"/>
    </row>
    <row r="13" spans="1:9" s="308" customFormat="1" ht="12.75" customHeight="1" x14ac:dyDescent="0.25">
      <c r="A13" s="317"/>
      <c r="B13" s="318"/>
      <c r="C13" s="324"/>
      <c r="D13" s="320"/>
      <c r="E13" s="320">
        <f t="shared" si="0"/>
        <v>28800</v>
      </c>
      <c r="F13" s="326"/>
      <c r="G13" s="321">
        <f t="shared" si="1"/>
        <v>16245</v>
      </c>
      <c r="H13" s="321">
        <f t="shared" si="2"/>
        <v>12555</v>
      </c>
      <c r="I13" s="322"/>
    </row>
    <row r="14" spans="1:9" s="308" customFormat="1" ht="12.75" customHeight="1" x14ac:dyDescent="0.25">
      <c r="A14" s="317"/>
      <c r="B14" s="318"/>
      <c r="C14" s="324"/>
      <c r="D14" s="320"/>
      <c r="E14" s="320">
        <f t="shared" si="0"/>
        <v>28800</v>
      </c>
      <c r="F14" s="321"/>
      <c r="G14" s="321">
        <f t="shared" si="1"/>
        <v>16245</v>
      </c>
      <c r="H14" s="321">
        <f t="shared" si="2"/>
        <v>12555</v>
      </c>
      <c r="I14" s="322"/>
    </row>
    <row r="15" spans="1:9" s="308" customFormat="1" ht="12.75" customHeight="1" x14ac:dyDescent="0.25">
      <c r="A15" s="317"/>
      <c r="B15" s="318"/>
      <c r="C15" s="324"/>
      <c r="D15" s="320"/>
      <c r="E15" s="320">
        <f t="shared" si="0"/>
        <v>28800</v>
      </c>
      <c r="F15" s="326"/>
      <c r="G15" s="321">
        <f t="shared" si="1"/>
        <v>16245</v>
      </c>
      <c r="H15" s="321">
        <f t="shared" si="2"/>
        <v>12555</v>
      </c>
      <c r="I15" s="322"/>
    </row>
    <row r="16" spans="1:9" s="308" customFormat="1" ht="12.75" customHeight="1" x14ac:dyDescent="0.25">
      <c r="A16" s="317"/>
      <c r="B16" s="318"/>
      <c r="C16" s="324"/>
      <c r="D16" s="320"/>
      <c r="E16" s="320">
        <f t="shared" si="0"/>
        <v>28800</v>
      </c>
      <c r="F16" s="326"/>
      <c r="G16" s="321">
        <f t="shared" si="1"/>
        <v>16245</v>
      </c>
      <c r="H16" s="321">
        <f t="shared" si="2"/>
        <v>12555</v>
      </c>
      <c r="I16" s="322"/>
    </row>
    <row r="17" spans="1:9" s="308" customFormat="1" ht="12.75" customHeight="1" x14ac:dyDescent="0.25">
      <c r="A17" s="317"/>
      <c r="B17" s="318"/>
      <c r="C17" s="324"/>
      <c r="D17" s="320"/>
      <c r="E17" s="320">
        <f t="shared" si="0"/>
        <v>28800</v>
      </c>
      <c r="F17" s="326"/>
      <c r="G17" s="321">
        <f t="shared" si="1"/>
        <v>16245</v>
      </c>
      <c r="H17" s="321">
        <f t="shared" si="2"/>
        <v>12555</v>
      </c>
      <c r="I17" s="322"/>
    </row>
    <row r="18" spans="1:9" s="308" customFormat="1" ht="12.75" customHeight="1" x14ac:dyDescent="0.25">
      <c r="A18" s="317"/>
      <c r="B18" s="318"/>
      <c r="C18" s="324"/>
      <c r="D18" s="320"/>
      <c r="E18" s="320">
        <f t="shared" si="0"/>
        <v>28800</v>
      </c>
      <c r="F18" s="326"/>
      <c r="G18" s="321">
        <f t="shared" si="1"/>
        <v>16245</v>
      </c>
      <c r="H18" s="321">
        <f t="shared" si="2"/>
        <v>12555</v>
      </c>
      <c r="I18" s="322"/>
    </row>
    <row r="19" spans="1:9" s="308" customFormat="1" ht="12.75" customHeight="1" x14ac:dyDescent="0.25">
      <c r="A19" s="317"/>
      <c r="B19" s="318"/>
      <c r="C19" s="324"/>
      <c r="D19" s="320"/>
      <c r="E19" s="320">
        <f t="shared" si="0"/>
        <v>28800</v>
      </c>
      <c r="F19" s="321"/>
      <c r="G19" s="321">
        <f t="shared" si="1"/>
        <v>16245</v>
      </c>
      <c r="H19" s="321">
        <f t="shared" si="2"/>
        <v>12555</v>
      </c>
      <c r="I19" s="322"/>
    </row>
    <row r="20" spans="1:9" s="308" customFormat="1" ht="12.75" customHeight="1" x14ac:dyDescent="0.25">
      <c r="A20" s="317"/>
      <c r="B20" s="318"/>
      <c r="C20" s="324"/>
      <c r="D20" s="320"/>
      <c r="E20" s="320">
        <f t="shared" si="0"/>
        <v>28800</v>
      </c>
      <c r="F20" s="321"/>
      <c r="G20" s="321">
        <f t="shared" si="1"/>
        <v>16245</v>
      </c>
      <c r="H20" s="321">
        <f t="shared" si="2"/>
        <v>12555</v>
      </c>
      <c r="I20" s="322"/>
    </row>
    <row r="21" spans="1:9" s="308" customFormat="1" ht="12.75" customHeight="1" x14ac:dyDescent="0.25">
      <c r="A21" s="317"/>
      <c r="B21" s="318"/>
      <c r="C21" s="327"/>
      <c r="D21" s="320"/>
      <c r="E21" s="320">
        <f t="shared" si="0"/>
        <v>28800</v>
      </c>
      <c r="F21" s="321"/>
      <c r="G21" s="321">
        <f t="shared" si="1"/>
        <v>16245</v>
      </c>
      <c r="H21" s="321">
        <f t="shared" si="2"/>
        <v>12555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28800</v>
      </c>
      <c r="E23" s="184"/>
      <c r="F23" s="184">
        <f>SUM(F9:F22)</f>
        <v>16245</v>
      </c>
      <c r="G23" s="184"/>
      <c r="H23" s="184">
        <f>D23-F23</f>
        <v>12555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233</v>
      </c>
      <c r="D26" s="321">
        <v>17100</v>
      </c>
      <c r="E26" s="321"/>
      <c r="F26" s="321">
        <v>16245</v>
      </c>
      <c r="G26" s="321"/>
      <c r="H26" s="321">
        <f>D26-F26</f>
        <v>855</v>
      </c>
      <c r="I26" s="322"/>
    </row>
    <row r="27" spans="1:9" s="308" customFormat="1" ht="12.75" customHeight="1" x14ac:dyDescent="0.25">
      <c r="A27" s="317"/>
      <c r="B27" s="324"/>
      <c r="C27" s="328" t="s">
        <v>612</v>
      </c>
      <c r="D27" s="321">
        <v>1600</v>
      </c>
      <c r="E27" s="321"/>
      <c r="F27" s="321"/>
      <c r="G27" s="321"/>
      <c r="H27" s="321">
        <f t="shared" ref="H27:H28" si="3">D27-F27</f>
        <v>1600</v>
      </c>
      <c r="I27" s="322"/>
    </row>
    <row r="28" spans="1:9" s="308" customFormat="1" ht="12.75" customHeight="1" x14ac:dyDescent="0.25">
      <c r="A28" s="317"/>
      <c r="B28" s="324"/>
      <c r="C28" s="328" t="s">
        <v>619</v>
      </c>
      <c r="D28" s="321">
        <v>10100</v>
      </c>
      <c r="E28" s="185"/>
      <c r="F28" s="185"/>
      <c r="G28" s="185"/>
      <c r="H28" s="321">
        <f t="shared" si="3"/>
        <v>10100</v>
      </c>
      <c r="I28" s="322"/>
    </row>
    <row r="29" spans="1:9" s="308" customFormat="1" ht="12.75" customHeight="1" thickBot="1" x14ac:dyDescent="0.3">
      <c r="A29" s="317"/>
      <c r="B29" s="324"/>
      <c r="C29" s="359" t="s">
        <v>157</v>
      </c>
      <c r="D29" s="360">
        <f>SUM(D25:D28)</f>
        <v>28800</v>
      </c>
      <c r="E29" s="326"/>
      <c r="F29" s="360">
        <f>SUM(F25:F28)</f>
        <v>16245</v>
      </c>
      <c r="G29" s="326"/>
      <c r="H29" s="360">
        <f>SUM(H25:H28)</f>
        <v>12555</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sheetData>
  <conditionalFormatting sqref="I9:I25">
    <cfRule type="cellIs" dxfId="2" priority="1" operator="greaterThan">
      <formula>$H$23</formula>
    </cfRule>
  </conditionalFormatting>
  <pageMargins left="0.25" right="0.25" top="0.85" bottom="0.75" header="0.08" footer="0.3"/>
  <pageSetup scale="8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EF61-2A80-4950-9738-213E5120362E}">
  <sheetPr>
    <pageSetUpPr fitToPage="1"/>
  </sheetPr>
  <dimension ref="A1:I41"/>
  <sheetViews>
    <sheetView topLeftCell="A3"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5.57031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891</v>
      </c>
      <c r="B4" s="134"/>
      <c r="C4" s="135"/>
      <c r="D4" s="136" t="s">
        <v>893</v>
      </c>
      <c r="E4" s="132"/>
      <c r="F4" s="132"/>
      <c r="G4" s="132"/>
      <c r="H4" s="133"/>
      <c r="I4" s="133"/>
    </row>
    <row r="5" spans="1:9" ht="15.75" x14ac:dyDescent="0.25">
      <c r="A5" s="137" t="s">
        <v>147</v>
      </c>
      <c r="B5" s="138"/>
      <c r="C5" s="139"/>
      <c r="D5" s="140" t="s">
        <v>894</v>
      </c>
      <c r="E5" s="141"/>
      <c r="F5" s="142"/>
      <c r="G5" s="142"/>
      <c r="H5" s="138"/>
      <c r="I5" s="133"/>
    </row>
    <row r="6" spans="1:9" ht="15.75" x14ac:dyDescent="0.25">
      <c r="A6" s="93" t="str">
        <f>'RECAP #9279.50'!B6</f>
        <v>Project Manager - Jennifer K.</v>
      </c>
      <c r="B6" s="93"/>
      <c r="C6" s="143"/>
      <c r="D6" s="144" t="s">
        <v>877</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892</v>
      </c>
      <c r="B9" s="318">
        <v>46192</v>
      </c>
      <c r="C9" s="324" t="s">
        <v>146</v>
      </c>
      <c r="D9" s="186">
        <v>57562</v>
      </c>
      <c r="E9" s="320">
        <f>D9</f>
        <v>57562</v>
      </c>
      <c r="F9" s="321"/>
      <c r="G9" s="321"/>
      <c r="H9" s="321">
        <f>E9</f>
        <v>57562</v>
      </c>
      <c r="I9" s="322"/>
    </row>
    <row r="10" spans="1:9" s="308" customFormat="1" ht="12.75" customHeight="1" x14ac:dyDescent="0.25">
      <c r="A10" s="317"/>
      <c r="B10" s="323"/>
      <c r="C10" s="324"/>
      <c r="D10" s="320"/>
      <c r="E10" s="320">
        <f t="shared" ref="E10:E21" si="0">E9+D10</f>
        <v>57562</v>
      </c>
      <c r="F10" s="326"/>
      <c r="G10" s="321">
        <f t="shared" ref="G10:G21" si="1">G9+F10</f>
        <v>0</v>
      </c>
      <c r="H10" s="321">
        <f t="shared" ref="H10:H21" si="2">H9-F10+D10</f>
        <v>57562</v>
      </c>
      <c r="I10" s="322"/>
    </row>
    <row r="11" spans="1:9" s="308" customFormat="1" ht="12.75" customHeight="1" x14ac:dyDescent="0.25">
      <c r="A11" s="317"/>
      <c r="B11" s="318"/>
      <c r="C11" s="324"/>
      <c r="D11" s="320"/>
      <c r="E11" s="320">
        <f t="shared" si="0"/>
        <v>57562</v>
      </c>
      <c r="F11" s="326"/>
      <c r="G11" s="321">
        <f t="shared" si="1"/>
        <v>0</v>
      </c>
      <c r="H11" s="321">
        <f t="shared" si="2"/>
        <v>57562</v>
      </c>
      <c r="I11" s="322"/>
    </row>
    <row r="12" spans="1:9" s="308" customFormat="1" ht="12.75" customHeight="1" x14ac:dyDescent="0.25">
      <c r="A12" s="317"/>
      <c r="B12" s="318"/>
      <c r="C12" s="324"/>
      <c r="D12" s="320"/>
      <c r="E12" s="320">
        <f t="shared" si="0"/>
        <v>57562</v>
      </c>
      <c r="F12" s="326"/>
      <c r="G12" s="321">
        <f t="shared" si="1"/>
        <v>0</v>
      </c>
      <c r="H12" s="321">
        <f t="shared" si="2"/>
        <v>57562</v>
      </c>
      <c r="I12" s="322"/>
    </row>
    <row r="13" spans="1:9" s="308" customFormat="1" ht="12.75" customHeight="1" x14ac:dyDescent="0.25">
      <c r="A13" s="317"/>
      <c r="B13" s="318"/>
      <c r="C13" s="324"/>
      <c r="D13" s="320"/>
      <c r="E13" s="320">
        <f t="shared" si="0"/>
        <v>57562</v>
      </c>
      <c r="F13" s="326"/>
      <c r="G13" s="321">
        <f t="shared" si="1"/>
        <v>0</v>
      </c>
      <c r="H13" s="321">
        <f t="shared" si="2"/>
        <v>57562</v>
      </c>
      <c r="I13" s="322"/>
    </row>
    <row r="14" spans="1:9" s="308" customFormat="1" ht="12.75" customHeight="1" x14ac:dyDescent="0.25">
      <c r="A14" s="317"/>
      <c r="B14" s="318"/>
      <c r="C14" s="324"/>
      <c r="D14" s="320"/>
      <c r="E14" s="320">
        <f t="shared" si="0"/>
        <v>57562</v>
      </c>
      <c r="F14" s="321"/>
      <c r="G14" s="321">
        <f t="shared" si="1"/>
        <v>0</v>
      </c>
      <c r="H14" s="321">
        <f t="shared" si="2"/>
        <v>57562</v>
      </c>
      <c r="I14" s="322"/>
    </row>
    <row r="15" spans="1:9" s="308" customFormat="1" ht="12.75" customHeight="1" x14ac:dyDescent="0.25">
      <c r="A15" s="317"/>
      <c r="B15" s="318"/>
      <c r="C15" s="324"/>
      <c r="D15" s="320"/>
      <c r="E15" s="320">
        <f t="shared" si="0"/>
        <v>57562</v>
      </c>
      <c r="F15" s="326"/>
      <c r="G15" s="321">
        <f t="shared" si="1"/>
        <v>0</v>
      </c>
      <c r="H15" s="321">
        <f t="shared" si="2"/>
        <v>57562</v>
      </c>
      <c r="I15" s="322"/>
    </row>
    <row r="16" spans="1:9" s="308" customFormat="1" ht="12.75" customHeight="1" x14ac:dyDescent="0.25">
      <c r="A16" s="317"/>
      <c r="B16" s="318"/>
      <c r="C16" s="324"/>
      <c r="D16" s="320"/>
      <c r="E16" s="320">
        <f t="shared" si="0"/>
        <v>57562</v>
      </c>
      <c r="F16" s="326"/>
      <c r="G16" s="321">
        <f t="shared" si="1"/>
        <v>0</v>
      </c>
      <c r="H16" s="321">
        <f t="shared" si="2"/>
        <v>57562</v>
      </c>
      <c r="I16" s="322"/>
    </row>
    <row r="17" spans="1:9" s="308" customFormat="1" ht="12.75" customHeight="1" x14ac:dyDescent="0.25">
      <c r="A17" s="317"/>
      <c r="B17" s="318"/>
      <c r="C17" s="324"/>
      <c r="D17" s="320"/>
      <c r="E17" s="320">
        <f t="shared" si="0"/>
        <v>57562</v>
      </c>
      <c r="F17" s="326"/>
      <c r="G17" s="321">
        <f t="shared" si="1"/>
        <v>0</v>
      </c>
      <c r="H17" s="321">
        <f t="shared" si="2"/>
        <v>57562</v>
      </c>
      <c r="I17" s="322"/>
    </row>
    <row r="18" spans="1:9" s="308" customFormat="1" ht="12.75" customHeight="1" x14ac:dyDescent="0.25">
      <c r="A18" s="317"/>
      <c r="B18" s="318"/>
      <c r="C18" s="324"/>
      <c r="D18" s="320"/>
      <c r="E18" s="320">
        <f t="shared" si="0"/>
        <v>57562</v>
      </c>
      <c r="F18" s="326"/>
      <c r="G18" s="321">
        <f t="shared" si="1"/>
        <v>0</v>
      </c>
      <c r="H18" s="321">
        <f t="shared" si="2"/>
        <v>57562</v>
      </c>
      <c r="I18" s="322"/>
    </row>
    <row r="19" spans="1:9" s="308" customFormat="1" ht="12.75" customHeight="1" x14ac:dyDescent="0.25">
      <c r="A19" s="317"/>
      <c r="B19" s="318"/>
      <c r="C19" s="324"/>
      <c r="D19" s="320"/>
      <c r="E19" s="320">
        <f t="shared" si="0"/>
        <v>57562</v>
      </c>
      <c r="F19" s="321"/>
      <c r="G19" s="321">
        <f t="shared" si="1"/>
        <v>0</v>
      </c>
      <c r="H19" s="321">
        <f t="shared" si="2"/>
        <v>57562</v>
      </c>
      <c r="I19" s="322"/>
    </row>
    <row r="20" spans="1:9" s="308" customFormat="1" ht="12.75" customHeight="1" x14ac:dyDescent="0.25">
      <c r="A20" s="317"/>
      <c r="B20" s="318"/>
      <c r="C20" s="324"/>
      <c r="D20" s="320"/>
      <c r="E20" s="320">
        <f t="shared" si="0"/>
        <v>57562</v>
      </c>
      <c r="F20" s="321"/>
      <c r="G20" s="321">
        <f t="shared" si="1"/>
        <v>0</v>
      </c>
      <c r="H20" s="321">
        <f t="shared" si="2"/>
        <v>57562</v>
      </c>
      <c r="I20" s="322"/>
    </row>
    <row r="21" spans="1:9" s="308" customFormat="1" ht="12.75" customHeight="1" x14ac:dyDescent="0.25">
      <c r="A21" s="317"/>
      <c r="B21" s="318"/>
      <c r="C21" s="327"/>
      <c r="D21" s="320"/>
      <c r="E21" s="320">
        <f t="shared" si="0"/>
        <v>57562</v>
      </c>
      <c r="F21" s="321"/>
      <c r="G21" s="321">
        <f t="shared" si="1"/>
        <v>0</v>
      </c>
      <c r="H21" s="321">
        <f t="shared" si="2"/>
        <v>57562</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57562</v>
      </c>
      <c r="E23" s="184"/>
      <c r="F23" s="184">
        <f>SUM(F9:F22)</f>
        <v>0</v>
      </c>
      <c r="G23" s="184"/>
      <c r="H23" s="184">
        <f>D23-F23</f>
        <v>57562</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c r="C26" s="328"/>
      <c r="D26" s="321"/>
      <c r="E26" s="321"/>
      <c r="F26" s="321"/>
      <c r="G26" s="321"/>
      <c r="H26" s="321"/>
    </row>
    <row r="27" spans="1:9" s="308" customFormat="1" ht="12.75" customHeight="1" x14ac:dyDescent="0.25">
      <c r="C27" s="328"/>
      <c r="D27" s="321"/>
      <c r="E27" s="321"/>
      <c r="F27" s="321"/>
      <c r="G27" s="321"/>
      <c r="H27" s="321"/>
    </row>
    <row r="28" spans="1:9" s="308" customFormat="1" ht="12.75" customHeight="1" x14ac:dyDescent="0.25">
      <c r="C28" s="328"/>
      <c r="D28" s="321"/>
      <c r="E28" s="321"/>
      <c r="F28" s="321"/>
      <c r="G28" s="321"/>
      <c r="H28" s="321"/>
    </row>
    <row r="29" spans="1:9" s="308" customFormat="1" ht="12.75" customHeight="1" x14ac:dyDescent="0.25">
      <c r="C29" s="359"/>
      <c r="D29" s="411"/>
      <c r="E29" s="326"/>
      <c r="F29" s="411"/>
      <c r="G29" s="326"/>
      <c r="H29" s="411"/>
    </row>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sheetData>
  <conditionalFormatting sqref="I9:I24">
    <cfRule type="cellIs" dxfId="35" priority="2"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93B77-1A04-4AE9-912D-C59CC36B9B14}">
  <sheetPr codeName="Sheet117">
    <pageSetUpPr fitToPage="1"/>
  </sheetPr>
  <dimension ref="A1:G50"/>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541</v>
      </c>
      <c r="C1" s="86"/>
      <c r="D1" s="6"/>
      <c r="E1" s="6"/>
      <c r="F1" s="6"/>
      <c r="G1" s="6"/>
    </row>
    <row r="2" spans="1:7" ht="15.75" x14ac:dyDescent="0.25">
      <c r="A2" s="84"/>
      <c r="B2" s="88" t="s">
        <v>542</v>
      </c>
      <c r="C2" s="87"/>
      <c r="D2" s="6"/>
      <c r="E2" s="6"/>
      <c r="F2" s="6"/>
      <c r="G2" s="6"/>
    </row>
    <row r="3" spans="1:7" ht="15.75" x14ac:dyDescent="0.25">
      <c r="A3" s="84"/>
      <c r="B3" s="89" t="s">
        <v>543</v>
      </c>
      <c r="C3" s="87"/>
      <c r="D3" s="6"/>
      <c r="E3" s="90" t="s">
        <v>294</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176</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'#9540.00 Funds Rec''d'!H24</f>
        <v>150000</v>
      </c>
      <c r="D8" s="102"/>
      <c r="E8" s="102"/>
      <c r="F8" s="102"/>
      <c r="G8" s="103"/>
    </row>
    <row r="9" spans="1:7" x14ac:dyDescent="0.25">
      <c r="A9" s="84"/>
      <c r="B9" s="87"/>
      <c r="C9" s="104"/>
      <c r="D9" s="105"/>
      <c r="E9" s="105"/>
      <c r="F9" s="105"/>
      <c r="G9" s="103"/>
    </row>
    <row r="10" spans="1:7" x14ac:dyDescent="0.25">
      <c r="A10" s="84"/>
      <c r="B10" s="87" t="s">
        <v>897</v>
      </c>
      <c r="C10" s="104"/>
      <c r="D10" s="102">
        <f>'#9540.00 Clark &amp; Enersen'!D23</f>
        <v>89500</v>
      </c>
      <c r="E10" s="102">
        <f>'#9540.00 Clark &amp; Enersen'!F23</f>
        <v>30609</v>
      </c>
      <c r="F10" s="102">
        <f>'#9540.00 Clark &amp; Enersen'!H23</f>
        <v>58891</v>
      </c>
      <c r="G10" s="103"/>
    </row>
    <row r="11" spans="1:7" x14ac:dyDescent="0.25">
      <c r="A11" s="84"/>
      <c r="B11" s="87" t="s">
        <v>41</v>
      </c>
      <c r="C11" s="104"/>
      <c r="D11" s="102">
        <f>'#9540.00 PM TIME'!E23</f>
        <v>12000</v>
      </c>
      <c r="E11" s="102">
        <f>'#9540.00 PM TIME'!G23</f>
        <v>9552.68</v>
      </c>
      <c r="F11" s="102">
        <f>'#9540.00 PM TIME'!I23</f>
        <v>2447.3199999999997</v>
      </c>
      <c r="G11" s="103"/>
    </row>
    <row r="12" spans="1:7" x14ac:dyDescent="0.25">
      <c r="A12" s="84"/>
      <c r="B12" s="87" t="s">
        <v>42</v>
      </c>
      <c r="C12" s="105"/>
      <c r="D12" s="106">
        <f>'#9540.00 Misc'!G22</f>
        <v>0</v>
      </c>
      <c r="E12" s="106">
        <f>'#9540.00 Misc'!G22</f>
        <v>0</v>
      </c>
      <c r="F12" s="102">
        <f>D12-E12</f>
        <v>0</v>
      </c>
      <c r="G12" s="103"/>
    </row>
    <row r="13" spans="1:7" ht="13.35" customHeight="1" x14ac:dyDescent="0.25">
      <c r="A13" s="84"/>
      <c r="B13" s="87"/>
      <c r="C13" s="105"/>
      <c r="D13" s="106"/>
      <c r="E13" s="106"/>
      <c r="F13" s="102"/>
      <c r="G13" s="103"/>
    </row>
    <row r="14" spans="1:7" ht="24" customHeight="1" thickBot="1" x14ac:dyDescent="0.3">
      <c r="A14" s="107"/>
      <c r="B14" s="108" t="s">
        <v>43</v>
      </c>
      <c r="C14" s="109">
        <f>SUM(C8:C13)</f>
        <v>150000</v>
      </c>
      <c r="D14" s="109">
        <f>SUM(D8:D13)</f>
        <v>101500</v>
      </c>
      <c r="E14" s="109">
        <f>SUM(E8:E13)</f>
        <v>40161.68</v>
      </c>
      <c r="F14" s="109">
        <f>SUM(D14-E14)</f>
        <v>61338.32</v>
      </c>
      <c r="G14" s="109">
        <f>C8-D14</f>
        <v>48500</v>
      </c>
    </row>
    <row r="15" spans="1:7" ht="15" customHeight="1" thickTop="1" x14ac:dyDescent="0.25"/>
    <row r="48" ht="12" customHeight="1" x14ac:dyDescent="0.25"/>
    <row r="49" ht="15" hidden="1" customHeight="1" x14ac:dyDescent="0.25"/>
    <row r="50"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59AEC-5ADF-4ABA-89BE-77F6A24D4C09}">
  <sheetPr codeName="Sheet118">
    <pageSetUpPr fitToPage="1"/>
  </sheetPr>
  <dimension ref="A1:H25"/>
  <sheetViews>
    <sheetView topLeftCell="A5"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#9540.00'!B1</f>
        <v>HHS CHMHI CCUSO Strategic Space Plan Study</v>
      </c>
      <c r="B1" s="7"/>
      <c r="C1" s="2"/>
      <c r="D1" s="3"/>
      <c r="E1" s="3"/>
      <c r="F1" s="7"/>
      <c r="G1" s="7"/>
      <c r="H1" s="7"/>
    </row>
    <row r="2" spans="1:8" x14ac:dyDescent="0.25">
      <c r="A2" s="112" t="str">
        <f>'RECAP #9540.00'!B2</f>
        <v>Project # 9540.00</v>
      </c>
      <c r="B2" s="7"/>
      <c r="C2" s="113" t="s">
        <v>3</v>
      </c>
      <c r="D2" s="1"/>
      <c r="E2" s="1"/>
      <c r="F2" s="7"/>
      <c r="G2" s="7"/>
      <c r="H2" s="7"/>
    </row>
    <row r="3" spans="1:8" x14ac:dyDescent="0.25">
      <c r="A3" s="114" t="str">
        <f>'RECAP #9540.00'!B3</f>
        <v>Program code 954000</v>
      </c>
      <c r="B3" s="7"/>
      <c r="C3" s="113" t="s">
        <v>3</v>
      </c>
      <c r="D3" s="115" t="str">
        <f>'RECAP #9540.00'!E3</f>
        <v>Major Program 4B02</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#9540.00'!B6</f>
        <v>Project Manager - Jennie E.</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597</v>
      </c>
      <c r="F9" s="127">
        <v>46107</v>
      </c>
      <c r="G9" s="405">
        <v>150000</v>
      </c>
      <c r="H9" s="405">
        <v>150000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150000</v>
      </c>
      <c r="H24" s="131">
        <f>SUM(H9:H22)</f>
        <v>150000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C7C97-B1AD-42CF-8689-75C02CEFFFB3}">
  <sheetPr codeName="Sheet119">
    <pageSetUpPr fitToPage="1"/>
  </sheetPr>
  <dimension ref="A1:I142"/>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#9540.00'!B1</f>
        <v>HHS CHMHI CCUSO Strategic Space Plan Study</v>
      </c>
      <c r="B1" s="86"/>
      <c r="C1" s="6"/>
      <c r="D1" s="6"/>
      <c r="E1" s="6"/>
      <c r="F1" s="132"/>
      <c r="G1" s="132"/>
      <c r="H1" s="133"/>
      <c r="I1" s="133"/>
    </row>
    <row r="2" spans="1:9" ht="15.75" x14ac:dyDescent="0.25">
      <c r="A2" s="88" t="str">
        <f>'RECAP #9540.00'!B2</f>
        <v>Project # 9540.00</v>
      </c>
      <c r="B2" s="87"/>
      <c r="C2" s="6"/>
      <c r="D2" s="6"/>
      <c r="E2" s="6"/>
      <c r="F2" s="132"/>
      <c r="G2" s="132"/>
      <c r="H2" s="133"/>
      <c r="I2" s="133"/>
    </row>
    <row r="3" spans="1:9" ht="15.75" x14ac:dyDescent="0.25">
      <c r="A3" s="89" t="str">
        <f>'RECAP #9540.00'!B3</f>
        <v>Program code 954000</v>
      </c>
      <c r="B3" s="87"/>
      <c r="C3" s="6"/>
      <c r="D3" s="90" t="str">
        <f>'RECAP #9540.00'!E3</f>
        <v>Major Program 4B02</v>
      </c>
      <c r="E3" s="6"/>
      <c r="F3" s="132"/>
      <c r="G3" s="132"/>
      <c r="H3" s="133"/>
      <c r="I3" s="133"/>
    </row>
    <row r="4" spans="1:9" ht="15.75" x14ac:dyDescent="0.25">
      <c r="A4" s="116" t="s">
        <v>898</v>
      </c>
      <c r="B4" s="134"/>
      <c r="C4" s="135"/>
      <c r="D4" s="136" t="s">
        <v>899</v>
      </c>
      <c r="E4" s="132"/>
      <c r="F4" s="132"/>
      <c r="G4" s="132"/>
      <c r="H4" s="133"/>
      <c r="I4" s="133"/>
    </row>
    <row r="5" spans="1:9" ht="15.75" x14ac:dyDescent="0.25">
      <c r="A5" s="137" t="s">
        <v>182</v>
      </c>
      <c r="B5" s="138"/>
      <c r="C5" s="139"/>
      <c r="D5" s="140" t="s">
        <v>900</v>
      </c>
      <c r="E5" s="141"/>
      <c r="F5" s="142"/>
      <c r="G5" s="142"/>
      <c r="H5" s="138"/>
      <c r="I5" s="133"/>
    </row>
    <row r="6" spans="1:9" ht="15.75" x14ac:dyDescent="0.25">
      <c r="A6" s="93" t="str">
        <f>'RECAP #9540.00'!B6</f>
        <v>Project Manager - Jennie E.</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1029</v>
      </c>
      <c r="B9" s="318">
        <v>46195</v>
      </c>
      <c r="C9" s="324" t="s">
        <v>146</v>
      </c>
      <c r="D9" s="186">
        <v>89500</v>
      </c>
      <c r="E9" s="320">
        <f>D9</f>
        <v>89500</v>
      </c>
      <c r="F9" s="321"/>
      <c r="G9" s="321"/>
      <c r="H9" s="321">
        <f>E9</f>
        <v>89500</v>
      </c>
      <c r="I9" s="322"/>
    </row>
    <row r="10" spans="1:9" s="308" customFormat="1" ht="12.75" customHeight="1" x14ac:dyDescent="0.25">
      <c r="A10" s="317" t="s">
        <v>1030</v>
      </c>
      <c r="B10" s="323">
        <v>46218</v>
      </c>
      <c r="C10" s="324" t="s">
        <v>1031</v>
      </c>
      <c r="D10" s="320"/>
      <c r="E10" s="320">
        <f t="shared" ref="E10:E21" si="0">E9+D10</f>
        <v>89500</v>
      </c>
      <c r="F10" s="325">
        <v>30609</v>
      </c>
      <c r="G10" s="321">
        <f t="shared" ref="G10:G21" si="1">G9+F10</f>
        <v>30609</v>
      </c>
      <c r="H10" s="321">
        <f t="shared" ref="H10:H21" si="2">H9-F10+D10</f>
        <v>58891</v>
      </c>
      <c r="I10" s="322"/>
    </row>
    <row r="11" spans="1:9" s="308" customFormat="1" ht="12.75" customHeight="1" x14ac:dyDescent="0.25">
      <c r="A11" s="317"/>
      <c r="B11" s="318"/>
      <c r="C11" s="324"/>
      <c r="D11" s="320"/>
      <c r="E11" s="320">
        <f t="shared" si="0"/>
        <v>89500</v>
      </c>
      <c r="F11" s="326"/>
      <c r="G11" s="321">
        <f t="shared" si="1"/>
        <v>30609</v>
      </c>
      <c r="H11" s="321">
        <f t="shared" si="2"/>
        <v>58891</v>
      </c>
      <c r="I11" s="322"/>
    </row>
    <row r="12" spans="1:9" s="308" customFormat="1" ht="12.75" customHeight="1" x14ac:dyDescent="0.25">
      <c r="A12" s="317"/>
      <c r="B12" s="318"/>
      <c r="C12" s="324"/>
      <c r="D12" s="320"/>
      <c r="E12" s="320">
        <f t="shared" si="0"/>
        <v>89500</v>
      </c>
      <c r="F12" s="326"/>
      <c r="G12" s="321">
        <f t="shared" si="1"/>
        <v>30609</v>
      </c>
      <c r="H12" s="321">
        <f t="shared" si="2"/>
        <v>58891</v>
      </c>
      <c r="I12" s="322"/>
    </row>
    <row r="13" spans="1:9" s="308" customFormat="1" ht="12.75" customHeight="1" x14ac:dyDescent="0.25">
      <c r="A13" s="317"/>
      <c r="B13" s="318"/>
      <c r="C13" s="324"/>
      <c r="D13" s="320"/>
      <c r="E13" s="320">
        <f t="shared" si="0"/>
        <v>89500</v>
      </c>
      <c r="F13" s="326"/>
      <c r="G13" s="321">
        <f t="shared" si="1"/>
        <v>30609</v>
      </c>
      <c r="H13" s="321">
        <f t="shared" si="2"/>
        <v>58891</v>
      </c>
      <c r="I13" s="322"/>
    </row>
    <row r="14" spans="1:9" s="308" customFormat="1" ht="12.75" customHeight="1" x14ac:dyDescent="0.25">
      <c r="A14" s="317"/>
      <c r="B14" s="318"/>
      <c r="C14" s="324"/>
      <c r="D14" s="320"/>
      <c r="E14" s="320">
        <f t="shared" si="0"/>
        <v>89500</v>
      </c>
      <c r="F14" s="321"/>
      <c r="G14" s="321">
        <f t="shared" si="1"/>
        <v>30609</v>
      </c>
      <c r="H14" s="321">
        <f t="shared" si="2"/>
        <v>58891</v>
      </c>
      <c r="I14" s="322"/>
    </row>
    <row r="15" spans="1:9" s="308" customFormat="1" ht="12.75" customHeight="1" x14ac:dyDescent="0.25">
      <c r="A15" s="317"/>
      <c r="B15" s="318"/>
      <c r="C15" s="324"/>
      <c r="D15" s="320"/>
      <c r="E15" s="320">
        <f t="shared" si="0"/>
        <v>89500</v>
      </c>
      <c r="F15" s="326"/>
      <c r="G15" s="321">
        <f t="shared" si="1"/>
        <v>30609</v>
      </c>
      <c r="H15" s="321">
        <f t="shared" si="2"/>
        <v>58891</v>
      </c>
      <c r="I15" s="322"/>
    </row>
    <row r="16" spans="1:9" s="308" customFormat="1" ht="12.75" customHeight="1" x14ac:dyDescent="0.25">
      <c r="A16" s="317"/>
      <c r="B16" s="318"/>
      <c r="C16" s="324"/>
      <c r="D16" s="320"/>
      <c r="E16" s="320">
        <f t="shared" si="0"/>
        <v>89500</v>
      </c>
      <c r="F16" s="326"/>
      <c r="G16" s="321">
        <f t="shared" si="1"/>
        <v>30609</v>
      </c>
      <c r="H16" s="321">
        <f t="shared" si="2"/>
        <v>58891</v>
      </c>
      <c r="I16" s="322"/>
    </row>
    <row r="17" spans="1:9" s="308" customFormat="1" ht="12.75" customHeight="1" x14ac:dyDescent="0.25">
      <c r="A17" s="317"/>
      <c r="B17" s="318"/>
      <c r="C17" s="324"/>
      <c r="D17" s="320"/>
      <c r="E17" s="320">
        <f t="shared" si="0"/>
        <v>89500</v>
      </c>
      <c r="F17" s="326"/>
      <c r="G17" s="321">
        <f t="shared" si="1"/>
        <v>30609</v>
      </c>
      <c r="H17" s="321">
        <f t="shared" si="2"/>
        <v>58891</v>
      </c>
      <c r="I17" s="322"/>
    </row>
    <row r="18" spans="1:9" s="308" customFormat="1" ht="12.75" customHeight="1" x14ac:dyDescent="0.25">
      <c r="A18" s="317"/>
      <c r="B18" s="318"/>
      <c r="C18" s="324"/>
      <c r="D18" s="320"/>
      <c r="E18" s="320">
        <f t="shared" si="0"/>
        <v>89500</v>
      </c>
      <c r="F18" s="326"/>
      <c r="G18" s="321">
        <f t="shared" si="1"/>
        <v>30609</v>
      </c>
      <c r="H18" s="321">
        <f t="shared" si="2"/>
        <v>58891</v>
      </c>
      <c r="I18" s="322"/>
    </row>
    <row r="19" spans="1:9" s="308" customFormat="1" ht="12.75" customHeight="1" x14ac:dyDescent="0.25">
      <c r="A19" s="317"/>
      <c r="B19" s="318"/>
      <c r="C19" s="324"/>
      <c r="D19" s="320"/>
      <c r="E19" s="320">
        <f t="shared" si="0"/>
        <v>89500</v>
      </c>
      <c r="F19" s="321"/>
      <c r="G19" s="321">
        <f t="shared" si="1"/>
        <v>30609</v>
      </c>
      <c r="H19" s="321">
        <f t="shared" si="2"/>
        <v>58891</v>
      </c>
      <c r="I19" s="322"/>
    </row>
    <row r="20" spans="1:9" s="308" customFormat="1" ht="12.75" customHeight="1" x14ac:dyDescent="0.25">
      <c r="A20" s="317"/>
      <c r="B20" s="318"/>
      <c r="C20" s="324"/>
      <c r="D20" s="320"/>
      <c r="E20" s="320">
        <f t="shared" si="0"/>
        <v>89500</v>
      </c>
      <c r="F20" s="321"/>
      <c r="G20" s="321">
        <f t="shared" si="1"/>
        <v>30609</v>
      </c>
      <c r="H20" s="321">
        <f t="shared" si="2"/>
        <v>58891</v>
      </c>
      <c r="I20" s="322"/>
    </row>
    <row r="21" spans="1:9" s="308" customFormat="1" ht="12.75" customHeight="1" x14ac:dyDescent="0.25">
      <c r="A21" s="317"/>
      <c r="B21" s="318"/>
      <c r="C21" s="327"/>
      <c r="D21" s="320"/>
      <c r="E21" s="320">
        <f t="shared" si="0"/>
        <v>89500</v>
      </c>
      <c r="F21" s="321"/>
      <c r="G21" s="321">
        <f t="shared" si="1"/>
        <v>30609</v>
      </c>
      <c r="H21" s="321">
        <f t="shared" si="2"/>
        <v>58891</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89500</v>
      </c>
      <c r="E23" s="184"/>
      <c r="F23" s="184">
        <f>SUM(F9:F22)</f>
        <v>30609</v>
      </c>
      <c r="G23" s="184"/>
      <c r="H23" s="184">
        <f>D23-F23</f>
        <v>58891</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901</v>
      </c>
      <c r="D26" s="321">
        <v>51015</v>
      </c>
      <c r="E26" s="321"/>
      <c r="F26" s="321">
        <f>30609</f>
        <v>30609</v>
      </c>
      <c r="G26" s="321"/>
      <c r="H26" s="321">
        <f>D26-F26</f>
        <v>20406</v>
      </c>
      <c r="I26" s="322"/>
    </row>
    <row r="27" spans="1:9" s="308" customFormat="1" ht="12.75" customHeight="1" x14ac:dyDescent="0.25">
      <c r="A27" s="317"/>
      <c r="B27" s="324"/>
      <c r="C27" s="328" t="s">
        <v>902</v>
      </c>
      <c r="D27" s="321">
        <v>19690</v>
      </c>
      <c r="E27" s="321"/>
      <c r="F27" s="321"/>
      <c r="G27" s="321"/>
      <c r="H27" s="321">
        <f t="shared" ref="H27:H29" si="3">D27-F27</f>
        <v>19690</v>
      </c>
      <c r="I27" s="322"/>
    </row>
    <row r="28" spans="1:9" s="308" customFormat="1" ht="12.75" customHeight="1" x14ac:dyDescent="0.25">
      <c r="A28" s="317"/>
      <c r="B28" s="324"/>
      <c r="C28" s="328" t="s">
        <v>903</v>
      </c>
      <c r="D28" s="321">
        <v>9845</v>
      </c>
      <c r="E28" s="321"/>
      <c r="F28" s="321"/>
      <c r="G28" s="321"/>
      <c r="H28" s="321">
        <f t="shared" si="3"/>
        <v>9845</v>
      </c>
      <c r="I28" s="322"/>
    </row>
    <row r="29" spans="1:9" s="308" customFormat="1" ht="12.75" customHeight="1" x14ac:dyDescent="0.25">
      <c r="A29" s="317"/>
      <c r="B29" s="324"/>
      <c r="C29" s="328" t="s">
        <v>904</v>
      </c>
      <c r="D29" s="321">
        <v>8950</v>
      </c>
      <c r="E29" s="185"/>
      <c r="F29" s="185"/>
      <c r="G29" s="185"/>
      <c r="H29" s="321">
        <f t="shared" si="3"/>
        <v>8950</v>
      </c>
      <c r="I29" s="322"/>
    </row>
    <row r="30" spans="1:9" s="308" customFormat="1" ht="12.75" customHeight="1" thickBot="1" x14ac:dyDescent="0.3">
      <c r="A30" s="317"/>
      <c r="B30" s="324"/>
      <c r="C30" s="359" t="s">
        <v>157</v>
      </c>
      <c r="D30" s="360">
        <f>SUM(D25:D29)</f>
        <v>89500</v>
      </c>
      <c r="E30" s="326"/>
      <c r="F30" s="360">
        <f>SUM(F25:F29)</f>
        <v>30609</v>
      </c>
      <c r="G30" s="326"/>
      <c r="H30" s="360">
        <f>SUM(H25:H29)</f>
        <v>58891</v>
      </c>
      <c r="I30" s="322"/>
    </row>
    <row r="31" spans="1:9" s="308" customFormat="1" ht="12.75" customHeight="1" thickTop="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sheetData>
  <conditionalFormatting sqref="I9:I27">
    <cfRule type="cellIs" dxfId="1"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092C1-4570-4034-AA2C-2DFD6F078F37}">
  <sheetPr codeName="Sheet120">
    <pageSetUpPr fitToPage="1"/>
  </sheetPr>
  <dimension ref="A1:J182"/>
  <sheetViews>
    <sheetView topLeftCell="A4" zoomScaleNormal="100" workbookViewId="0">
      <selection activeCell="G16" sqref="G16:G18"/>
    </sheetView>
  </sheetViews>
  <sheetFormatPr defaultColWidth="11.42578125" defaultRowHeight="15" customHeight="1" x14ac:dyDescent="0.25"/>
  <cols>
    <col min="1" max="1" width="24.5703125" customWidth="1"/>
    <col min="2" max="3" width="9.42578125" customWidth="1"/>
    <col min="4" max="4" width="42.28515625" customWidth="1"/>
    <col min="5" max="5" width="13.855468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#9540.00'!B1</f>
        <v>HHS CHMHI CCUSO Strategic Space Plan Study</v>
      </c>
      <c r="B1" s="86"/>
      <c r="C1" s="86"/>
      <c r="D1" s="6"/>
      <c r="E1" s="6"/>
      <c r="F1" s="6"/>
      <c r="G1" s="132"/>
      <c r="H1" s="132"/>
      <c r="I1" s="133"/>
      <c r="J1" s="133"/>
    </row>
    <row r="2" spans="1:10" ht="15.75" x14ac:dyDescent="0.25">
      <c r="A2" s="88" t="str">
        <f>'RECAP #9540.00'!B2</f>
        <v>Project # 9540.00</v>
      </c>
      <c r="B2" s="87"/>
      <c r="C2" s="87"/>
      <c r="D2" s="6"/>
      <c r="E2" s="6"/>
      <c r="F2" s="6"/>
      <c r="G2" s="132"/>
      <c r="H2" s="132"/>
      <c r="I2" s="133"/>
      <c r="J2" s="133"/>
    </row>
    <row r="3" spans="1:10" ht="15.75" x14ac:dyDescent="0.25">
      <c r="A3" s="89" t="str">
        <f>'RECAP #9540.00'!B3</f>
        <v>Program code 954000</v>
      </c>
      <c r="B3" s="87"/>
      <c r="C3" s="87"/>
      <c r="D3" s="6"/>
      <c r="E3" s="90" t="str">
        <f>'RECAP #9540.00'!E3</f>
        <v>Major Program 4B02</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#9540.00'!B6</f>
        <v>Project Manager - Jennie E.</v>
      </c>
      <c r="B6" s="93"/>
      <c r="C6" s="93"/>
      <c r="D6" s="143"/>
      <c r="E6" s="140" t="s">
        <v>549</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12000</v>
      </c>
      <c r="F9" s="320">
        <f>E9</f>
        <v>12000</v>
      </c>
      <c r="G9" s="321"/>
      <c r="H9" s="321"/>
      <c r="I9" s="321">
        <f>F9</f>
        <v>12000</v>
      </c>
      <c r="J9" s="322"/>
    </row>
    <row r="10" spans="1:10" s="308" customFormat="1" ht="12.75" customHeight="1" x14ac:dyDescent="0.2">
      <c r="A10" s="171" t="s">
        <v>626</v>
      </c>
      <c r="B10" s="153">
        <v>46118</v>
      </c>
      <c r="C10" s="155" t="s">
        <v>274</v>
      </c>
      <c r="D10" s="181" t="s">
        <v>627</v>
      </c>
      <c r="E10" s="320"/>
      <c r="F10" s="320">
        <f>E10+F9</f>
        <v>12000</v>
      </c>
      <c r="G10" s="325">
        <v>124.6</v>
      </c>
      <c r="H10" s="321">
        <f t="shared" ref="H10:H21" si="0">H9+G10</f>
        <v>124.6</v>
      </c>
      <c r="I10" s="321">
        <f>I9-G10+E10</f>
        <v>11875.4</v>
      </c>
      <c r="J10" s="322"/>
    </row>
    <row r="11" spans="1:10" s="308" customFormat="1" ht="12.75" customHeight="1" x14ac:dyDescent="0.2">
      <c r="A11" s="171" t="s">
        <v>626</v>
      </c>
      <c r="B11" s="153">
        <v>46118</v>
      </c>
      <c r="C11" s="401">
        <v>9500</v>
      </c>
      <c r="D11" s="126" t="s">
        <v>628</v>
      </c>
      <c r="E11" s="320"/>
      <c r="F11" s="320">
        <f t="shared" ref="F11:F21" si="1">E11+F10</f>
        <v>12000</v>
      </c>
      <c r="G11" s="325">
        <v>1010.2</v>
      </c>
      <c r="H11" s="321">
        <f t="shared" si="0"/>
        <v>1134.8</v>
      </c>
      <c r="I11" s="321">
        <f t="shared" ref="I11:I21" si="2">I10-G11+E11</f>
        <v>10865.199999999999</v>
      </c>
      <c r="J11" s="322"/>
    </row>
    <row r="12" spans="1:10" s="308" customFormat="1" ht="12.75" customHeight="1" x14ac:dyDescent="0.2">
      <c r="A12" s="171" t="s">
        <v>752</v>
      </c>
      <c r="B12" s="153">
        <v>46149</v>
      </c>
      <c r="C12" s="155" t="s">
        <v>274</v>
      </c>
      <c r="D12" s="181" t="s">
        <v>753</v>
      </c>
      <c r="E12" s="320"/>
      <c r="F12" s="320">
        <f t="shared" si="1"/>
        <v>12000</v>
      </c>
      <c r="G12" s="325">
        <v>217.9</v>
      </c>
      <c r="H12" s="321">
        <f t="shared" si="0"/>
        <v>1352.7</v>
      </c>
      <c r="I12" s="321">
        <f t="shared" si="2"/>
        <v>10647.3</v>
      </c>
      <c r="J12" s="322"/>
    </row>
    <row r="13" spans="1:10" s="308" customFormat="1" ht="12.75" customHeight="1" x14ac:dyDescent="0.2">
      <c r="A13" s="171" t="s">
        <v>752</v>
      </c>
      <c r="B13" s="153">
        <v>46149</v>
      </c>
      <c r="C13" s="401">
        <v>9500</v>
      </c>
      <c r="D13" s="126" t="s">
        <v>754</v>
      </c>
      <c r="E13" s="320"/>
      <c r="F13" s="320">
        <f t="shared" si="1"/>
        <v>12000</v>
      </c>
      <c r="G13" s="325">
        <v>2386.8000000000002</v>
      </c>
      <c r="H13" s="321">
        <f t="shared" si="0"/>
        <v>3739.5</v>
      </c>
      <c r="I13" s="321">
        <f t="shared" si="2"/>
        <v>8260.5</v>
      </c>
      <c r="J13" s="322"/>
    </row>
    <row r="14" spans="1:10" s="308" customFormat="1" ht="12.75" customHeight="1" x14ac:dyDescent="0.2">
      <c r="A14" s="171" t="s">
        <v>844</v>
      </c>
      <c r="B14" s="153">
        <v>46181</v>
      </c>
      <c r="C14" s="155" t="s">
        <v>274</v>
      </c>
      <c r="D14" s="181" t="s">
        <v>845</v>
      </c>
      <c r="E14" s="320"/>
      <c r="F14" s="320">
        <f t="shared" si="1"/>
        <v>12000</v>
      </c>
      <c r="G14" s="325">
        <v>85.89</v>
      </c>
      <c r="H14" s="321">
        <f t="shared" si="0"/>
        <v>3825.39</v>
      </c>
      <c r="I14" s="321">
        <f t="shared" si="2"/>
        <v>8174.61</v>
      </c>
      <c r="J14" s="322"/>
    </row>
    <row r="15" spans="1:10" s="308" customFormat="1" ht="12.75" customHeight="1" x14ac:dyDescent="0.2">
      <c r="A15" s="171" t="s">
        <v>844</v>
      </c>
      <c r="B15" s="153">
        <v>46181</v>
      </c>
      <c r="C15" s="401">
        <v>9500</v>
      </c>
      <c r="D15" s="126" t="s">
        <v>846</v>
      </c>
      <c r="E15" s="320"/>
      <c r="F15" s="320">
        <f t="shared" si="1"/>
        <v>12000</v>
      </c>
      <c r="G15" s="325">
        <v>1053.9000000000001</v>
      </c>
      <c r="H15" s="321">
        <f t="shared" si="0"/>
        <v>4879.29</v>
      </c>
      <c r="I15" s="321">
        <f t="shared" si="2"/>
        <v>7120.7099999999991</v>
      </c>
      <c r="J15" s="322"/>
    </row>
    <row r="16" spans="1:10" s="308" customFormat="1" ht="12.75" customHeight="1" x14ac:dyDescent="0.2">
      <c r="A16" s="171" t="s">
        <v>989</v>
      </c>
      <c r="B16" s="153">
        <v>46211</v>
      </c>
      <c r="C16" s="155" t="s">
        <v>274</v>
      </c>
      <c r="D16" s="181" t="s">
        <v>992</v>
      </c>
      <c r="E16" s="320"/>
      <c r="F16" s="320">
        <f t="shared" si="1"/>
        <v>12000</v>
      </c>
      <c r="G16" s="325">
        <v>355.07</v>
      </c>
      <c r="H16" s="321">
        <f t="shared" si="0"/>
        <v>5234.3599999999997</v>
      </c>
      <c r="I16" s="321">
        <f t="shared" si="2"/>
        <v>6765.6399999999994</v>
      </c>
      <c r="J16" s="322"/>
    </row>
    <row r="17" spans="1:10" s="308" customFormat="1" ht="12.75" customHeight="1" x14ac:dyDescent="0.2">
      <c r="A17" s="171" t="s">
        <v>989</v>
      </c>
      <c r="B17" s="153">
        <v>46211</v>
      </c>
      <c r="C17" s="401">
        <v>9500</v>
      </c>
      <c r="D17" s="126" t="s">
        <v>993</v>
      </c>
      <c r="E17" s="320"/>
      <c r="F17" s="320">
        <f t="shared" si="1"/>
        <v>12000</v>
      </c>
      <c r="G17" s="325">
        <v>4175.8</v>
      </c>
      <c r="H17" s="321">
        <f t="shared" si="0"/>
        <v>9410.16</v>
      </c>
      <c r="I17" s="321">
        <f t="shared" si="2"/>
        <v>2589.8399999999992</v>
      </c>
      <c r="J17" s="322"/>
    </row>
    <row r="18" spans="1:10" s="308" customFormat="1" ht="12.75" customHeight="1" x14ac:dyDescent="0.2">
      <c r="A18" s="171" t="s">
        <v>1036</v>
      </c>
      <c r="B18" s="153">
        <v>46218</v>
      </c>
      <c r="C18" s="155" t="s">
        <v>274</v>
      </c>
      <c r="D18" s="181" t="s">
        <v>1037</v>
      </c>
      <c r="E18" s="320"/>
      <c r="F18" s="320">
        <f t="shared" si="1"/>
        <v>12000</v>
      </c>
      <c r="G18" s="325">
        <v>142.52000000000001</v>
      </c>
      <c r="H18" s="321">
        <f t="shared" si="0"/>
        <v>9552.68</v>
      </c>
      <c r="I18" s="321">
        <f t="shared" si="2"/>
        <v>2447.3199999999993</v>
      </c>
      <c r="J18" s="322"/>
    </row>
    <row r="19" spans="1:10" s="308" customFormat="1" ht="12.75" customHeight="1" x14ac:dyDescent="0.25">
      <c r="A19" s="332"/>
      <c r="B19" s="318"/>
      <c r="C19" s="318"/>
      <c r="D19" s="328"/>
      <c r="E19" s="320"/>
      <c r="F19" s="320">
        <f t="shared" si="1"/>
        <v>12000</v>
      </c>
      <c r="G19" s="321"/>
      <c r="H19" s="321">
        <f t="shared" si="0"/>
        <v>9552.68</v>
      </c>
      <c r="I19" s="321">
        <f t="shared" si="2"/>
        <v>2447.3199999999993</v>
      </c>
      <c r="J19" s="322"/>
    </row>
    <row r="20" spans="1:10" s="308" customFormat="1" ht="12.75" customHeight="1" x14ac:dyDescent="0.25">
      <c r="A20" s="332"/>
      <c r="B20" s="318"/>
      <c r="C20" s="318"/>
      <c r="D20" s="328"/>
      <c r="E20" s="320"/>
      <c r="F20" s="320">
        <f t="shared" si="1"/>
        <v>12000</v>
      </c>
      <c r="G20" s="321"/>
      <c r="H20" s="321">
        <f t="shared" si="0"/>
        <v>9552.68</v>
      </c>
      <c r="I20" s="321">
        <f t="shared" si="2"/>
        <v>2447.3199999999993</v>
      </c>
      <c r="J20" s="322"/>
    </row>
    <row r="21" spans="1:10" s="308" customFormat="1" ht="12.75" customHeight="1" x14ac:dyDescent="0.25">
      <c r="A21" s="332"/>
      <c r="B21" s="318"/>
      <c r="C21" s="318"/>
      <c r="D21" s="363"/>
      <c r="E21" s="320"/>
      <c r="F21" s="320">
        <f t="shared" si="1"/>
        <v>12000</v>
      </c>
      <c r="G21" s="321"/>
      <c r="H21" s="321">
        <f t="shared" si="0"/>
        <v>9552.68</v>
      </c>
      <c r="I21" s="321">
        <f t="shared" si="2"/>
        <v>2447.3199999999993</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12000</v>
      </c>
      <c r="F23" s="184"/>
      <c r="G23" s="184">
        <f>SUM(G9:G22)</f>
        <v>9552.68</v>
      </c>
      <c r="H23" s="184"/>
      <c r="I23" s="184">
        <f>SUM(E23-G23)</f>
        <v>2447.3199999999997</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D7DA4-F2EE-42B4-9DBF-13B736176726}">
  <sheetPr codeName="Sheet121">
    <tabColor indexed="30"/>
    <pageSetUpPr fitToPage="1"/>
  </sheetPr>
  <dimension ref="A1:H23"/>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'#9540.00 PM TIME'!A1</f>
        <v>HHS CHMHI CCUSO Strategic Space Plan Study</v>
      </c>
      <c r="B1" s="86"/>
      <c r="C1" s="86"/>
      <c r="D1" s="86"/>
      <c r="E1" s="6"/>
      <c r="F1" s="6"/>
      <c r="G1" s="6"/>
      <c r="H1" s="132"/>
    </row>
    <row r="2" spans="1:8" ht="15.75" x14ac:dyDescent="0.25">
      <c r="A2" s="88" t="str">
        <f>'RECAP #9540.00'!B2</f>
        <v>Project # 9540.00</v>
      </c>
      <c r="B2" s="87"/>
      <c r="C2" s="87"/>
      <c r="D2" s="87"/>
      <c r="E2" s="6"/>
      <c r="F2" s="6"/>
      <c r="G2" s="6"/>
      <c r="H2" s="132"/>
    </row>
    <row r="3" spans="1:8" ht="15.75" x14ac:dyDescent="0.25">
      <c r="A3" s="89" t="str">
        <f>'RECAP #9540.00'!B3</f>
        <v>Program code 954000</v>
      </c>
      <c r="B3" s="87"/>
      <c r="C3" s="87"/>
      <c r="D3" s="87"/>
      <c r="E3" s="90" t="str">
        <f>'RECAP #9540.00'!E3</f>
        <v>Major Program 4B02</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#9540.00'!B6</f>
        <v>Project Manager - Jennie E.</v>
      </c>
      <c r="B6" s="93"/>
      <c r="C6" s="93"/>
      <c r="D6" s="93"/>
      <c r="E6" s="90" t="s">
        <v>286</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5230F-005E-46EB-8317-E2E595AFF575}">
  <sheetPr codeName="Sheet122">
    <tabColor rgb="FF0070C0"/>
    <pageSetUpPr fitToPage="1"/>
  </sheetPr>
  <dimension ref="A1:H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31.140625"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#XXXX.XX'!B1</f>
        <v>Project Name</v>
      </c>
      <c r="B1" s="7"/>
      <c r="C1" s="2"/>
      <c r="D1" s="3"/>
      <c r="E1" s="3"/>
      <c r="F1" s="7"/>
      <c r="G1" s="7"/>
      <c r="H1" s="7"/>
    </row>
    <row r="2" spans="1:8" x14ac:dyDescent="0.25">
      <c r="A2" s="112" t="str">
        <f>'RECAP #XXXX.XX'!B2</f>
        <v>Project # XXXX.XX</v>
      </c>
      <c r="B2" s="7"/>
      <c r="C2" s="113" t="s">
        <v>3</v>
      </c>
      <c r="D2" s="1"/>
      <c r="E2" s="1"/>
      <c r="F2" s="7"/>
      <c r="G2" s="7"/>
      <c r="H2" s="7"/>
    </row>
    <row r="3" spans="1:8" x14ac:dyDescent="0.25">
      <c r="A3" s="114" t="str">
        <f>'RECAP #XXXX.XX'!B3</f>
        <v>Program code XXXXXX</v>
      </c>
      <c r="B3" s="7"/>
      <c r="C3" s="113" t="s">
        <v>3</v>
      </c>
      <c r="D3" s="115" t="str">
        <f>'RECAP #XXXX.XX'!E3</f>
        <v>Major Program XXXX</v>
      </c>
      <c r="E3" s="3"/>
      <c r="F3" s="7"/>
      <c r="G3" s="7"/>
      <c r="H3" s="7"/>
    </row>
    <row r="4" spans="1:8" ht="15.75" x14ac:dyDescent="0.25">
      <c r="A4" s="116" t="s">
        <v>44</v>
      </c>
      <c r="B4" s="117" t="s">
        <v>3</v>
      </c>
      <c r="C4" s="3"/>
      <c r="D4" s="3"/>
      <c r="E4" s="3"/>
      <c r="F4" s="7"/>
      <c r="G4" s="7"/>
      <c r="H4" s="7"/>
    </row>
    <row r="5" spans="1:8" x14ac:dyDescent="0.25">
      <c r="A5" s="107" t="s">
        <v>64</v>
      </c>
      <c r="B5" s="25"/>
      <c r="C5" s="118"/>
      <c r="D5" s="26"/>
      <c r="E5" s="7"/>
      <c r="F5" s="7"/>
      <c r="G5" s="7"/>
      <c r="H5" s="7"/>
    </row>
    <row r="6" spans="1:8" x14ac:dyDescent="0.25">
      <c r="A6" s="119" t="str">
        <f>'RECAP #XXXX.XX'!B6</f>
        <v>Project Manager - XXXXXX</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194</v>
      </c>
      <c r="E9" s="15" t="s">
        <v>193</v>
      </c>
      <c r="F9" s="127">
        <v>45911</v>
      </c>
      <c r="G9" s="189">
        <v>46034.400000000001</v>
      </c>
      <c r="H9" s="189">
        <v>46034.400000000001</v>
      </c>
    </row>
    <row r="10" spans="1:8" x14ac:dyDescent="0.25">
      <c r="A10" s="12"/>
      <c r="B10" s="12"/>
      <c r="C10" s="13"/>
      <c r="D10" s="15" t="s">
        <v>195</v>
      </c>
      <c r="E10" s="12" t="s">
        <v>196</v>
      </c>
      <c r="F10" s="12">
        <v>45912</v>
      </c>
      <c r="G10" s="188">
        <v>-46034.400000000001</v>
      </c>
      <c r="H10" s="188">
        <v>-46034.400000000001</v>
      </c>
    </row>
    <row r="11" spans="1:8" x14ac:dyDescent="0.25">
      <c r="A11" s="22"/>
      <c r="B11" s="13"/>
      <c r="C11" s="18"/>
      <c r="D11" s="15" t="s">
        <v>234</v>
      </c>
      <c r="E11" s="15" t="s">
        <v>235</v>
      </c>
      <c r="F11" s="12">
        <v>45903</v>
      </c>
      <c r="G11" s="191">
        <v>224341.04</v>
      </c>
      <c r="H11" s="191">
        <v>224341.04</v>
      </c>
    </row>
    <row r="12" spans="1:8" x14ac:dyDescent="0.25">
      <c r="A12" s="22"/>
      <c r="B12" s="13"/>
      <c r="C12" s="23"/>
      <c r="D12" s="15" t="s">
        <v>195</v>
      </c>
      <c r="E12" s="15" t="s">
        <v>236</v>
      </c>
      <c r="F12" s="12">
        <v>45904</v>
      </c>
      <c r="G12" s="188">
        <v>-224341.04</v>
      </c>
      <c r="H12" s="188">
        <v>-224341.04</v>
      </c>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0</v>
      </c>
      <c r="H24" s="131">
        <f>SUM(H9:H22)</f>
        <v>0</v>
      </c>
    </row>
    <row r="25" spans="1:8" ht="15" customHeight="1" thickTop="1" x14ac:dyDescent="0.25"/>
  </sheetData>
  <pageMargins left="0.25" right="0.25" top="0.85" bottom="0.75" header="0.08" footer="0.3"/>
  <pageSetup scale="7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A5E7D-CB8D-4BB1-9B7E-7C1288A63A56}">
  <sheetPr codeName="Sheet123">
    <tabColor rgb="FF0070C0"/>
    <pageSetUpPr fitToPage="1"/>
  </sheetPr>
  <dimension ref="A1:G50"/>
  <sheetViews>
    <sheetView zoomScaleNormal="100" workbookViewId="0">
      <selection activeCell="N17" sqref="N17"/>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100</v>
      </c>
      <c r="C1" s="86"/>
      <c r="D1" s="6"/>
      <c r="E1" s="6"/>
      <c r="F1" s="6"/>
      <c r="G1" s="6"/>
    </row>
    <row r="2" spans="1:7" ht="15.75" x14ac:dyDescent="0.25">
      <c r="A2" s="84"/>
      <c r="B2" s="88" t="s">
        <v>101</v>
      </c>
      <c r="C2" s="87"/>
      <c r="D2" s="6"/>
      <c r="E2" s="6"/>
      <c r="F2" s="6"/>
      <c r="G2" s="6"/>
    </row>
    <row r="3" spans="1:7" ht="15.75" x14ac:dyDescent="0.25">
      <c r="A3" s="84"/>
      <c r="B3" s="89" t="s">
        <v>102</v>
      </c>
      <c r="C3" s="87"/>
      <c r="D3" s="6"/>
      <c r="E3" s="90" t="s">
        <v>104</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103</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v>0</v>
      </c>
      <c r="D8" s="102"/>
      <c r="E8" s="102"/>
      <c r="F8" s="102"/>
      <c r="G8" s="103"/>
    </row>
    <row r="9" spans="1:7" x14ac:dyDescent="0.25">
      <c r="A9" s="84"/>
      <c r="B9" s="87"/>
      <c r="C9" s="104"/>
      <c r="D9" s="105"/>
      <c r="E9" s="105"/>
      <c r="F9" s="105"/>
      <c r="G9" s="103"/>
    </row>
    <row r="10" spans="1:7" x14ac:dyDescent="0.25">
      <c r="A10" s="84"/>
      <c r="B10" s="87" t="s">
        <v>40</v>
      </c>
      <c r="C10" s="104"/>
      <c r="D10" s="102">
        <f>'#XXXX.XX Vendor A '!D23</f>
        <v>0</v>
      </c>
      <c r="E10" s="102">
        <f>'#XXXX.XX Vendor A '!F23</f>
        <v>0</v>
      </c>
      <c r="F10" s="102">
        <f>'#XXXX.XX Vendor A '!H23</f>
        <v>0</v>
      </c>
      <c r="G10" s="103"/>
    </row>
    <row r="11" spans="1:7" x14ac:dyDescent="0.25">
      <c r="A11" s="84"/>
      <c r="B11" s="87" t="s">
        <v>41</v>
      </c>
      <c r="C11" s="104"/>
      <c r="D11" s="102">
        <f>'#XXXX.XX PM TIME'!E23</f>
        <v>0</v>
      </c>
      <c r="E11" s="102">
        <f>'#XXXX.XX PM TIME'!G23</f>
        <v>0</v>
      </c>
      <c r="F11" s="102">
        <f>'#XXXX.XX PM TIME'!I23</f>
        <v>0</v>
      </c>
      <c r="G11" s="103"/>
    </row>
    <row r="12" spans="1:7" x14ac:dyDescent="0.25">
      <c r="A12" s="84"/>
      <c r="B12" s="87" t="s">
        <v>42</v>
      </c>
      <c r="C12" s="105"/>
      <c r="D12" s="106">
        <f>'#XXXX.XX Misc'!G22</f>
        <v>0</v>
      </c>
      <c r="E12" s="106">
        <f>'#XXXX.XX Misc'!G22</f>
        <v>0</v>
      </c>
      <c r="F12" s="102">
        <f>D12-E12</f>
        <v>0</v>
      </c>
      <c r="G12" s="103"/>
    </row>
    <row r="13" spans="1:7" ht="13.35" customHeight="1" x14ac:dyDescent="0.25">
      <c r="A13" s="84"/>
      <c r="B13" s="87"/>
      <c r="C13" s="105"/>
      <c r="D13" s="106"/>
      <c r="E13" s="106"/>
      <c r="F13" s="102"/>
      <c r="G13" s="103"/>
    </row>
    <row r="14" spans="1:7" ht="24" customHeight="1" thickBot="1" x14ac:dyDescent="0.3">
      <c r="A14" s="107"/>
      <c r="B14" s="108" t="s">
        <v>43</v>
      </c>
      <c r="C14" s="109">
        <f>SUM(C8:C13)</f>
        <v>0</v>
      </c>
      <c r="D14" s="109">
        <f>SUM(D8:D13)</f>
        <v>0</v>
      </c>
      <c r="E14" s="109">
        <f>SUM(E8:E13)</f>
        <v>0</v>
      </c>
      <c r="F14" s="109">
        <f>SUM(D14-E14)</f>
        <v>0</v>
      </c>
      <c r="G14" s="109">
        <f>C8-D14</f>
        <v>0</v>
      </c>
    </row>
    <row r="15" spans="1:7" ht="15" customHeight="1" thickTop="1" x14ac:dyDescent="0.25"/>
    <row r="48" ht="12" customHeight="1" x14ac:dyDescent="0.25"/>
    <row r="49" ht="15" hidden="1" customHeight="1" x14ac:dyDescent="0.25"/>
    <row r="50"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
Acct Code: 0506-335-DA26
&amp;C&amp;Z&amp;F</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475E4-A603-4728-92D8-DB7518BC4721}">
  <sheetPr codeName="Sheet124">
    <tabColor rgb="FF0070C0"/>
    <pageSetUpPr fitToPage="1"/>
  </sheetPr>
  <dimension ref="A1:H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#XXXX.XX'!B1</f>
        <v>Project Name</v>
      </c>
      <c r="B1" s="7"/>
      <c r="C1" s="2"/>
      <c r="D1" s="3"/>
      <c r="E1" s="3"/>
      <c r="F1" s="7"/>
      <c r="G1" s="7"/>
      <c r="H1" s="7"/>
    </row>
    <row r="2" spans="1:8" x14ac:dyDescent="0.25">
      <c r="A2" s="112" t="str">
        <f>'RECAP #XXXX.XX'!B2</f>
        <v>Project # XXXX.XX</v>
      </c>
      <c r="B2" s="7"/>
      <c r="C2" s="113" t="s">
        <v>3</v>
      </c>
      <c r="D2" s="1"/>
      <c r="E2" s="1"/>
      <c r="F2" s="7"/>
      <c r="G2" s="7"/>
      <c r="H2" s="7"/>
    </row>
    <row r="3" spans="1:8" x14ac:dyDescent="0.25">
      <c r="A3" s="114" t="str">
        <f>'RECAP #XXXX.XX'!B3</f>
        <v>Program code XXXXXX</v>
      </c>
      <c r="B3" s="7"/>
      <c r="C3" s="113" t="s">
        <v>3</v>
      </c>
      <c r="D3" s="115" t="str">
        <f>'RECAP #XXXX.XX'!E3</f>
        <v>Major Program XXXX</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#XXXX.XX'!B6</f>
        <v>Project Manager - XXXXXX</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c r="E9" s="15"/>
      <c r="F9" s="127"/>
      <c r="G9" s="16"/>
      <c r="H9" s="16"/>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0</v>
      </c>
      <c r="H24" s="131">
        <f>SUM(H9:H22)</f>
        <v>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34BF6-4BDE-442B-B023-FC1337C459FC}">
  <sheetPr codeName="Sheet125">
    <tabColor indexed="30"/>
    <pageSetUpPr fitToPage="1"/>
  </sheetPr>
  <dimension ref="A1:I140"/>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#XXXX.XX'!B1</f>
        <v>Project Name</v>
      </c>
      <c r="B1" s="86"/>
      <c r="C1" s="6"/>
      <c r="D1" s="6"/>
      <c r="E1" s="6"/>
      <c r="F1" s="132"/>
      <c r="G1" s="132"/>
      <c r="H1" s="133"/>
      <c r="I1" s="133"/>
    </row>
    <row r="2" spans="1:9" ht="15.75" x14ac:dyDescent="0.25">
      <c r="A2" s="88" t="str">
        <f>'RECAP #XXXX.XX'!B2</f>
        <v>Project # XXXX.XX</v>
      </c>
      <c r="B2" s="87"/>
      <c r="C2" s="6"/>
      <c r="D2" s="6"/>
      <c r="E2" s="6"/>
      <c r="F2" s="132"/>
      <c r="G2" s="132"/>
      <c r="H2" s="133"/>
      <c r="I2" s="133"/>
    </row>
    <row r="3" spans="1:9" ht="15.75" x14ac:dyDescent="0.25">
      <c r="A3" s="89" t="str">
        <f>'RECAP #XXXX.XX'!B3</f>
        <v>Program code XXXXXX</v>
      </c>
      <c r="B3" s="87"/>
      <c r="C3" s="6"/>
      <c r="D3" s="90" t="str">
        <f>'RECAP #XXXX.XX'!E3</f>
        <v>Major Program XXXX</v>
      </c>
      <c r="E3" s="6"/>
      <c r="F3" s="132"/>
      <c r="G3" s="132"/>
      <c r="H3" s="133"/>
      <c r="I3" s="133"/>
    </row>
    <row r="4" spans="1:9" ht="15.75" x14ac:dyDescent="0.25">
      <c r="A4" s="116" t="s">
        <v>13</v>
      </c>
      <c r="B4" s="134"/>
      <c r="C4" s="135"/>
      <c r="D4" s="136" t="s">
        <v>47</v>
      </c>
      <c r="E4" s="132"/>
      <c r="F4" s="132"/>
      <c r="G4" s="132"/>
      <c r="H4" s="133"/>
      <c r="I4" s="133"/>
    </row>
    <row r="5" spans="1:9" ht="15.75" x14ac:dyDescent="0.25">
      <c r="A5" s="137" t="s">
        <v>65</v>
      </c>
      <c r="B5" s="138"/>
      <c r="C5" s="139"/>
      <c r="D5" s="140"/>
      <c r="E5" s="141"/>
      <c r="F5" s="142"/>
      <c r="G5" s="142"/>
      <c r="H5" s="138"/>
      <c r="I5" s="133"/>
    </row>
    <row r="6" spans="1:9" ht="15.75" x14ac:dyDescent="0.25">
      <c r="A6" s="93" t="str">
        <f>'RECAP #XXXX.XX'!B6</f>
        <v>Project Manager - XXXXXX</v>
      </c>
      <c r="B6" s="93"/>
      <c r="C6" s="143"/>
      <c r="D6" s="144" t="s">
        <v>48</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c r="B9" s="318"/>
      <c r="C9" s="324"/>
      <c r="D9" s="320"/>
      <c r="E9" s="320">
        <f>D9</f>
        <v>0</v>
      </c>
      <c r="F9" s="321"/>
      <c r="G9" s="321"/>
      <c r="H9" s="321">
        <f>E9</f>
        <v>0</v>
      </c>
      <c r="I9" s="322"/>
    </row>
    <row r="10" spans="1:9" s="308" customFormat="1" ht="12.75" customHeight="1" x14ac:dyDescent="0.25">
      <c r="A10" s="317"/>
      <c r="B10" s="323"/>
      <c r="C10" s="324"/>
      <c r="D10" s="320"/>
      <c r="E10" s="320">
        <f t="shared" ref="E10:E21" si="0">E9+D10</f>
        <v>0</v>
      </c>
      <c r="F10" s="326"/>
      <c r="G10" s="321">
        <f t="shared" ref="G10:G21" si="1">G9+F10</f>
        <v>0</v>
      </c>
      <c r="H10" s="321">
        <f t="shared" ref="H10:H21" si="2">H9-F10+D10</f>
        <v>0</v>
      </c>
      <c r="I10" s="322"/>
    </row>
    <row r="11" spans="1:9" s="308" customFormat="1" ht="12.75" customHeight="1" x14ac:dyDescent="0.25">
      <c r="A11" s="317"/>
      <c r="B11" s="318"/>
      <c r="C11" s="324"/>
      <c r="D11" s="320"/>
      <c r="E11" s="320">
        <f t="shared" si="0"/>
        <v>0</v>
      </c>
      <c r="F11" s="326"/>
      <c r="G11" s="321">
        <f t="shared" si="1"/>
        <v>0</v>
      </c>
      <c r="H11" s="321">
        <f t="shared" si="2"/>
        <v>0</v>
      </c>
      <c r="I11" s="322"/>
    </row>
    <row r="12" spans="1:9" s="308" customFormat="1" ht="12.75" customHeight="1" x14ac:dyDescent="0.25">
      <c r="A12" s="317"/>
      <c r="B12" s="318"/>
      <c r="C12" s="324"/>
      <c r="D12" s="320"/>
      <c r="E12" s="320">
        <f t="shared" si="0"/>
        <v>0</v>
      </c>
      <c r="F12" s="326"/>
      <c r="G12" s="321">
        <f t="shared" si="1"/>
        <v>0</v>
      </c>
      <c r="H12" s="321">
        <f t="shared" si="2"/>
        <v>0</v>
      </c>
      <c r="I12" s="322"/>
    </row>
    <row r="13" spans="1:9" s="308" customFormat="1" ht="12.75" customHeight="1" x14ac:dyDescent="0.25">
      <c r="A13" s="317"/>
      <c r="B13" s="318"/>
      <c r="C13" s="324"/>
      <c r="D13" s="320"/>
      <c r="E13" s="320">
        <f t="shared" si="0"/>
        <v>0</v>
      </c>
      <c r="F13" s="326"/>
      <c r="G13" s="321">
        <f t="shared" si="1"/>
        <v>0</v>
      </c>
      <c r="H13" s="321">
        <f t="shared" si="2"/>
        <v>0</v>
      </c>
      <c r="I13" s="322"/>
    </row>
    <row r="14" spans="1:9" s="308" customFormat="1" ht="12.75" customHeight="1" x14ac:dyDescent="0.25">
      <c r="A14" s="317"/>
      <c r="B14" s="318"/>
      <c r="C14" s="324"/>
      <c r="D14" s="320"/>
      <c r="E14" s="320">
        <f t="shared" si="0"/>
        <v>0</v>
      </c>
      <c r="F14" s="321"/>
      <c r="G14" s="321">
        <f t="shared" si="1"/>
        <v>0</v>
      </c>
      <c r="H14" s="321">
        <f t="shared" si="2"/>
        <v>0</v>
      </c>
      <c r="I14" s="322"/>
    </row>
    <row r="15" spans="1:9" s="308" customFormat="1" ht="12.75" customHeight="1" x14ac:dyDescent="0.25">
      <c r="A15" s="317"/>
      <c r="B15" s="318"/>
      <c r="C15" s="324"/>
      <c r="D15" s="320"/>
      <c r="E15" s="320">
        <f t="shared" si="0"/>
        <v>0</v>
      </c>
      <c r="F15" s="326"/>
      <c r="G15" s="321">
        <f t="shared" si="1"/>
        <v>0</v>
      </c>
      <c r="H15" s="321">
        <f t="shared" si="2"/>
        <v>0</v>
      </c>
      <c r="I15" s="322"/>
    </row>
    <row r="16" spans="1:9" s="308" customFormat="1" ht="12.75" customHeight="1" x14ac:dyDescent="0.25">
      <c r="A16" s="317"/>
      <c r="B16" s="318"/>
      <c r="C16" s="324"/>
      <c r="D16" s="320"/>
      <c r="E16" s="320">
        <f t="shared" si="0"/>
        <v>0</v>
      </c>
      <c r="F16" s="326"/>
      <c r="G16" s="321">
        <f t="shared" si="1"/>
        <v>0</v>
      </c>
      <c r="H16" s="321">
        <f t="shared" si="2"/>
        <v>0</v>
      </c>
      <c r="I16" s="322"/>
    </row>
    <row r="17" spans="1:9" s="308" customFormat="1" ht="12.75" customHeight="1" x14ac:dyDescent="0.25">
      <c r="A17" s="317"/>
      <c r="B17" s="318"/>
      <c r="C17" s="324"/>
      <c r="D17" s="320"/>
      <c r="E17" s="320">
        <f t="shared" si="0"/>
        <v>0</v>
      </c>
      <c r="F17" s="326"/>
      <c r="G17" s="321">
        <f t="shared" si="1"/>
        <v>0</v>
      </c>
      <c r="H17" s="321">
        <f t="shared" si="2"/>
        <v>0</v>
      </c>
      <c r="I17" s="322"/>
    </row>
    <row r="18" spans="1:9" s="308" customFormat="1" ht="12.75" customHeight="1" x14ac:dyDescent="0.25">
      <c r="A18" s="317"/>
      <c r="B18" s="318"/>
      <c r="C18" s="324"/>
      <c r="D18" s="320"/>
      <c r="E18" s="320">
        <f t="shared" si="0"/>
        <v>0</v>
      </c>
      <c r="F18" s="326"/>
      <c r="G18" s="321">
        <f t="shared" si="1"/>
        <v>0</v>
      </c>
      <c r="H18" s="321">
        <f t="shared" si="2"/>
        <v>0</v>
      </c>
      <c r="I18" s="322"/>
    </row>
    <row r="19" spans="1:9" s="308" customFormat="1" ht="12.75" customHeight="1" x14ac:dyDescent="0.25">
      <c r="A19" s="317"/>
      <c r="B19" s="318"/>
      <c r="C19" s="324"/>
      <c r="D19" s="320"/>
      <c r="E19" s="320">
        <f t="shared" si="0"/>
        <v>0</v>
      </c>
      <c r="F19" s="321"/>
      <c r="G19" s="321">
        <f t="shared" si="1"/>
        <v>0</v>
      </c>
      <c r="H19" s="321">
        <f t="shared" si="2"/>
        <v>0</v>
      </c>
      <c r="I19" s="322"/>
    </row>
    <row r="20" spans="1:9" s="308" customFormat="1" ht="12.75" customHeight="1" x14ac:dyDescent="0.25">
      <c r="A20" s="317"/>
      <c r="B20" s="318"/>
      <c r="C20" s="324"/>
      <c r="D20" s="320"/>
      <c r="E20" s="320">
        <f t="shared" si="0"/>
        <v>0</v>
      </c>
      <c r="F20" s="321"/>
      <c r="G20" s="321">
        <f t="shared" si="1"/>
        <v>0</v>
      </c>
      <c r="H20" s="321">
        <f t="shared" si="2"/>
        <v>0</v>
      </c>
      <c r="I20" s="322"/>
    </row>
    <row r="21" spans="1:9" s="308" customFormat="1" ht="12.75" customHeight="1" x14ac:dyDescent="0.25">
      <c r="A21" s="317"/>
      <c r="B21" s="318"/>
      <c r="C21" s="327"/>
      <c r="D21" s="320"/>
      <c r="E21" s="320">
        <f t="shared" si="0"/>
        <v>0</v>
      </c>
      <c r="F21" s="321"/>
      <c r="G21" s="321">
        <f t="shared" si="1"/>
        <v>0</v>
      </c>
      <c r="H21" s="321">
        <f t="shared" si="2"/>
        <v>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0</v>
      </c>
      <c r="E23" s="184"/>
      <c r="F23" s="184">
        <f>SUM(F9:F22)</f>
        <v>0</v>
      </c>
      <c r="G23" s="184"/>
      <c r="H23" s="184">
        <f>D23-F23</f>
        <v>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c r="E26" s="321"/>
      <c r="F26" s="321"/>
      <c r="G26" s="321"/>
      <c r="H26" s="321">
        <f>D26-F26</f>
        <v>0</v>
      </c>
      <c r="I26" s="322"/>
    </row>
    <row r="27" spans="1:9" s="308" customFormat="1" ht="12.75" customHeight="1" x14ac:dyDescent="0.25">
      <c r="A27" s="317"/>
      <c r="B27" s="324"/>
      <c r="C27" s="328" t="s">
        <v>253</v>
      </c>
      <c r="D27" s="321"/>
      <c r="E27" s="185"/>
      <c r="F27" s="185"/>
      <c r="G27" s="185"/>
      <c r="H27" s="321">
        <f>D27-F27</f>
        <v>0</v>
      </c>
      <c r="I27" s="322"/>
    </row>
    <row r="28" spans="1:9" s="308" customFormat="1" ht="12.75" customHeight="1" thickBot="1" x14ac:dyDescent="0.3">
      <c r="A28" s="317"/>
      <c r="B28" s="324"/>
      <c r="C28" s="359" t="s">
        <v>157</v>
      </c>
      <c r="D28" s="360">
        <f>SUM(D25:D27)</f>
        <v>0</v>
      </c>
      <c r="E28" s="326"/>
      <c r="F28" s="360">
        <f>SUM(F25:F27)</f>
        <v>0</v>
      </c>
      <c r="G28" s="326"/>
      <c r="H28" s="360">
        <f>SUM(H25:H27)</f>
        <v>0</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sheetData>
  <conditionalFormatting sqref="I9:I25">
    <cfRule type="cellIs" dxfId="0" priority="1" operator="greaterThan">
      <formula>$H$23</formula>
    </cfRule>
  </conditionalFormatting>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DF57-6FF8-4AAC-B94D-5C0210E3FF6C}">
  <sheetPr codeName="Sheet126">
    <tabColor rgb="FF0070C0"/>
    <pageSetUpPr fitToPage="1"/>
  </sheetPr>
  <dimension ref="A1:J182"/>
  <sheetViews>
    <sheetView topLeftCell="A3" zoomScaleNormal="100" workbookViewId="0">
      <selection activeCell="P26" sqref="P26"/>
    </sheetView>
  </sheetViews>
  <sheetFormatPr defaultColWidth="11.42578125" defaultRowHeight="15" customHeight="1" x14ac:dyDescent="0.25"/>
  <cols>
    <col min="1" max="1" width="24.5703125" customWidth="1"/>
    <col min="2" max="3" width="9.42578125" customWidth="1"/>
    <col min="4" max="4" width="14" customWidth="1"/>
    <col min="5" max="5" width="21.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#XXXX.XX'!B1</f>
        <v>Project Name</v>
      </c>
      <c r="B1" s="86"/>
      <c r="C1" s="86"/>
      <c r="D1" s="6"/>
      <c r="E1" s="6"/>
      <c r="F1" s="6"/>
      <c r="G1" s="132"/>
      <c r="H1" s="132"/>
      <c r="I1" s="133"/>
      <c r="J1" s="133"/>
    </row>
    <row r="2" spans="1:10" ht="15.75" x14ac:dyDescent="0.25">
      <c r="A2" s="88" t="str">
        <f>'RECAP #XXXX.XX'!B2</f>
        <v>Project # XXXX.XX</v>
      </c>
      <c r="B2" s="87"/>
      <c r="C2" s="87"/>
      <c r="D2" s="6"/>
      <c r="E2" s="6"/>
      <c r="F2" s="6"/>
      <c r="G2" s="132"/>
      <c r="H2" s="132"/>
      <c r="I2" s="133"/>
      <c r="J2" s="133"/>
    </row>
    <row r="3" spans="1:10" ht="15.75" x14ac:dyDescent="0.25">
      <c r="A3" s="89" t="str">
        <f>'RECAP #XXXX.XX'!B3</f>
        <v>Program code XXXXXX</v>
      </c>
      <c r="B3" s="87"/>
      <c r="C3" s="87"/>
      <c r="D3" s="6"/>
      <c r="E3" s="90" t="str">
        <f>'RECAP #XXXX.XX'!E3</f>
        <v>Major Program XXXX</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#XXXX.XX'!B6</f>
        <v>Project Manager - XXXXXX</v>
      </c>
      <c r="B6" s="93"/>
      <c r="C6" s="93"/>
      <c r="D6" s="143"/>
      <c r="E6" s="140" t="s">
        <v>105</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0</v>
      </c>
      <c r="F9" s="320">
        <f>E9</f>
        <v>0</v>
      </c>
      <c r="G9" s="321"/>
      <c r="H9" s="321"/>
      <c r="I9" s="321">
        <f>F9</f>
        <v>0</v>
      </c>
      <c r="J9" s="322"/>
    </row>
    <row r="10" spans="1:10" s="308" customFormat="1" ht="12.75" customHeight="1" x14ac:dyDescent="0.25">
      <c r="A10" s="362"/>
      <c r="B10" s="318"/>
      <c r="C10" s="318"/>
      <c r="D10" s="328"/>
      <c r="E10" s="320"/>
      <c r="F10" s="320">
        <f>E10+F9</f>
        <v>0</v>
      </c>
      <c r="G10" s="325"/>
      <c r="H10" s="321">
        <f t="shared" ref="H10:H21" si="0">H9+G10</f>
        <v>0</v>
      </c>
      <c r="I10" s="321">
        <f>I9-G10+E10</f>
        <v>0</v>
      </c>
      <c r="J10" s="322"/>
    </row>
    <row r="11" spans="1:10" s="308" customFormat="1" ht="12.75" customHeight="1" x14ac:dyDescent="0.25">
      <c r="A11" s="362"/>
      <c r="B11" s="318"/>
      <c r="C11" s="318"/>
      <c r="D11" s="328"/>
      <c r="E11" s="320"/>
      <c r="F11" s="320">
        <f t="shared" ref="F11:F21" si="1">E11+F10</f>
        <v>0</v>
      </c>
      <c r="G11" s="326"/>
      <c r="H11" s="321">
        <f t="shared" si="0"/>
        <v>0</v>
      </c>
      <c r="I11" s="321">
        <f t="shared" ref="I11:I21" si="2">I10-G11+E11</f>
        <v>0</v>
      </c>
      <c r="J11" s="322"/>
    </row>
    <row r="12" spans="1:10" s="308" customFormat="1" ht="12.75" customHeight="1" x14ac:dyDescent="0.25">
      <c r="A12" s="332"/>
      <c r="B12" s="318"/>
      <c r="C12" s="318"/>
      <c r="D12" s="328"/>
      <c r="E12" s="320"/>
      <c r="F12" s="320">
        <f t="shared" si="1"/>
        <v>0</v>
      </c>
      <c r="G12" s="326"/>
      <c r="H12" s="321">
        <f t="shared" si="0"/>
        <v>0</v>
      </c>
      <c r="I12" s="321">
        <f t="shared" si="2"/>
        <v>0</v>
      </c>
      <c r="J12" s="322"/>
    </row>
    <row r="13" spans="1:10" s="308" customFormat="1" ht="12.75" customHeight="1" x14ac:dyDescent="0.25">
      <c r="A13" s="332"/>
      <c r="B13" s="318"/>
      <c r="C13" s="318"/>
      <c r="D13" s="328"/>
      <c r="E13" s="320"/>
      <c r="F13" s="320">
        <f t="shared" si="1"/>
        <v>0</v>
      </c>
      <c r="G13" s="326"/>
      <c r="H13" s="321">
        <f t="shared" si="0"/>
        <v>0</v>
      </c>
      <c r="I13" s="321">
        <f t="shared" si="2"/>
        <v>0</v>
      </c>
      <c r="J13" s="322"/>
    </row>
    <row r="14" spans="1:10" s="308" customFormat="1" ht="12.75" customHeight="1" x14ac:dyDescent="0.25">
      <c r="A14" s="332"/>
      <c r="B14" s="318"/>
      <c r="C14" s="318"/>
      <c r="D14" s="328"/>
      <c r="E14" s="320"/>
      <c r="F14" s="320">
        <f t="shared" si="1"/>
        <v>0</v>
      </c>
      <c r="G14" s="321"/>
      <c r="H14" s="321">
        <f t="shared" si="0"/>
        <v>0</v>
      </c>
      <c r="I14" s="321">
        <f t="shared" si="2"/>
        <v>0</v>
      </c>
      <c r="J14" s="322"/>
    </row>
    <row r="15" spans="1:10" s="308" customFormat="1" ht="12.75" customHeight="1" x14ac:dyDescent="0.25">
      <c r="A15" s="332"/>
      <c r="B15" s="318"/>
      <c r="C15" s="318"/>
      <c r="D15" s="328"/>
      <c r="E15" s="320"/>
      <c r="F15" s="320">
        <f t="shared" si="1"/>
        <v>0</v>
      </c>
      <c r="G15" s="326"/>
      <c r="H15" s="321">
        <f t="shared" si="0"/>
        <v>0</v>
      </c>
      <c r="I15" s="321">
        <f t="shared" si="2"/>
        <v>0</v>
      </c>
      <c r="J15" s="322"/>
    </row>
    <row r="16" spans="1:10" s="308" customFormat="1" ht="12.75" customHeight="1" x14ac:dyDescent="0.25">
      <c r="A16" s="332"/>
      <c r="B16" s="318"/>
      <c r="C16" s="318"/>
      <c r="D16" s="328"/>
      <c r="E16" s="320"/>
      <c r="F16" s="320">
        <f t="shared" si="1"/>
        <v>0</v>
      </c>
      <c r="G16" s="326"/>
      <c r="H16" s="321">
        <f t="shared" si="0"/>
        <v>0</v>
      </c>
      <c r="I16" s="321">
        <f t="shared" si="2"/>
        <v>0</v>
      </c>
      <c r="J16" s="322"/>
    </row>
    <row r="17" spans="1:10" s="308" customFormat="1" ht="12.75" customHeight="1" x14ac:dyDescent="0.25">
      <c r="A17" s="332"/>
      <c r="B17" s="318"/>
      <c r="C17" s="318"/>
      <c r="D17" s="328"/>
      <c r="E17" s="320"/>
      <c r="F17" s="320">
        <f t="shared" si="1"/>
        <v>0</v>
      </c>
      <c r="G17" s="326"/>
      <c r="H17" s="321">
        <f t="shared" si="0"/>
        <v>0</v>
      </c>
      <c r="I17" s="321">
        <f t="shared" si="2"/>
        <v>0</v>
      </c>
      <c r="J17" s="322"/>
    </row>
    <row r="18" spans="1:10" s="308" customFormat="1" ht="12.75" customHeight="1" x14ac:dyDescent="0.25">
      <c r="A18" s="332"/>
      <c r="B18" s="318"/>
      <c r="C18" s="318"/>
      <c r="D18" s="328"/>
      <c r="E18" s="320"/>
      <c r="F18" s="320">
        <f t="shared" si="1"/>
        <v>0</v>
      </c>
      <c r="G18" s="326"/>
      <c r="H18" s="321">
        <f t="shared" si="0"/>
        <v>0</v>
      </c>
      <c r="I18" s="321">
        <f t="shared" si="2"/>
        <v>0</v>
      </c>
      <c r="J18" s="322"/>
    </row>
    <row r="19" spans="1:10" s="308" customFormat="1" ht="12.75" customHeight="1" x14ac:dyDescent="0.25">
      <c r="A19" s="332"/>
      <c r="B19" s="318"/>
      <c r="C19" s="318"/>
      <c r="D19" s="328"/>
      <c r="E19" s="320"/>
      <c r="F19" s="320">
        <f t="shared" si="1"/>
        <v>0</v>
      </c>
      <c r="G19" s="321"/>
      <c r="H19" s="321">
        <f t="shared" si="0"/>
        <v>0</v>
      </c>
      <c r="I19" s="321">
        <f t="shared" si="2"/>
        <v>0</v>
      </c>
      <c r="J19" s="322"/>
    </row>
    <row r="20" spans="1:10" s="308" customFormat="1" ht="12.75" customHeight="1" x14ac:dyDescent="0.25">
      <c r="A20" s="332"/>
      <c r="B20" s="318"/>
      <c r="C20" s="318"/>
      <c r="D20" s="328"/>
      <c r="E20" s="320"/>
      <c r="F20" s="320">
        <f t="shared" si="1"/>
        <v>0</v>
      </c>
      <c r="G20" s="321"/>
      <c r="H20" s="321">
        <f t="shared" si="0"/>
        <v>0</v>
      </c>
      <c r="I20" s="321">
        <f t="shared" si="2"/>
        <v>0</v>
      </c>
      <c r="J20" s="322"/>
    </row>
    <row r="21" spans="1:10" s="308" customFormat="1" ht="12.75" customHeight="1" x14ac:dyDescent="0.25">
      <c r="A21" s="332"/>
      <c r="B21" s="318"/>
      <c r="C21" s="318"/>
      <c r="D21" s="363"/>
      <c r="E21" s="320"/>
      <c r="F21" s="320">
        <f t="shared" si="1"/>
        <v>0</v>
      </c>
      <c r="G21" s="321"/>
      <c r="H21" s="321">
        <f t="shared" si="0"/>
        <v>0</v>
      </c>
      <c r="I21" s="321">
        <f t="shared" si="2"/>
        <v>0</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0</v>
      </c>
      <c r="F23" s="184"/>
      <c r="G23" s="184">
        <f>SUM(G9:G22)</f>
        <v>0</v>
      </c>
      <c r="H23" s="184"/>
      <c r="I23" s="184">
        <f>SUM(E23-G23)</f>
        <v>0</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01C7-5DDC-4404-B194-AACA244EA9E2}">
  <sheetPr>
    <pageSetUpPr fitToPage="1"/>
  </sheetPr>
  <dimension ref="A1:I41"/>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2.1406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907</v>
      </c>
      <c r="B4" s="134"/>
      <c r="C4" s="135"/>
      <c r="D4" s="136" t="s">
        <v>908</v>
      </c>
      <c r="E4" s="132"/>
      <c r="F4" s="132"/>
      <c r="G4" s="132"/>
      <c r="H4" s="133"/>
      <c r="I4" s="133"/>
    </row>
    <row r="5" spans="1:9" ht="15.75" x14ac:dyDescent="0.25">
      <c r="A5" s="137" t="s">
        <v>147</v>
      </c>
      <c r="B5" s="138"/>
      <c r="C5" s="139"/>
      <c r="D5" s="140" t="s">
        <v>894</v>
      </c>
      <c r="E5" s="141"/>
      <c r="F5" s="142"/>
      <c r="G5" s="142"/>
      <c r="H5" s="138"/>
      <c r="I5" s="133"/>
    </row>
    <row r="6" spans="1:9" ht="15.75" x14ac:dyDescent="0.25">
      <c r="A6" s="93" t="str">
        <f>'RECAP #9279.50'!B6</f>
        <v>Project Manager - Jennifer K.</v>
      </c>
      <c r="B6" s="93"/>
      <c r="C6" s="143"/>
      <c r="D6" s="144" t="s">
        <v>877</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909</v>
      </c>
      <c r="B9" s="318">
        <v>46196</v>
      </c>
      <c r="C9" s="324" t="s">
        <v>146</v>
      </c>
      <c r="D9" s="186">
        <v>645267</v>
      </c>
      <c r="E9" s="320">
        <f>D9</f>
        <v>645267</v>
      </c>
      <c r="F9" s="321"/>
      <c r="G9" s="321"/>
      <c r="H9" s="321">
        <f>E9</f>
        <v>645267</v>
      </c>
      <c r="I9" s="322"/>
    </row>
    <row r="10" spans="1:9" s="308" customFormat="1" ht="12.75" customHeight="1" x14ac:dyDescent="0.25">
      <c r="A10" s="317"/>
      <c r="B10" s="323"/>
      <c r="C10" s="324"/>
      <c r="D10" s="320"/>
      <c r="E10" s="320">
        <f t="shared" ref="E10:E21" si="0">E9+D10</f>
        <v>645267</v>
      </c>
      <c r="F10" s="326"/>
      <c r="G10" s="321">
        <f t="shared" ref="G10:G21" si="1">G9+F10</f>
        <v>0</v>
      </c>
      <c r="H10" s="321">
        <f t="shared" ref="H10:H21" si="2">H9-F10+D10</f>
        <v>645267</v>
      </c>
      <c r="I10" s="322"/>
    </row>
    <row r="11" spans="1:9" s="308" customFormat="1" ht="12.75" customHeight="1" x14ac:dyDescent="0.25">
      <c r="A11" s="317"/>
      <c r="B11" s="318"/>
      <c r="C11" s="324"/>
      <c r="D11" s="320"/>
      <c r="E11" s="320">
        <f t="shared" si="0"/>
        <v>645267</v>
      </c>
      <c r="F11" s="326"/>
      <c r="G11" s="321">
        <f t="shared" si="1"/>
        <v>0</v>
      </c>
      <c r="H11" s="321">
        <f t="shared" si="2"/>
        <v>645267</v>
      </c>
      <c r="I11" s="322"/>
    </row>
    <row r="12" spans="1:9" s="308" customFormat="1" ht="12.75" customHeight="1" x14ac:dyDescent="0.25">
      <c r="A12" s="317"/>
      <c r="B12" s="318"/>
      <c r="C12" s="324"/>
      <c r="D12" s="320"/>
      <c r="E12" s="320">
        <f t="shared" si="0"/>
        <v>645267</v>
      </c>
      <c r="F12" s="326"/>
      <c r="G12" s="321">
        <f t="shared" si="1"/>
        <v>0</v>
      </c>
      <c r="H12" s="321">
        <f t="shared" si="2"/>
        <v>645267</v>
      </c>
      <c r="I12" s="322"/>
    </row>
    <row r="13" spans="1:9" s="308" customFormat="1" ht="12.75" customHeight="1" x14ac:dyDescent="0.25">
      <c r="A13" s="317"/>
      <c r="B13" s="318"/>
      <c r="C13" s="324"/>
      <c r="D13" s="320"/>
      <c r="E13" s="320">
        <f t="shared" si="0"/>
        <v>645267</v>
      </c>
      <c r="F13" s="326"/>
      <c r="G13" s="321">
        <f t="shared" si="1"/>
        <v>0</v>
      </c>
      <c r="H13" s="321">
        <f t="shared" si="2"/>
        <v>645267</v>
      </c>
      <c r="I13" s="322"/>
    </row>
    <row r="14" spans="1:9" s="308" customFormat="1" ht="12.75" customHeight="1" x14ac:dyDescent="0.25">
      <c r="A14" s="317"/>
      <c r="B14" s="318"/>
      <c r="C14" s="324"/>
      <c r="D14" s="320"/>
      <c r="E14" s="320">
        <f t="shared" si="0"/>
        <v>645267</v>
      </c>
      <c r="F14" s="321"/>
      <c r="G14" s="321">
        <f t="shared" si="1"/>
        <v>0</v>
      </c>
      <c r="H14" s="321">
        <f t="shared" si="2"/>
        <v>645267</v>
      </c>
      <c r="I14" s="322"/>
    </row>
    <row r="15" spans="1:9" s="308" customFormat="1" ht="12.75" customHeight="1" x14ac:dyDescent="0.25">
      <c r="A15" s="317"/>
      <c r="B15" s="318"/>
      <c r="C15" s="324"/>
      <c r="D15" s="320"/>
      <c r="E15" s="320">
        <f t="shared" si="0"/>
        <v>645267</v>
      </c>
      <c r="F15" s="326"/>
      <c r="G15" s="321">
        <f t="shared" si="1"/>
        <v>0</v>
      </c>
      <c r="H15" s="321">
        <f t="shared" si="2"/>
        <v>645267</v>
      </c>
      <c r="I15" s="322"/>
    </row>
    <row r="16" spans="1:9" s="308" customFormat="1" ht="12.75" customHeight="1" x14ac:dyDescent="0.25">
      <c r="A16" s="317"/>
      <c r="B16" s="318"/>
      <c r="C16" s="324"/>
      <c r="D16" s="320"/>
      <c r="E16" s="320">
        <f t="shared" si="0"/>
        <v>645267</v>
      </c>
      <c r="F16" s="326"/>
      <c r="G16" s="321">
        <f t="shared" si="1"/>
        <v>0</v>
      </c>
      <c r="H16" s="321">
        <f t="shared" si="2"/>
        <v>645267</v>
      </c>
      <c r="I16" s="322"/>
    </row>
    <row r="17" spans="1:9" s="308" customFormat="1" ht="12.75" customHeight="1" x14ac:dyDescent="0.25">
      <c r="A17" s="317"/>
      <c r="B17" s="318"/>
      <c r="C17" s="324"/>
      <c r="D17" s="320"/>
      <c r="E17" s="320">
        <f t="shared" si="0"/>
        <v>645267</v>
      </c>
      <c r="F17" s="326"/>
      <c r="G17" s="321">
        <f t="shared" si="1"/>
        <v>0</v>
      </c>
      <c r="H17" s="321">
        <f t="shared" si="2"/>
        <v>645267</v>
      </c>
      <c r="I17" s="322"/>
    </row>
    <row r="18" spans="1:9" s="308" customFormat="1" ht="12.75" customHeight="1" x14ac:dyDescent="0.25">
      <c r="A18" s="317"/>
      <c r="B18" s="318"/>
      <c r="C18" s="324"/>
      <c r="D18" s="320"/>
      <c r="E18" s="320">
        <f t="shared" si="0"/>
        <v>645267</v>
      </c>
      <c r="F18" s="326"/>
      <c r="G18" s="321">
        <f t="shared" si="1"/>
        <v>0</v>
      </c>
      <c r="H18" s="321">
        <f t="shared" si="2"/>
        <v>645267</v>
      </c>
      <c r="I18" s="322"/>
    </row>
    <row r="19" spans="1:9" s="308" customFormat="1" ht="12.75" customHeight="1" x14ac:dyDescent="0.25">
      <c r="A19" s="317"/>
      <c r="B19" s="318"/>
      <c r="C19" s="324"/>
      <c r="D19" s="320"/>
      <c r="E19" s="320">
        <f t="shared" si="0"/>
        <v>645267</v>
      </c>
      <c r="F19" s="321"/>
      <c r="G19" s="321">
        <f t="shared" si="1"/>
        <v>0</v>
      </c>
      <c r="H19" s="321">
        <f t="shared" si="2"/>
        <v>645267</v>
      </c>
      <c r="I19" s="322"/>
    </row>
    <row r="20" spans="1:9" s="308" customFormat="1" ht="12.75" customHeight="1" x14ac:dyDescent="0.25">
      <c r="A20" s="317"/>
      <c r="B20" s="318"/>
      <c r="C20" s="324"/>
      <c r="D20" s="320"/>
      <c r="E20" s="320">
        <f t="shared" si="0"/>
        <v>645267</v>
      </c>
      <c r="F20" s="321"/>
      <c r="G20" s="321">
        <f t="shared" si="1"/>
        <v>0</v>
      </c>
      <c r="H20" s="321">
        <f t="shared" si="2"/>
        <v>645267</v>
      </c>
      <c r="I20" s="322"/>
    </row>
    <row r="21" spans="1:9" s="308" customFormat="1" ht="12.75" customHeight="1" x14ac:dyDescent="0.25">
      <c r="A21" s="317"/>
      <c r="B21" s="318"/>
      <c r="C21" s="327"/>
      <c r="D21" s="320"/>
      <c r="E21" s="320">
        <f t="shared" si="0"/>
        <v>645267</v>
      </c>
      <c r="F21" s="321"/>
      <c r="G21" s="321">
        <f t="shared" si="1"/>
        <v>0</v>
      </c>
      <c r="H21" s="321">
        <f t="shared" si="2"/>
        <v>645267</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645267</v>
      </c>
      <c r="E23" s="184"/>
      <c r="F23" s="184">
        <f>SUM(F9:F22)</f>
        <v>0</v>
      </c>
      <c r="G23" s="184"/>
      <c r="H23" s="184">
        <f>D23-F23</f>
        <v>645267</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c r="C26" s="328"/>
      <c r="D26" s="321"/>
      <c r="E26" s="321"/>
      <c r="F26" s="321"/>
      <c r="G26" s="321"/>
      <c r="H26" s="321"/>
    </row>
    <row r="27" spans="1:9" s="308" customFormat="1" ht="12.75" customHeight="1" x14ac:dyDescent="0.25">
      <c r="C27" s="328"/>
      <c r="D27" s="321"/>
      <c r="E27" s="321"/>
      <c r="F27" s="321"/>
      <c r="G27" s="321"/>
      <c r="H27" s="321"/>
    </row>
    <row r="28" spans="1:9" s="308" customFormat="1" ht="12.75" customHeight="1" x14ac:dyDescent="0.25">
      <c r="C28" s="328"/>
      <c r="D28" s="321"/>
      <c r="E28" s="321"/>
      <c r="F28" s="321"/>
      <c r="G28" s="321"/>
      <c r="H28" s="321"/>
    </row>
    <row r="29" spans="1:9" s="308" customFormat="1" ht="12.75" customHeight="1" x14ac:dyDescent="0.25">
      <c r="C29" s="359"/>
      <c r="D29" s="411"/>
      <c r="E29" s="326"/>
      <c r="F29" s="411"/>
      <c r="G29" s="326"/>
      <c r="H29" s="325"/>
    </row>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sheetData>
  <conditionalFormatting sqref="I9:I24">
    <cfRule type="cellIs" dxfId="34"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F0DF-EE4A-436C-8A3F-6269432DF962}">
  <sheetPr codeName="Sheet127">
    <tabColor indexed="30"/>
    <pageSetUpPr fitToPage="1"/>
  </sheetPr>
  <dimension ref="A1:H23"/>
  <sheetViews>
    <sheetView topLeftCell="A4"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'#XXXX.XX PM TIME'!A1</f>
        <v>Project Name</v>
      </c>
      <c r="B1" s="86"/>
      <c r="C1" s="86"/>
      <c r="D1" s="86"/>
      <c r="E1" s="6"/>
      <c r="F1" s="6"/>
      <c r="G1" s="6"/>
      <c r="H1" s="132"/>
    </row>
    <row r="2" spans="1:8" ht="15.75" x14ac:dyDescent="0.25">
      <c r="A2" s="88" t="str">
        <f>'RECAP #XXXX.XX'!B2</f>
        <v>Project # XXXX.XX</v>
      </c>
      <c r="B2" s="87"/>
      <c r="C2" s="87"/>
      <c r="D2" s="87"/>
      <c r="E2" s="6"/>
      <c r="F2" s="6"/>
      <c r="G2" s="6"/>
      <c r="H2" s="132"/>
    </row>
    <row r="3" spans="1:8" ht="15.75" x14ac:dyDescent="0.25">
      <c r="A3" s="89" t="str">
        <f>'RECAP #XXXX.XX'!B3</f>
        <v>Program code XXXXXX</v>
      </c>
      <c r="B3" s="87"/>
      <c r="C3" s="87"/>
      <c r="D3" s="87"/>
      <c r="E3" s="90" t="str">
        <f>'RECAP #XXXX.XX'!E3</f>
        <v>Major Program XXXX</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#XXXX.XX'!B6</f>
        <v>Project Manager - XXXXXX</v>
      </c>
      <c r="B6" s="93"/>
      <c r="C6" s="93"/>
      <c r="D6" s="93"/>
      <c r="E6" s="90" t="s">
        <v>286</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0A373-DA1E-4AD8-81C0-14A416CBC09B}">
  <sheetPr>
    <pageSetUpPr fitToPage="1"/>
  </sheetPr>
  <dimension ref="A1:I44"/>
  <sheetViews>
    <sheetView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0.8554687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911</v>
      </c>
      <c r="B4" s="134"/>
      <c r="C4" s="135"/>
      <c r="D4" s="136" t="s">
        <v>460</v>
      </c>
      <c r="E4" s="132"/>
      <c r="F4" s="132"/>
      <c r="G4" s="132"/>
      <c r="H4" s="133"/>
      <c r="I4" s="133"/>
    </row>
    <row r="5" spans="1:9" ht="15.75" x14ac:dyDescent="0.25">
      <c r="A5" s="137" t="s">
        <v>147</v>
      </c>
      <c r="B5" s="138"/>
      <c r="C5" s="139"/>
      <c r="D5" s="140" t="s">
        <v>461</v>
      </c>
      <c r="E5" s="141"/>
      <c r="F5" s="142"/>
      <c r="G5" s="142"/>
      <c r="H5" s="138"/>
      <c r="I5" s="133"/>
    </row>
    <row r="6" spans="1:9" ht="15.75" x14ac:dyDescent="0.25">
      <c r="A6" s="93" t="str">
        <f>'RECAP #9279.50'!B6</f>
        <v>Project Manager - Jennifer K.</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910</v>
      </c>
      <c r="B9" s="318">
        <v>46196</v>
      </c>
      <c r="C9" s="324" t="s">
        <v>146</v>
      </c>
      <c r="D9" s="186">
        <v>901304.13</v>
      </c>
      <c r="E9" s="320">
        <f>D9</f>
        <v>901304.13</v>
      </c>
      <c r="F9" s="321"/>
      <c r="G9" s="321"/>
      <c r="H9" s="321">
        <f>E9</f>
        <v>901304.13</v>
      </c>
      <c r="I9" s="322"/>
    </row>
    <row r="10" spans="1:9" s="308" customFormat="1" ht="12.75" customHeight="1" x14ac:dyDescent="0.25">
      <c r="A10" s="317" t="s">
        <v>1034</v>
      </c>
      <c r="B10" s="323">
        <v>46219</v>
      </c>
      <c r="C10" s="324" t="s">
        <v>1035</v>
      </c>
      <c r="D10" s="320"/>
      <c r="E10" s="320">
        <f t="shared" ref="E10:E21" si="0">E9+D10</f>
        <v>901304.13</v>
      </c>
      <c r="F10" s="325">
        <v>2928.66</v>
      </c>
      <c r="G10" s="321">
        <f t="shared" ref="G10:G21" si="1">G9+F10</f>
        <v>2928.66</v>
      </c>
      <c r="H10" s="321">
        <f t="shared" ref="H10:H21" si="2">H9-F10+D10</f>
        <v>898375.47</v>
      </c>
      <c r="I10" s="322"/>
    </row>
    <row r="11" spans="1:9" s="308" customFormat="1" ht="12.75" customHeight="1" x14ac:dyDescent="0.25">
      <c r="A11" s="382"/>
      <c r="B11" s="318"/>
      <c r="C11" s="324"/>
      <c r="D11" s="320"/>
      <c r="E11" s="320">
        <f t="shared" si="0"/>
        <v>901304.13</v>
      </c>
      <c r="F11" s="326"/>
      <c r="G11" s="321">
        <f t="shared" si="1"/>
        <v>2928.66</v>
      </c>
      <c r="H11" s="321">
        <f t="shared" si="2"/>
        <v>898375.47</v>
      </c>
      <c r="I11" s="322"/>
    </row>
    <row r="12" spans="1:9" s="308" customFormat="1" ht="12.75" customHeight="1" x14ac:dyDescent="0.25">
      <c r="A12" s="317"/>
      <c r="B12" s="318"/>
      <c r="C12" s="324"/>
      <c r="D12" s="320"/>
      <c r="E12" s="320">
        <f t="shared" si="0"/>
        <v>901304.13</v>
      </c>
      <c r="F12" s="326"/>
      <c r="G12" s="321">
        <f t="shared" si="1"/>
        <v>2928.66</v>
      </c>
      <c r="H12" s="321">
        <f t="shared" si="2"/>
        <v>898375.47</v>
      </c>
      <c r="I12" s="322"/>
    </row>
    <row r="13" spans="1:9" s="308" customFormat="1" ht="12.75" customHeight="1" x14ac:dyDescent="0.25">
      <c r="A13" s="317"/>
      <c r="B13" s="318"/>
      <c r="C13" s="324"/>
      <c r="D13" s="320"/>
      <c r="E13" s="320">
        <f t="shared" si="0"/>
        <v>901304.13</v>
      </c>
      <c r="F13" s="326"/>
      <c r="G13" s="321">
        <f t="shared" si="1"/>
        <v>2928.66</v>
      </c>
      <c r="H13" s="321">
        <f t="shared" si="2"/>
        <v>898375.47</v>
      </c>
      <c r="I13" s="322"/>
    </row>
    <row r="14" spans="1:9" s="308" customFormat="1" ht="12.75" customHeight="1" x14ac:dyDescent="0.25">
      <c r="A14" s="317"/>
      <c r="B14" s="318"/>
      <c r="C14" s="324"/>
      <c r="D14" s="320"/>
      <c r="E14" s="320">
        <f t="shared" si="0"/>
        <v>901304.13</v>
      </c>
      <c r="F14" s="321"/>
      <c r="G14" s="321">
        <f t="shared" si="1"/>
        <v>2928.66</v>
      </c>
      <c r="H14" s="321">
        <f t="shared" si="2"/>
        <v>898375.47</v>
      </c>
      <c r="I14" s="322"/>
    </row>
    <row r="15" spans="1:9" s="308" customFormat="1" ht="12.75" customHeight="1" x14ac:dyDescent="0.25">
      <c r="A15" s="317"/>
      <c r="B15" s="318"/>
      <c r="C15" s="324"/>
      <c r="D15" s="320"/>
      <c r="E15" s="320">
        <f t="shared" si="0"/>
        <v>901304.13</v>
      </c>
      <c r="F15" s="326"/>
      <c r="G15" s="321">
        <f t="shared" si="1"/>
        <v>2928.66</v>
      </c>
      <c r="H15" s="321">
        <f t="shared" si="2"/>
        <v>898375.47</v>
      </c>
      <c r="I15" s="322"/>
    </row>
    <row r="16" spans="1:9" s="308" customFormat="1" ht="12.75" customHeight="1" x14ac:dyDescent="0.25">
      <c r="A16" s="317"/>
      <c r="B16" s="318"/>
      <c r="C16" s="324"/>
      <c r="D16" s="320"/>
      <c r="E16" s="320">
        <f t="shared" si="0"/>
        <v>901304.13</v>
      </c>
      <c r="F16" s="326"/>
      <c r="G16" s="321">
        <f t="shared" si="1"/>
        <v>2928.66</v>
      </c>
      <c r="H16" s="321">
        <f t="shared" si="2"/>
        <v>898375.47</v>
      </c>
      <c r="I16" s="322"/>
    </row>
    <row r="17" spans="1:9" s="308" customFormat="1" ht="12.75" customHeight="1" x14ac:dyDescent="0.25">
      <c r="A17" s="317"/>
      <c r="B17" s="318"/>
      <c r="C17" s="324"/>
      <c r="D17" s="320"/>
      <c r="E17" s="320">
        <f t="shared" si="0"/>
        <v>901304.13</v>
      </c>
      <c r="F17" s="326"/>
      <c r="G17" s="321">
        <f t="shared" si="1"/>
        <v>2928.66</v>
      </c>
      <c r="H17" s="321">
        <f t="shared" si="2"/>
        <v>898375.47</v>
      </c>
      <c r="I17" s="322"/>
    </row>
    <row r="18" spans="1:9" s="308" customFormat="1" ht="12.75" customHeight="1" x14ac:dyDescent="0.25">
      <c r="A18" s="317"/>
      <c r="B18" s="318"/>
      <c r="C18" s="324"/>
      <c r="D18" s="320"/>
      <c r="E18" s="320">
        <f t="shared" si="0"/>
        <v>901304.13</v>
      </c>
      <c r="F18" s="326"/>
      <c r="G18" s="321">
        <f t="shared" si="1"/>
        <v>2928.66</v>
      </c>
      <c r="H18" s="321">
        <f t="shared" si="2"/>
        <v>898375.47</v>
      </c>
      <c r="I18" s="322"/>
    </row>
    <row r="19" spans="1:9" s="308" customFormat="1" ht="12.75" customHeight="1" x14ac:dyDescent="0.25">
      <c r="A19" s="317"/>
      <c r="B19" s="318"/>
      <c r="C19" s="324"/>
      <c r="D19" s="320"/>
      <c r="E19" s="320">
        <f t="shared" si="0"/>
        <v>901304.13</v>
      </c>
      <c r="F19" s="321"/>
      <c r="G19" s="321">
        <f t="shared" si="1"/>
        <v>2928.66</v>
      </c>
      <c r="H19" s="321">
        <f t="shared" si="2"/>
        <v>898375.47</v>
      </c>
      <c r="I19" s="322"/>
    </row>
    <row r="20" spans="1:9" s="308" customFormat="1" ht="12.75" customHeight="1" x14ac:dyDescent="0.25">
      <c r="A20" s="317"/>
      <c r="B20" s="318"/>
      <c r="C20" s="324"/>
      <c r="D20" s="320"/>
      <c r="E20" s="320">
        <f t="shared" si="0"/>
        <v>901304.13</v>
      </c>
      <c r="F20" s="321"/>
      <c r="G20" s="321">
        <f t="shared" si="1"/>
        <v>2928.66</v>
      </c>
      <c r="H20" s="321">
        <f t="shared" si="2"/>
        <v>898375.47</v>
      </c>
      <c r="I20" s="322"/>
    </row>
    <row r="21" spans="1:9" s="308" customFormat="1" ht="12.75" customHeight="1" x14ac:dyDescent="0.25">
      <c r="A21" s="317"/>
      <c r="B21" s="318"/>
      <c r="C21" s="327"/>
      <c r="D21" s="320"/>
      <c r="E21" s="320">
        <f t="shared" si="0"/>
        <v>901304.13</v>
      </c>
      <c r="F21" s="321"/>
      <c r="G21" s="321">
        <f t="shared" si="1"/>
        <v>2928.66</v>
      </c>
      <c r="H21" s="321">
        <f t="shared" si="2"/>
        <v>898375.47</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901304.13</v>
      </c>
      <c r="E23" s="184"/>
      <c r="F23" s="184">
        <f>SUM(F9:F22)</f>
        <v>2928.66</v>
      </c>
      <c r="G23" s="184"/>
      <c r="H23" s="184">
        <f>D23-F23</f>
        <v>898375.47</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c r="C26" s="472" t="s">
        <v>912</v>
      </c>
      <c r="D26" s="321">
        <v>602616.25</v>
      </c>
      <c r="E26" s="321"/>
      <c r="F26" s="321">
        <v>2770.7</v>
      </c>
      <c r="G26" s="321"/>
      <c r="H26" s="321">
        <f>D26-F26</f>
        <v>599845.55000000005</v>
      </c>
    </row>
    <row r="27" spans="1:9" s="308" customFormat="1" ht="12.75" customHeight="1" x14ac:dyDescent="0.25">
      <c r="C27" s="472" t="s">
        <v>253</v>
      </c>
      <c r="D27" s="321">
        <v>5988.5</v>
      </c>
      <c r="E27" s="321"/>
      <c r="F27" s="321"/>
      <c r="G27" s="321"/>
      <c r="H27" s="321">
        <f t="shared" ref="H27:H30" si="3">D27-F27</f>
        <v>5988.5</v>
      </c>
    </row>
    <row r="28" spans="1:9" s="308" customFormat="1" ht="12.75" customHeight="1" x14ac:dyDescent="0.25">
      <c r="C28" s="472" t="s">
        <v>913</v>
      </c>
      <c r="D28" s="321">
        <v>132088.79999999999</v>
      </c>
      <c r="E28" s="321"/>
      <c r="F28" s="321"/>
      <c r="G28" s="321"/>
      <c r="H28" s="321">
        <f t="shared" si="3"/>
        <v>132088.79999999999</v>
      </c>
    </row>
    <row r="29" spans="1:9" s="308" customFormat="1" ht="12.75" customHeight="1" x14ac:dyDescent="0.25">
      <c r="C29" s="328" t="s">
        <v>914</v>
      </c>
      <c r="D29" s="321">
        <v>4298.58</v>
      </c>
      <c r="E29" s="321"/>
      <c r="F29" s="321">
        <v>4.2300000000000004</v>
      </c>
      <c r="G29" s="321"/>
      <c r="H29" s="321">
        <f t="shared" si="3"/>
        <v>4294.3500000000004</v>
      </c>
    </row>
    <row r="30" spans="1:9" s="308" customFormat="1" ht="12.75" customHeight="1" x14ac:dyDescent="0.25">
      <c r="C30" s="328" t="s">
        <v>915</v>
      </c>
      <c r="D30" s="321">
        <v>156312</v>
      </c>
      <c r="E30" s="321"/>
      <c r="F30" s="321">
        <v>153.72999999999999</v>
      </c>
      <c r="G30" s="321"/>
      <c r="H30" s="321">
        <f t="shared" si="3"/>
        <v>156158.26999999999</v>
      </c>
    </row>
    <row r="31" spans="1:9" s="308" customFormat="1" ht="12.75" customHeight="1" thickBot="1" x14ac:dyDescent="0.3">
      <c r="C31" s="359" t="s">
        <v>157</v>
      </c>
      <c r="D31" s="360">
        <f>SUM(D25:D30)</f>
        <v>901304.13</v>
      </c>
      <c r="E31" s="326"/>
      <c r="F31" s="360">
        <f>SUM(F25:F30)</f>
        <v>2928.66</v>
      </c>
      <c r="G31" s="326"/>
      <c r="H31" s="360">
        <f>SUM(H25:H30)</f>
        <v>898375.47000000009</v>
      </c>
    </row>
    <row r="32" spans="1:9" s="308" customFormat="1" ht="12.75" customHeight="1" thickTop="1" x14ac:dyDescent="0.25">
      <c r="C32" s="359"/>
      <c r="D32" s="411"/>
      <c r="E32" s="326"/>
      <c r="F32" s="411"/>
      <c r="G32" s="326"/>
      <c r="H32" s="411"/>
    </row>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1A594-E5B0-4C4D-8039-AE57EE5C0CB9}">
  <sheetPr>
    <pageSetUpPr fitToPage="1"/>
  </sheetPr>
  <dimension ref="A1:I37"/>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3.710937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918</v>
      </c>
      <c r="B4" s="134"/>
      <c r="C4" s="135"/>
      <c r="D4" s="136" t="s">
        <v>919</v>
      </c>
      <c r="E4" s="132"/>
      <c r="F4" s="132"/>
      <c r="G4" s="132"/>
      <c r="H4" s="133"/>
      <c r="I4" s="133"/>
    </row>
    <row r="5" spans="1:9" ht="15.75" x14ac:dyDescent="0.25">
      <c r="A5" s="137" t="s">
        <v>147</v>
      </c>
      <c r="B5" s="138"/>
      <c r="C5" s="139"/>
      <c r="D5" s="140" t="s">
        <v>894</v>
      </c>
      <c r="E5" s="141"/>
      <c r="F5" s="142"/>
      <c r="G5" s="142"/>
      <c r="H5" s="138"/>
      <c r="I5" s="133"/>
    </row>
    <row r="6" spans="1:9" ht="15.75" x14ac:dyDescent="0.25">
      <c r="A6" s="93" t="str">
        <f>'RECAP #9279.50'!B6</f>
        <v>Project Manager - Jennifer K.</v>
      </c>
      <c r="B6" s="93"/>
      <c r="C6" s="143"/>
      <c r="D6" s="144" t="s">
        <v>877</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920</v>
      </c>
      <c r="B9" s="318">
        <v>46197</v>
      </c>
      <c r="C9" s="324" t="s">
        <v>146</v>
      </c>
      <c r="D9" s="186">
        <v>1725400</v>
      </c>
      <c r="E9" s="320">
        <f>D9</f>
        <v>1725400</v>
      </c>
      <c r="F9" s="321"/>
      <c r="G9" s="321"/>
      <c r="H9" s="321">
        <f>E9</f>
        <v>1725400</v>
      </c>
      <c r="I9" s="322"/>
    </row>
    <row r="10" spans="1:9" s="308" customFormat="1" ht="12.75" customHeight="1" x14ac:dyDescent="0.25">
      <c r="A10" s="317"/>
      <c r="B10" s="323"/>
      <c r="C10" s="324"/>
      <c r="D10" s="320"/>
      <c r="E10" s="320">
        <f t="shared" ref="E10:E21" si="0">E9+D10</f>
        <v>1725400</v>
      </c>
      <c r="F10" s="326"/>
      <c r="G10" s="321">
        <f t="shared" ref="G10:G21" si="1">G9+F10</f>
        <v>0</v>
      </c>
      <c r="H10" s="321">
        <f t="shared" ref="H10:H21" si="2">H9-F10+D10</f>
        <v>1725400</v>
      </c>
      <c r="I10" s="322"/>
    </row>
    <row r="11" spans="1:9" s="308" customFormat="1" ht="12.75" customHeight="1" x14ac:dyDescent="0.25">
      <c r="A11" s="317"/>
      <c r="B11" s="318"/>
      <c r="C11" s="324"/>
      <c r="D11" s="320"/>
      <c r="E11" s="320">
        <f t="shared" si="0"/>
        <v>1725400</v>
      </c>
      <c r="F11" s="326"/>
      <c r="G11" s="321">
        <f t="shared" si="1"/>
        <v>0</v>
      </c>
      <c r="H11" s="321">
        <f t="shared" si="2"/>
        <v>1725400</v>
      </c>
      <c r="I11" s="322"/>
    </row>
    <row r="12" spans="1:9" s="308" customFormat="1" ht="12.75" customHeight="1" x14ac:dyDescent="0.25">
      <c r="A12" s="317"/>
      <c r="B12" s="318"/>
      <c r="C12" s="324"/>
      <c r="D12" s="320"/>
      <c r="E12" s="320">
        <f t="shared" si="0"/>
        <v>1725400</v>
      </c>
      <c r="F12" s="326"/>
      <c r="G12" s="321">
        <f t="shared" si="1"/>
        <v>0</v>
      </c>
      <c r="H12" s="321">
        <f t="shared" si="2"/>
        <v>1725400</v>
      </c>
      <c r="I12" s="322"/>
    </row>
    <row r="13" spans="1:9" s="308" customFormat="1" ht="12.75" customHeight="1" x14ac:dyDescent="0.25">
      <c r="A13" s="317"/>
      <c r="B13" s="318"/>
      <c r="C13" s="324"/>
      <c r="D13" s="320"/>
      <c r="E13" s="320">
        <f t="shared" si="0"/>
        <v>1725400</v>
      </c>
      <c r="F13" s="326"/>
      <c r="G13" s="321">
        <f t="shared" si="1"/>
        <v>0</v>
      </c>
      <c r="H13" s="321">
        <f t="shared" si="2"/>
        <v>1725400</v>
      </c>
      <c r="I13" s="322"/>
    </row>
    <row r="14" spans="1:9" s="308" customFormat="1" ht="12.75" customHeight="1" x14ac:dyDescent="0.25">
      <c r="A14" s="317"/>
      <c r="B14" s="318"/>
      <c r="C14" s="324"/>
      <c r="D14" s="320"/>
      <c r="E14" s="320">
        <f t="shared" si="0"/>
        <v>1725400</v>
      </c>
      <c r="F14" s="321"/>
      <c r="G14" s="321">
        <f t="shared" si="1"/>
        <v>0</v>
      </c>
      <c r="H14" s="321">
        <f t="shared" si="2"/>
        <v>1725400</v>
      </c>
      <c r="I14" s="322"/>
    </row>
    <row r="15" spans="1:9" s="308" customFormat="1" ht="12.75" customHeight="1" x14ac:dyDescent="0.25">
      <c r="A15" s="317"/>
      <c r="B15" s="318"/>
      <c r="C15" s="324"/>
      <c r="D15" s="320"/>
      <c r="E15" s="320">
        <f t="shared" si="0"/>
        <v>1725400</v>
      </c>
      <c r="F15" s="326"/>
      <c r="G15" s="321">
        <f t="shared" si="1"/>
        <v>0</v>
      </c>
      <c r="H15" s="321">
        <f t="shared" si="2"/>
        <v>1725400</v>
      </c>
      <c r="I15" s="322"/>
    </row>
    <row r="16" spans="1:9" s="308" customFormat="1" ht="12.75" customHeight="1" x14ac:dyDescent="0.25">
      <c r="A16" s="317"/>
      <c r="B16" s="318"/>
      <c r="C16" s="324"/>
      <c r="D16" s="320"/>
      <c r="E16" s="320">
        <f t="shared" si="0"/>
        <v>1725400</v>
      </c>
      <c r="F16" s="326"/>
      <c r="G16" s="321">
        <f t="shared" si="1"/>
        <v>0</v>
      </c>
      <c r="H16" s="321">
        <f t="shared" si="2"/>
        <v>1725400</v>
      </c>
      <c r="I16" s="322"/>
    </row>
    <row r="17" spans="1:9" s="308" customFormat="1" ht="12.75" customHeight="1" x14ac:dyDescent="0.25">
      <c r="A17" s="317"/>
      <c r="B17" s="318"/>
      <c r="C17" s="324"/>
      <c r="D17" s="320"/>
      <c r="E17" s="320">
        <f t="shared" si="0"/>
        <v>1725400</v>
      </c>
      <c r="F17" s="326"/>
      <c r="G17" s="321">
        <f t="shared" si="1"/>
        <v>0</v>
      </c>
      <c r="H17" s="321">
        <f t="shared" si="2"/>
        <v>1725400</v>
      </c>
      <c r="I17" s="322"/>
    </row>
    <row r="18" spans="1:9" s="308" customFormat="1" ht="12.75" customHeight="1" x14ac:dyDescent="0.25">
      <c r="A18" s="317"/>
      <c r="B18" s="318"/>
      <c r="C18" s="324"/>
      <c r="D18" s="320"/>
      <c r="E18" s="320">
        <f t="shared" si="0"/>
        <v>1725400</v>
      </c>
      <c r="F18" s="326"/>
      <c r="G18" s="321">
        <f t="shared" si="1"/>
        <v>0</v>
      </c>
      <c r="H18" s="321">
        <f t="shared" si="2"/>
        <v>1725400</v>
      </c>
      <c r="I18" s="322"/>
    </row>
    <row r="19" spans="1:9" s="308" customFormat="1" ht="12.75" customHeight="1" x14ac:dyDescent="0.25">
      <c r="A19" s="317"/>
      <c r="B19" s="318"/>
      <c r="C19" s="324"/>
      <c r="D19" s="320"/>
      <c r="E19" s="320">
        <f t="shared" si="0"/>
        <v>1725400</v>
      </c>
      <c r="F19" s="321"/>
      <c r="G19" s="321">
        <f t="shared" si="1"/>
        <v>0</v>
      </c>
      <c r="H19" s="321">
        <f t="shared" si="2"/>
        <v>1725400</v>
      </c>
      <c r="I19" s="322"/>
    </row>
    <row r="20" spans="1:9" s="308" customFormat="1" ht="12.75" customHeight="1" x14ac:dyDescent="0.25">
      <c r="A20" s="317"/>
      <c r="B20" s="318"/>
      <c r="C20" s="324"/>
      <c r="D20" s="320"/>
      <c r="E20" s="320">
        <f t="shared" si="0"/>
        <v>1725400</v>
      </c>
      <c r="F20" s="321"/>
      <c r="G20" s="321">
        <f t="shared" si="1"/>
        <v>0</v>
      </c>
      <c r="H20" s="321">
        <f t="shared" si="2"/>
        <v>1725400</v>
      </c>
      <c r="I20" s="322"/>
    </row>
    <row r="21" spans="1:9" s="308" customFormat="1" ht="12.75" customHeight="1" x14ac:dyDescent="0.25">
      <c r="A21" s="317"/>
      <c r="B21" s="318"/>
      <c r="C21" s="327"/>
      <c r="D21" s="320"/>
      <c r="E21" s="320">
        <f t="shared" si="0"/>
        <v>1725400</v>
      </c>
      <c r="F21" s="321"/>
      <c r="G21" s="321">
        <f t="shared" si="1"/>
        <v>0</v>
      </c>
      <c r="H21" s="321">
        <f t="shared" si="2"/>
        <v>1725400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1725400</v>
      </c>
      <c r="E23" s="184"/>
      <c r="F23" s="184">
        <f>SUM(F9:F22)</f>
        <v>0</v>
      </c>
      <c r="G23" s="184"/>
      <c r="H23" s="184">
        <f>D23-F23</f>
        <v>1725400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row r="27" spans="1:9" s="308" customFormat="1" ht="12.75" customHeight="1" x14ac:dyDescent="0.25"/>
    <row r="28" spans="1:9" s="308" customFormat="1" ht="12.75" customHeight="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D9A33-3060-4855-AF12-3C799638EDBB}">
  <sheetPr>
    <pageSetUpPr fitToPage="1"/>
  </sheetPr>
  <dimension ref="A1:I37"/>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3.57031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922</v>
      </c>
      <c r="B4" s="134"/>
      <c r="C4" s="135"/>
      <c r="D4" s="136" t="s">
        <v>919</v>
      </c>
      <c r="E4" s="132"/>
      <c r="F4" s="132"/>
      <c r="G4" s="132"/>
      <c r="H4" s="133"/>
      <c r="I4" s="133"/>
    </row>
    <row r="5" spans="1:9" ht="15.75" x14ac:dyDescent="0.25">
      <c r="A5" s="137" t="s">
        <v>147</v>
      </c>
      <c r="B5" s="138"/>
      <c r="C5" s="139"/>
      <c r="D5" s="140" t="s">
        <v>894</v>
      </c>
      <c r="E5" s="141"/>
      <c r="F5" s="142"/>
      <c r="G5" s="142"/>
      <c r="H5" s="138"/>
      <c r="I5" s="133"/>
    </row>
    <row r="6" spans="1:9" ht="15.75" x14ac:dyDescent="0.25">
      <c r="A6" s="93" t="str">
        <f>'RECAP #9279.50'!B6</f>
        <v>Project Manager - Jennifer K.</v>
      </c>
      <c r="B6" s="93"/>
      <c r="C6" s="143"/>
      <c r="D6" s="144" t="s">
        <v>877</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923</v>
      </c>
      <c r="B9" s="318">
        <v>46197</v>
      </c>
      <c r="C9" s="324" t="s">
        <v>146</v>
      </c>
      <c r="D9" s="186">
        <v>459375</v>
      </c>
      <c r="E9" s="320">
        <f>D9</f>
        <v>459375</v>
      </c>
      <c r="F9" s="321"/>
      <c r="G9" s="321"/>
      <c r="H9" s="321">
        <f>E9</f>
        <v>459375</v>
      </c>
      <c r="I9" s="322"/>
    </row>
    <row r="10" spans="1:9" s="308" customFormat="1" ht="12.75" customHeight="1" x14ac:dyDescent="0.25">
      <c r="A10" s="317"/>
      <c r="B10" s="323"/>
      <c r="C10" s="324"/>
      <c r="D10" s="320"/>
      <c r="E10" s="320">
        <f t="shared" ref="E10:E21" si="0">E9+D10</f>
        <v>459375</v>
      </c>
      <c r="F10" s="326"/>
      <c r="G10" s="321">
        <f t="shared" ref="G10:G21" si="1">G9+F10</f>
        <v>0</v>
      </c>
      <c r="H10" s="321">
        <f t="shared" ref="H10:H21" si="2">H9-F10+D10</f>
        <v>459375</v>
      </c>
      <c r="I10" s="322"/>
    </row>
    <row r="11" spans="1:9" s="308" customFormat="1" ht="12.75" customHeight="1" x14ac:dyDescent="0.25">
      <c r="A11" s="317"/>
      <c r="B11" s="318"/>
      <c r="C11" s="324"/>
      <c r="D11" s="320"/>
      <c r="E11" s="320">
        <f t="shared" si="0"/>
        <v>459375</v>
      </c>
      <c r="F11" s="326"/>
      <c r="G11" s="321">
        <f t="shared" si="1"/>
        <v>0</v>
      </c>
      <c r="H11" s="321">
        <f t="shared" si="2"/>
        <v>459375</v>
      </c>
      <c r="I11" s="322"/>
    </row>
    <row r="12" spans="1:9" s="308" customFormat="1" ht="12.75" customHeight="1" x14ac:dyDescent="0.25">
      <c r="A12" s="317"/>
      <c r="B12" s="318"/>
      <c r="C12" s="324"/>
      <c r="D12" s="320"/>
      <c r="E12" s="320">
        <f t="shared" si="0"/>
        <v>459375</v>
      </c>
      <c r="F12" s="326"/>
      <c r="G12" s="321">
        <f t="shared" si="1"/>
        <v>0</v>
      </c>
      <c r="H12" s="321">
        <f t="shared" si="2"/>
        <v>459375</v>
      </c>
      <c r="I12" s="322"/>
    </row>
    <row r="13" spans="1:9" s="308" customFormat="1" ht="12.75" customHeight="1" x14ac:dyDescent="0.25">
      <c r="A13" s="317"/>
      <c r="B13" s="318"/>
      <c r="C13" s="324"/>
      <c r="D13" s="320"/>
      <c r="E13" s="320">
        <f t="shared" si="0"/>
        <v>459375</v>
      </c>
      <c r="F13" s="326"/>
      <c r="G13" s="321">
        <f t="shared" si="1"/>
        <v>0</v>
      </c>
      <c r="H13" s="321">
        <f t="shared" si="2"/>
        <v>459375</v>
      </c>
      <c r="I13" s="322"/>
    </row>
    <row r="14" spans="1:9" s="308" customFormat="1" ht="12.75" customHeight="1" x14ac:dyDescent="0.25">
      <c r="A14" s="317"/>
      <c r="B14" s="318"/>
      <c r="C14" s="324"/>
      <c r="D14" s="320"/>
      <c r="E14" s="320">
        <f t="shared" si="0"/>
        <v>459375</v>
      </c>
      <c r="F14" s="321"/>
      <c r="G14" s="321">
        <f t="shared" si="1"/>
        <v>0</v>
      </c>
      <c r="H14" s="321">
        <f t="shared" si="2"/>
        <v>459375</v>
      </c>
      <c r="I14" s="322"/>
    </row>
    <row r="15" spans="1:9" s="308" customFormat="1" ht="12.75" customHeight="1" x14ac:dyDescent="0.25">
      <c r="A15" s="317"/>
      <c r="B15" s="318"/>
      <c r="C15" s="324"/>
      <c r="D15" s="320"/>
      <c r="E15" s="320">
        <f t="shared" si="0"/>
        <v>459375</v>
      </c>
      <c r="F15" s="326"/>
      <c r="G15" s="321">
        <f t="shared" si="1"/>
        <v>0</v>
      </c>
      <c r="H15" s="321">
        <f t="shared" si="2"/>
        <v>459375</v>
      </c>
      <c r="I15" s="322"/>
    </row>
    <row r="16" spans="1:9" s="308" customFormat="1" ht="12.75" customHeight="1" x14ac:dyDescent="0.25">
      <c r="A16" s="317"/>
      <c r="B16" s="318"/>
      <c r="C16" s="324"/>
      <c r="D16" s="320"/>
      <c r="E16" s="320">
        <f t="shared" si="0"/>
        <v>459375</v>
      </c>
      <c r="F16" s="326"/>
      <c r="G16" s="321">
        <f t="shared" si="1"/>
        <v>0</v>
      </c>
      <c r="H16" s="321">
        <f t="shared" si="2"/>
        <v>459375</v>
      </c>
      <c r="I16" s="322"/>
    </row>
    <row r="17" spans="1:9" s="308" customFormat="1" ht="12.75" customHeight="1" x14ac:dyDescent="0.25">
      <c r="A17" s="317"/>
      <c r="B17" s="318"/>
      <c r="C17" s="324"/>
      <c r="D17" s="320"/>
      <c r="E17" s="320">
        <f t="shared" si="0"/>
        <v>459375</v>
      </c>
      <c r="F17" s="326"/>
      <c r="G17" s="321">
        <f t="shared" si="1"/>
        <v>0</v>
      </c>
      <c r="H17" s="321">
        <f t="shared" si="2"/>
        <v>459375</v>
      </c>
      <c r="I17" s="322"/>
    </row>
    <row r="18" spans="1:9" s="308" customFormat="1" ht="12.75" customHeight="1" x14ac:dyDescent="0.25">
      <c r="A18" s="317"/>
      <c r="B18" s="318"/>
      <c r="C18" s="324"/>
      <c r="D18" s="320"/>
      <c r="E18" s="320">
        <f t="shared" si="0"/>
        <v>459375</v>
      </c>
      <c r="F18" s="326"/>
      <c r="G18" s="321">
        <f t="shared" si="1"/>
        <v>0</v>
      </c>
      <c r="H18" s="321">
        <f t="shared" si="2"/>
        <v>459375</v>
      </c>
      <c r="I18" s="322"/>
    </row>
    <row r="19" spans="1:9" s="308" customFormat="1" ht="12.75" customHeight="1" x14ac:dyDescent="0.25">
      <c r="A19" s="317"/>
      <c r="B19" s="318"/>
      <c r="C19" s="324"/>
      <c r="D19" s="320"/>
      <c r="E19" s="320">
        <f t="shared" si="0"/>
        <v>459375</v>
      </c>
      <c r="F19" s="321"/>
      <c r="G19" s="321">
        <f t="shared" si="1"/>
        <v>0</v>
      </c>
      <c r="H19" s="321">
        <f t="shared" si="2"/>
        <v>459375</v>
      </c>
      <c r="I19" s="322"/>
    </row>
    <row r="20" spans="1:9" s="308" customFormat="1" ht="12.75" customHeight="1" x14ac:dyDescent="0.25">
      <c r="A20" s="317"/>
      <c r="B20" s="318"/>
      <c r="C20" s="324"/>
      <c r="D20" s="320"/>
      <c r="E20" s="320">
        <f t="shared" si="0"/>
        <v>459375</v>
      </c>
      <c r="F20" s="321"/>
      <c r="G20" s="321">
        <f t="shared" si="1"/>
        <v>0</v>
      </c>
      <c r="H20" s="321">
        <f t="shared" si="2"/>
        <v>459375</v>
      </c>
      <c r="I20" s="322"/>
    </row>
    <row r="21" spans="1:9" s="308" customFormat="1" ht="12.75" customHeight="1" x14ac:dyDescent="0.25">
      <c r="A21" s="317"/>
      <c r="B21" s="318"/>
      <c r="C21" s="327"/>
      <c r="D21" s="320"/>
      <c r="E21" s="320">
        <f t="shared" si="0"/>
        <v>459375</v>
      </c>
      <c r="F21" s="321"/>
      <c r="G21" s="321">
        <f t="shared" si="1"/>
        <v>0</v>
      </c>
      <c r="H21" s="321">
        <f t="shared" si="2"/>
        <v>459375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459375</v>
      </c>
      <c r="E23" s="184"/>
      <c r="F23" s="184">
        <f>SUM(F9:F22)</f>
        <v>0</v>
      </c>
      <c r="G23" s="184"/>
      <c r="H23" s="184">
        <f>D23-F23</f>
        <v>459375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row r="27" spans="1:9" s="308" customFormat="1" ht="12.75" customHeight="1" x14ac:dyDescent="0.25"/>
    <row r="28" spans="1:9" s="308" customFormat="1" ht="12.75" customHeight="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52B88-6BCA-448C-ADC2-31151031686B}">
  <sheetPr>
    <pageSetUpPr fitToPage="1"/>
  </sheetPr>
  <dimension ref="A1:G51"/>
  <sheetViews>
    <sheetView zoomScaleNormal="100" workbookViewId="0">
      <selection activeCell="P26" sqref="P26"/>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728</v>
      </c>
      <c r="C1" s="86"/>
      <c r="D1" s="6"/>
      <c r="E1" s="6"/>
      <c r="F1" s="6"/>
      <c r="G1" s="6"/>
    </row>
    <row r="2" spans="1:7" ht="15.75" x14ac:dyDescent="0.25">
      <c r="A2" s="84"/>
      <c r="B2" s="88" t="s">
        <v>729</v>
      </c>
      <c r="C2" s="87"/>
      <c r="D2" s="6"/>
      <c r="E2" s="6"/>
      <c r="F2" s="6"/>
      <c r="G2" s="6"/>
    </row>
    <row r="3" spans="1:7" ht="15.75" x14ac:dyDescent="0.25">
      <c r="A3" s="84"/>
      <c r="B3" s="89" t="s">
        <v>730</v>
      </c>
      <c r="C3" s="87"/>
      <c r="D3" s="6"/>
      <c r="E3" s="90" t="s">
        <v>112</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136</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'#9239.04 Funds Rec''d'!H24</f>
        <v>2550299</v>
      </c>
      <c r="D8" s="102"/>
      <c r="E8" s="102"/>
      <c r="F8" s="102"/>
      <c r="G8" s="103"/>
    </row>
    <row r="9" spans="1:7" ht="12.75" customHeight="1" x14ac:dyDescent="0.25">
      <c r="A9" s="84"/>
      <c r="B9" s="87"/>
      <c r="C9" s="104"/>
      <c r="D9" s="105"/>
      <c r="E9" s="105"/>
      <c r="F9" s="105"/>
      <c r="G9" s="103"/>
    </row>
    <row r="10" spans="1:7" ht="12.75" customHeight="1" x14ac:dyDescent="0.25">
      <c r="A10" s="84"/>
      <c r="B10" s="87" t="s">
        <v>237</v>
      </c>
      <c r="C10" s="104"/>
      <c r="D10" s="102">
        <f>'#9239.04 Samuels Group'!D23</f>
        <v>24303.119999999999</v>
      </c>
      <c r="E10" s="102">
        <f>'#9239.04 Samuels Group'!F23</f>
        <v>6069.68</v>
      </c>
      <c r="F10" s="102">
        <f>'#9239.04 Samuels Group'!H23</f>
        <v>18233.439999999999</v>
      </c>
      <c r="G10" s="103"/>
    </row>
    <row r="11" spans="1:7" ht="12.75" customHeight="1" x14ac:dyDescent="0.25">
      <c r="A11" s="84"/>
      <c r="B11" s="87" t="s">
        <v>41</v>
      </c>
      <c r="C11" s="104"/>
      <c r="D11" s="102">
        <f>'#9239.04 PM TIME'!E23</f>
        <v>30000</v>
      </c>
      <c r="E11" s="102">
        <f>'#9239.04 PM TIME'!G23</f>
        <v>2695.2400000000002</v>
      </c>
      <c r="F11" s="102">
        <f>'#9239.04 PM TIME'!I23</f>
        <v>27304.76</v>
      </c>
      <c r="G11" s="103"/>
    </row>
    <row r="12" spans="1:7" ht="12.75" customHeight="1" x14ac:dyDescent="0.25">
      <c r="A12" s="84"/>
      <c r="B12" s="87" t="s">
        <v>42</v>
      </c>
      <c r="C12" s="105"/>
      <c r="D12" s="106">
        <f>'#9239.04 Misc'!G22</f>
        <v>358.64</v>
      </c>
      <c r="E12" s="106">
        <f>'#9239.04 Misc'!G22</f>
        <v>358.64</v>
      </c>
      <c r="F12" s="102">
        <f>D12-E12</f>
        <v>0</v>
      </c>
      <c r="G12" s="103"/>
    </row>
    <row r="13" spans="1:7" ht="12.75" customHeight="1" x14ac:dyDescent="0.25">
      <c r="A13" s="84"/>
      <c r="B13" s="87" t="s">
        <v>770</v>
      </c>
      <c r="C13" s="105"/>
      <c r="D13" s="106">
        <f>'#9239.04 Farnsworth Group'!D23</f>
        <v>60920</v>
      </c>
      <c r="E13" s="106">
        <f>'#9239.04 Farnsworth Group'!F23</f>
        <v>57986</v>
      </c>
      <c r="F13" s="102">
        <f>'#9239.04 Farnsworth Group'!H23</f>
        <v>2934</v>
      </c>
      <c r="G13" s="103"/>
    </row>
    <row r="14" spans="1:7" ht="12.75" customHeight="1" x14ac:dyDescent="0.25">
      <c r="A14" s="84"/>
      <c r="B14" s="87"/>
      <c r="C14" s="105"/>
      <c r="D14" s="106"/>
      <c r="E14" s="106"/>
      <c r="F14" s="102"/>
      <c r="G14" s="103"/>
    </row>
    <row r="15" spans="1:7" ht="24" customHeight="1" thickBot="1" x14ac:dyDescent="0.3">
      <c r="A15" s="107"/>
      <c r="B15" s="108" t="s">
        <v>43</v>
      </c>
      <c r="C15" s="109">
        <f>SUM(C8:C14)</f>
        <v>2550299</v>
      </c>
      <c r="D15" s="109">
        <f>SUM(D8:D14)</f>
        <v>115581.75999999999</v>
      </c>
      <c r="E15" s="109">
        <f>SUM(E8:E14)</f>
        <v>67109.56</v>
      </c>
      <c r="F15" s="109">
        <f>SUM(D15-E15)</f>
        <v>48472.2</v>
      </c>
      <c r="G15" s="109">
        <f>C8-D15</f>
        <v>2434717.2400000002</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B95D8-169A-4BF4-BE02-3581A3111483}">
  <sheetPr>
    <pageSetUpPr fitToPage="1"/>
  </sheetPr>
  <dimension ref="A1:I37"/>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2.8554687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924</v>
      </c>
      <c r="B4" s="134"/>
      <c r="C4" s="135"/>
      <c r="D4" s="136" t="s">
        <v>925</v>
      </c>
      <c r="E4" s="132"/>
      <c r="F4" s="132"/>
      <c r="G4" s="132"/>
      <c r="H4" s="133"/>
      <c r="I4" s="133"/>
    </row>
    <row r="5" spans="1:9" ht="15.75" x14ac:dyDescent="0.25">
      <c r="A5" s="137" t="s">
        <v>147</v>
      </c>
      <c r="B5" s="138"/>
      <c r="C5" s="139"/>
      <c r="D5" s="140" t="s">
        <v>926</v>
      </c>
      <c r="E5" s="141"/>
      <c r="F5" s="142"/>
      <c r="G5" s="142"/>
      <c r="H5" s="138"/>
      <c r="I5" s="133"/>
    </row>
    <row r="6" spans="1:9" ht="15.75" x14ac:dyDescent="0.25">
      <c r="A6" s="93" t="str">
        <f>'RECAP #9279.50'!B6</f>
        <v>Project Manager - Jennifer K.</v>
      </c>
      <c r="B6" s="93"/>
      <c r="C6" s="143"/>
      <c r="D6" s="144" t="s">
        <v>877</v>
      </c>
      <c r="E6" s="145"/>
      <c r="F6" s="146"/>
      <c r="G6" s="142"/>
      <c r="H6" s="138"/>
      <c r="I6" s="133"/>
    </row>
    <row r="7" spans="1:9" ht="15.75" x14ac:dyDescent="0.25">
      <c r="A7" s="133"/>
      <c r="B7" s="147"/>
      <c r="C7" s="147"/>
      <c r="D7" s="133" t="s">
        <v>928</v>
      </c>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927</v>
      </c>
      <c r="B9" s="318">
        <v>46198</v>
      </c>
      <c r="C9" s="324" t="s">
        <v>146</v>
      </c>
      <c r="D9" s="186">
        <v>1286134</v>
      </c>
      <c r="E9" s="320">
        <f>D9</f>
        <v>1286134</v>
      </c>
      <c r="F9" s="321"/>
      <c r="G9" s="321"/>
      <c r="H9" s="321">
        <f>E9</f>
        <v>1286134</v>
      </c>
      <c r="I9" s="322"/>
    </row>
    <row r="10" spans="1:9" s="308" customFormat="1" ht="12.75" customHeight="1" x14ac:dyDescent="0.25">
      <c r="A10" s="317"/>
      <c r="B10" s="323"/>
      <c r="C10" s="324"/>
      <c r="D10" s="320"/>
      <c r="E10" s="320">
        <f t="shared" ref="E10:E21" si="0">E9+D10</f>
        <v>1286134</v>
      </c>
      <c r="F10" s="326"/>
      <c r="G10" s="321">
        <f t="shared" ref="G10:G21" si="1">G9+F10</f>
        <v>0</v>
      </c>
      <c r="H10" s="321">
        <f t="shared" ref="H10:H21" si="2">H9-F10+D10</f>
        <v>1286134</v>
      </c>
      <c r="I10" s="322"/>
    </row>
    <row r="11" spans="1:9" s="308" customFormat="1" ht="12.75" customHeight="1" x14ac:dyDescent="0.25">
      <c r="A11" s="317"/>
      <c r="B11" s="318"/>
      <c r="C11" s="324"/>
      <c r="D11" s="320"/>
      <c r="E11" s="320">
        <f t="shared" si="0"/>
        <v>1286134</v>
      </c>
      <c r="F11" s="326"/>
      <c r="G11" s="321">
        <f t="shared" si="1"/>
        <v>0</v>
      </c>
      <c r="H11" s="321">
        <f t="shared" si="2"/>
        <v>1286134</v>
      </c>
      <c r="I11" s="322"/>
    </row>
    <row r="12" spans="1:9" s="308" customFormat="1" ht="12.75" customHeight="1" x14ac:dyDescent="0.25">
      <c r="A12" s="317"/>
      <c r="B12" s="318"/>
      <c r="C12" s="324"/>
      <c r="D12" s="320"/>
      <c r="E12" s="320">
        <f t="shared" si="0"/>
        <v>1286134</v>
      </c>
      <c r="F12" s="326"/>
      <c r="G12" s="321">
        <f t="shared" si="1"/>
        <v>0</v>
      </c>
      <c r="H12" s="321">
        <f t="shared" si="2"/>
        <v>1286134</v>
      </c>
      <c r="I12" s="322"/>
    </row>
    <row r="13" spans="1:9" s="308" customFormat="1" ht="12.75" customHeight="1" x14ac:dyDescent="0.25">
      <c r="A13" s="317"/>
      <c r="B13" s="318"/>
      <c r="C13" s="324"/>
      <c r="D13" s="320"/>
      <c r="E13" s="320">
        <f t="shared" si="0"/>
        <v>1286134</v>
      </c>
      <c r="F13" s="326"/>
      <c r="G13" s="321">
        <f t="shared" si="1"/>
        <v>0</v>
      </c>
      <c r="H13" s="321">
        <f t="shared" si="2"/>
        <v>1286134</v>
      </c>
      <c r="I13" s="322"/>
    </row>
    <row r="14" spans="1:9" s="308" customFormat="1" ht="12.75" customHeight="1" x14ac:dyDescent="0.25">
      <c r="A14" s="317"/>
      <c r="B14" s="318"/>
      <c r="C14" s="324"/>
      <c r="D14" s="320"/>
      <c r="E14" s="320">
        <f t="shared" si="0"/>
        <v>1286134</v>
      </c>
      <c r="F14" s="321"/>
      <c r="G14" s="321">
        <f t="shared" si="1"/>
        <v>0</v>
      </c>
      <c r="H14" s="321">
        <f t="shared" si="2"/>
        <v>1286134</v>
      </c>
      <c r="I14" s="322"/>
    </row>
    <row r="15" spans="1:9" s="308" customFormat="1" ht="12.75" customHeight="1" x14ac:dyDescent="0.25">
      <c r="A15" s="317"/>
      <c r="B15" s="318"/>
      <c r="C15" s="324"/>
      <c r="D15" s="320"/>
      <c r="E15" s="320">
        <f t="shared" si="0"/>
        <v>1286134</v>
      </c>
      <c r="F15" s="326"/>
      <c r="G15" s="321">
        <f t="shared" si="1"/>
        <v>0</v>
      </c>
      <c r="H15" s="321">
        <f t="shared" si="2"/>
        <v>1286134</v>
      </c>
      <c r="I15" s="322"/>
    </row>
    <row r="16" spans="1:9" s="308" customFormat="1" ht="12.75" customHeight="1" x14ac:dyDescent="0.25">
      <c r="A16" s="317"/>
      <c r="B16" s="318"/>
      <c r="C16" s="324"/>
      <c r="D16" s="320"/>
      <c r="E16" s="320">
        <f t="shared" si="0"/>
        <v>1286134</v>
      </c>
      <c r="F16" s="326"/>
      <c r="G16" s="321">
        <f t="shared" si="1"/>
        <v>0</v>
      </c>
      <c r="H16" s="321">
        <f t="shared" si="2"/>
        <v>1286134</v>
      </c>
      <c r="I16" s="322"/>
    </row>
    <row r="17" spans="1:9" s="308" customFormat="1" ht="12.75" customHeight="1" x14ac:dyDescent="0.25">
      <c r="A17" s="317"/>
      <c r="B17" s="318"/>
      <c r="C17" s="324"/>
      <c r="D17" s="320"/>
      <c r="E17" s="320">
        <f t="shared" si="0"/>
        <v>1286134</v>
      </c>
      <c r="F17" s="326"/>
      <c r="G17" s="321">
        <f t="shared" si="1"/>
        <v>0</v>
      </c>
      <c r="H17" s="321">
        <f t="shared" si="2"/>
        <v>1286134</v>
      </c>
      <c r="I17" s="322"/>
    </row>
    <row r="18" spans="1:9" s="308" customFormat="1" ht="12.75" customHeight="1" x14ac:dyDescent="0.25">
      <c r="A18" s="317"/>
      <c r="B18" s="318"/>
      <c r="C18" s="324"/>
      <c r="D18" s="320"/>
      <c r="E18" s="320">
        <f t="shared" si="0"/>
        <v>1286134</v>
      </c>
      <c r="F18" s="326"/>
      <c r="G18" s="321">
        <f t="shared" si="1"/>
        <v>0</v>
      </c>
      <c r="H18" s="321">
        <f t="shared" si="2"/>
        <v>1286134</v>
      </c>
      <c r="I18" s="322"/>
    </row>
    <row r="19" spans="1:9" s="308" customFormat="1" ht="12.75" customHeight="1" x14ac:dyDescent="0.25">
      <c r="A19" s="317"/>
      <c r="B19" s="318"/>
      <c r="C19" s="324"/>
      <c r="D19" s="320"/>
      <c r="E19" s="320">
        <f t="shared" si="0"/>
        <v>1286134</v>
      </c>
      <c r="F19" s="321"/>
      <c r="G19" s="321">
        <f t="shared" si="1"/>
        <v>0</v>
      </c>
      <c r="H19" s="321">
        <f t="shared" si="2"/>
        <v>1286134</v>
      </c>
      <c r="I19" s="322"/>
    </row>
    <row r="20" spans="1:9" s="308" customFormat="1" ht="12.75" customHeight="1" x14ac:dyDescent="0.25">
      <c r="A20" s="317"/>
      <c r="B20" s="318"/>
      <c r="C20" s="324"/>
      <c r="D20" s="320"/>
      <c r="E20" s="320">
        <f t="shared" si="0"/>
        <v>1286134</v>
      </c>
      <c r="F20" s="321"/>
      <c r="G20" s="321">
        <f t="shared" si="1"/>
        <v>0</v>
      </c>
      <c r="H20" s="321">
        <f t="shared" si="2"/>
        <v>1286134</v>
      </c>
      <c r="I20" s="322"/>
    </row>
    <row r="21" spans="1:9" s="308" customFormat="1" ht="12.75" customHeight="1" x14ac:dyDescent="0.25">
      <c r="A21" s="317"/>
      <c r="B21" s="318"/>
      <c r="C21" s="327"/>
      <c r="D21" s="320"/>
      <c r="E21" s="320">
        <f t="shared" si="0"/>
        <v>1286134</v>
      </c>
      <c r="F21" s="321"/>
      <c r="G21" s="321">
        <f t="shared" si="1"/>
        <v>0</v>
      </c>
      <c r="H21" s="321">
        <f t="shared" si="2"/>
        <v>1286134</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1286134</v>
      </c>
      <c r="E23" s="184"/>
      <c r="F23" s="184">
        <f>SUM(F9:F22)</f>
        <v>0</v>
      </c>
      <c r="G23" s="184"/>
      <c r="H23" s="184">
        <f>D23-F23</f>
        <v>1286134</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c r="C26" s="308" t="s">
        <v>929</v>
      </c>
      <c r="D26" s="321">
        <f>'[1]#9279.41 Breiholz Construction'!$D$23</f>
        <v>191969</v>
      </c>
      <c r="F26" s="479">
        <f>'[1]#9279.41 Breiholz Construction'!$F$23</f>
        <v>0</v>
      </c>
      <c r="H26" s="321">
        <f t="shared" ref="H26" si="3">D26-F26</f>
        <v>191969</v>
      </c>
    </row>
    <row r="27" spans="1:9" s="308" customFormat="1" ht="12.75" customHeight="1" thickBot="1" x14ac:dyDescent="0.3">
      <c r="C27" s="359" t="s">
        <v>157</v>
      </c>
      <c r="D27" s="184">
        <f>SUM(D22:D26)</f>
        <v>1478103</v>
      </c>
      <c r="E27" s="185"/>
      <c r="F27" s="184">
        <f>SUM(F22:F26)</f>
        <v>0</v>
      </c>
      <c r="G27" s="185"/>
      <c r="H27" s="184">
        <f>SUM(H22:H26)</f>
        <v>1478103</v>
      </c>
    </row>
    <row r="28" spans="1:9" s="308" customFormat="1" ht="12.75" customHeight="1" thickTop="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2AC2-0293-4C74-B848-15337DA22FAE}">
  <sheetPr>
    <pageSetUpPr fitToPage="1"/>
  </sheetPr>
  <dimension ref="A1:I37"/>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2.8554687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930</v>
      </c>
      <c r="B4" s="134"/>
      <c r="C4" s="135"/>
      <c r="D4" s="136" t="s">
        <v>893</v>
      </c>
      <c r="E4" s="132"/>
      <c r="F4" s="132"/>
      <c r="G4" s="132"/>
      <c r="H4" s="133"/>
      <c r="I4" s="133"/>
    </row>
    <row r="5" spans="1:9" ht="15.75" x14ac:dyDescent="0.25">
      <c r="A5" s="137" t="s">
        <v>147</v>
      </c>
      <c r="B5" s="138"/>
      <c r="C5" s="139"/>
      <c r="D5" s="140" t="s">
        <v>926</v>
      </c>
      <c r="E5" s="141"/>
      <c r="F5" s="142"/>
      <c r="G5" s="142"/>
      <c r="H5" s="138"/>
      <c r="I5" s="133"/>
    </row>
    <row r="6" spans="1:9" ht="15.75" x14ac:dyDescent="0.25">
      <c r="A6" s="93" t="str">
        <f>'RECAP #9279.50'!B6</f>
        <v>Project Manager - Jennifer K.</v>
      </c>
      <c r="B6" s="93"/>
      <c r="C6" s="143"/>
      <c r="D6" s="144" t="s">
        <v>877</v>
      </c>
      <c r="E6" s="145"/>
      <c r="F6" s="146"/>
      <c r="G6" s="142"/>
      <c r="H6" s="138"/>
      <c r="I6" s="133"/>
    </row>
    <row r="7" spans="1:9" ht="15.75" x14ac:dyDescent="0.25">
      <c r="A7" s="133"/>
      <c r="B7" s="147"/>
      <c r="C7" s="147"/>
      <c r="D7" s="133" t="s">
        <v>931</v>
      </c>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932</v>
      </c>
      <c r="B9" s="318">
        <v>46198</v>
      </c>
      <c r="C9" s="324" t="s">
        <v>146</v>
      </c>
      <c r="D9" s="186">
        <v>1281000</v>
      </c>
      <c r="E9" s="320">
        <f>D9</f>
        <v>1281000</v>
      </c>
      <c r="F9" s="321"/>
      <c r="G9" s="321"/>
      <c r="H9" s="321">
        <f>E9</f>
        <v>1281000</v>
      </c>
      <c r="I9" s="322"/>
    </row>
    <row r="10" spans="1:9" s="308" customFormat="1" ht="12.75" customHeight="1" x14ac:dyDescent="0.25">
      <c r="A10" s="317"/>
      <c r="B10" s="323"/>
      <c r="C10" s="324"/>
      <c r="D10" s="320"/>
      <c r="E10" s="320">
        <f t="shared" ref="E10:E21" si="0">E9+D10</f>
        <v>1281000</v>
      </c>
      <c r="F10" s="326"/>
      <c r="G10" s="321">
        <f t="shared" ref="G10:G21" si="1">G9+F10</f>
        <v>0</v>
      </c>
      <c r="H10" s="321">
        <f t="shared" ref="H10:H21" si="2">H9-F10+D10</f>
        <v>1281000</v>
      </c>
      <c r="I10" s="322"/>
    </row>
    <row r="11" spans="1:9" s="308" customFormat="1" ht="12.75" customHeight="1" x14ac:dyDescent="0.25">
      <c r="A11" s="317"/>
      <c r="B11" s="318"/>
      <c r="C11" s="324"/>
      <c r="D11" s="320"/>
      <c r="E11" s="320">
        <f t="shared" si="0"/>
        <v>1281000</v>
      </c>
      <c r="F11" s="326"/>
      <c r="G11" s="321">
        <f t="shared" si="1"/>
        <v>0</v>
      </c>
      <c r="H11" s="321">
        <f t="shared" si="2"/>
        <v>1281000</v>
      </c>
      <c r="I11" s="322"/>
    </row>
    <row r="12" spans="1:9" s="308" customFormat="1" ht="12.75" customHeight="1" x14ac:dyDescent="0.25">
      <c r="A12" s="317"/>
      <c r="B12" s="318"/>
      <c r="C12" s="324"/>
      <c r="D12" s="320"/>
      <c r="E12" s="320">
        <f t="shared" si="0"/>
        <v>1281000</v>
      </c>
      <c r="F12" s="326"/>
      <c r="G12" s="321">
        <f t="shared" si="1"/>
        <v>0</v>
      </c>
      <c r="H12" s="321">
        <f t="shared" si="2"/>
        <v>1281000</v>
      </c>
      <c r="I12" s="322"/>
    </row>
    <row r="13" spans="1:9" s="308" customFormat="1" ht="12.75" customHeight="1" x14ac:dyDescent="0.25">
      <c r="A13" s="317"/>
      <c r="B13" s="318"/>
      <c r="C13" s="324"/>
      <c r="D13" s="320"/>
      <c r="E13" s="320">
        <f t="shared" si="0"/>
        <v>1281000</v>
      </c>
      <c r="F13" s="326"/>
      <c r="G13" s="321">
        <f t="shared" si="1"/>
        <v>0</v>
      </c>
      <c r="H13" s="321">
        <f t="shared" si="2"/>
        <v>1281000</v>
      </c>
      <c r="I13" s="322"/>
    </row>
    <row r="14" spans="1:9" s="308" customFormat="1" ht="12.75" customHeight="1" x14ac:dyDescent="0.25">
      <c r="A14" s="317"/>
      <c r="B14" s="318"/>
      <c r="C14" s="324"/>
      <c r="D14" s="320"/>
      <c r="E14" s="320">
        <f t="shared" si="0"/>
        <v>1281000</v>
      </c>
      <c r="F14" s="321"/>
      <c r="G14" s="321">
        <f t="shared" si="1"/>
        <v>0</v>
      </c>
      <c r="H14" s="321">
        <f t="shared" si="2"/>
        <v>1281000</v>
      </c>
      <c r="I14" s="322"/>
    </row>
    <row r="15" spans="1:9" s="308" customFormat="1" ht="12.75" customHeight="1" x14ac:dyDescent="0.25">
      <c r="A15" s="317"/>
      <c r="B15" s="318"/>
      <c r="C15" s="324"/>
      <c r="D15" s="320"/>
      <c r="E15" s="320">
        <f t="shared" si="0"/>
        <v>1281000</v>
      </c>
      <c r="F15" s="326"/>
      <c r="G15" s="321">
        <f t="shared" si="1"/>
        <v>0</v>
      </c>
      <c r="H15" s="321">
        <f t="shared" si="2"/>
        <v>1281000</v>
      </c>
      <c r="I15" s="322"/>
    </row>
    <row r="16" spans="1:9" s="308" customFormat="1" ht="12.75" customHeight="1" x14ac:dyDescent="0.25">
      <c r="A16" s="317"/>
      <c r="B16" s="318"/>
      <c r="C16" s="324"/>
      <c r="D16" s="320"/>
      <c r="E16" s="320">
        <f t="shared" si="0"/>
        <v>1281000</v>
      </c>
      <c r="F16" s="326"/>
      <c r="G16" s="321">
        <f t="shared" si="1"/>
        <v>0</v>
      </c>
      <c r="H16" s="321">
        <f t="shared" si="2"/>
        <v>1281000</v>
      </c>
      <c r="I16" s="322"/>
    </row>
    <row r="17" spans="1:9" s="308" customFormat="1" ht="12.75" customHeight="1" x14ac:dyDescent="0.25">
      <c r="A17" s="317"/>
      <c r="B17" s="318"/>
      <c r="C17" s="324"/>
      <c r="D17" s="320"/>
      <c r="E17" s="320">
        <f t="shared" si="0"/>
        <v>1281000</v>
      </c>
      <c r="F17" s="326"/>
      <c r="G17" s="321">
        <f t="shared" si="1"/>
        <v>0</v>
      </c>
      <c r="H17" s="321">
        <f t="shared" si="2"/>
        <v>1281000</v>
      </c>
      <c r="I17" s="322"/>
    </row>
    <row r="18" spans="1:9" s="308" customFormat="1" ht="12.75" customHeight="1" x14ac:dyDescent="0.25">
      <c r="A18" s="317"/>
      <c r="B18" s="318"/>
      <c r="C18" s="324"/>
      <c r="D18" s="320"/>
      <c r="E18" s="320">
        <f t="shared" si="0"/>
        <v>1281000</v>
      </c>
      <c r="F18" s="326"/>
      <c r="G18" s="321">
        <f t="shared" si="1"/>
        <v>0</v>
      </c>
      <c r="H18" s="321">
        <f t="shared" si="2"/>
        <v>1281000</v>
      </c>
      <c r="I18" s="322"/>
    </row>
    <row r="19" spans="1:9" s="308" customFormat="1" ht="12.75" customHeight="1" x14ac:dyDescent="0.25">
      <c r="A19" s="317"/>
      <c r="B19" s="318"/>
      <c r="C19" s="324"/>
      <c r="D19" s="320"/>
      <c r="E19" s="320">
        <f t="shared" si="0"/>
        <v>1281000</v>
      </c>
      <c r="F19" s="321"/>
      <c r="G19" s="321">
        <f t="shared" si="1"/>
        <v>0</v>
      </c>
      <c r="H19" s="321">
        <f t="shared" si="2"/>
        <v>1281000</v>
      </c>
      <c r="I19" s="322"/>
    </row>
    <row r="20" spans="1:9" s="308" customFormat="1" ht="12.75" customHeight="1" x14ac:dyDescent="0.25">
      <c r="A20" s="317"/>
      <c r="B20" s="318"/>
      <c r="C20" s="324"/>
      <c r="D20" s="320"/>
      <c r="E20" s="320">
        <f t="shared" si="0"/>
        <v>1281000</v>
      </c>
      <c r="F20" s="321"/>
      <c r="G20" s="321">
        <f t="shared" si="1"/>
        <v>0</v>
      </c>
      <c r="H20" s="321">
        <f t="shared" si="2"/>
        <v>1281000</v>
      </c>
      <c r="I20" s="322"/>
    </row>
    <row r="21" spans="1:9" s="308" customFormat="1" ht="12.75" customHeight="1" x14ac:dyDescent="0.25">
      <c r="A21" s="317"/>
      <c r="B21" s="318"/>
      <c r="C21" s="327"/>
      <c r="D21" s="320"/>
      <c r="E21" s="320">
        <f t="shared" si="0"/>
        <v>1281000</v>
      </c>
      <c r="F21" s="321"/>
      <c r="G21" s="321">
        <f t="shared" si="1"/>
        <v>0</v>
      </c>
      <c r="H21" s="321">
        <f t="shared" si="2"/>
        <v>1281000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1281000</v>
      </c>
      <c r="E23" s="184"/>
      <c r="F23" s="184">
        <f>SUM(F9:F22)</f>
        <v>0</v>
      </c>
      <c r="G23" s="184"/>
      <c r="H23" s="184">
        <f>D23-F23</f>
        <v>1281000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C25" s="472"/>
      <c r="D25" s="321"/>
      <c r="E25" s="321"/>
      <c r="F25" s="321"/>
      <c r="G25" s="321"/>
      <c r="H25" s="321"/>
    </row>
    <row r="26" spans="1:9" s="308" customFormat="1" ht="12.75" customHeight="1" x14ac:dyDescent="0.25">
      <c r="C26" s="308" t="s">
        <v>929</v>
      </c>
      <c r="D26" s="321">
        <f>'[1]#9279.41 VanMaanen'!$D$23</f>
        <v>11800</v>
      </c>
      <c r="F26" s="479">
        <f>'[1]#9279.41 VanMaanen'!$F$23</f>
        <v>0</v>
      </c>
      <c r="H26" s="321">
        <f t="shared" ref="H26" si="3">D26-F26</f>
        <v>11800</v>
      </c>
    </row>
    <row r="27" spans="1:9" s="308" customFormat="1" ht="12.75" customHeight="1" thickBot="1" x14ac:dyDescent="0.3">
      <c r="C27" s="359" t="s">
        <v>157</v>
      </c>
      <c r="D27" s="184">
        <f>SUM(D22:D26)</f>
        <v>1292800</v>
      </c>
      <c r="E27" s="185"/>
      <c r="F27" s="184">
        <f>SUM(F22:F26)</f>
        <v>0</v>
      </c>
      <c r="G27" s="185"/>
      <c r="H27" s="184">
        <f>SUM(H22:H26)</f>
        <v>1292800</v>
      </c>
    </row>
    <row r="28" spans="1:9" s="308" customFormat="1" ht="12.75" customHeight="1" thickTop="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E131B-1FE1-4D21-80DE-05E05B874A6B}">
  <sheetPr>
    <pageSetUpPr fitToPage="1"/>
  </sheetPr>
  <dimension ref="A1:I37"/>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4.285156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935</v>
      </c>
      <c r="B4" s="134"/>
      <c r="C4" s="135"/>
      <c r="D4" s="136" t="s">
        <v>637</v>
      </c>
      <c r="E4" s="132"/>
      <c r="F4" s="132"/>
      <c r="G4" s="132"/>
      <c r="H4" s="133"/>
      <c r="I4" s="133"/>
    </row>
    <row r="5" spans="1:9" ht="15.75" x14ac:dyDescent="0.25">
      <c r="A5" s="137" t="s">
        <v>147</v>
      </c>
      <c r="B5" s="138"/>
      <c r="C5" s="139"/>
      <c r="D5" s="140" t="s">
        <v>638</v>
      </c>
      <c r="E5" s="141"/>
      <c r="F5" s="142"/>
      <c r="G5" s="142"/>
      <c r="H5" s="138"/>
      <c r="I5" s="133"/>
    </row>
    <row r="6" spans="1:9" ht="15.75" x14ac:dyDescent="0.25">
      <c r="A6" s="93" t="str">
        <f>'RECAP #9279.50'!B6</f>
        <v>Project Manager - Jennifer K.</v>
      </c>
      <c r="B6" s="93"/>
      <c r="C6" s="143"/>
      <c r="D6" s="144" t="s">
        <v>262</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936</v>
      </c>
      <c r="B9" s="318">
        <v>46198</v>
      </c>
      <c r="C9" s="324" t="s">
        <v>146</v>
      </c>
      <c r="D9" s="186">
        <v>15497</v>
      </c>
      <c r="E9" s="320">
        <f>D9</f>
        <v>15497</v>
      </c>
      <c r="F9" s="321"/>
      <c r="G9" s="321"/>
      <c r="H9" s="321">
        <f>E9</f>
        <v>15497</v>
      </c>
      <c r="I9" s="322"/>
    </row>
    <row r="10" spans="1:9" s="308" customFormat="1" ht="12.75" customHeight="1" x14ac:dyDescent="0.25">
      <c r="A10" s="317"/>
      <c r="B10" s="323"/>
      <c r="C10" s="324"/>
      <c r="D10" s="320"/>
      <c r="E10" s="320">
        <f t="shared" ref="E10:E21" si="0">E9+D10</f>
        <v>15497</v>
      </c>
      <c r="F10" s="326"/>
      <c r="G10" s="321">
        <f t="shared" ref="G10:G21" si="1">G9+F10</f>
        <v>0</v>
      </c>
      <c r="H10" s="321">
        <f t="shared" ref="H10:H21" si="2">H9-F10+D10</f>
        <v>15497</v>
      </c>
      <c r="I10" s="322"/>
    </row>
    <row r="11" spans="1:9" s="308" customFormat="1" ht="12.75" customHeight="1" x14ac:dyDescent="0.25">
      <c r="A11" s="317"/>
      <c r="B11" s="318"/>
      <c r="C11" s="324"/>
      <c r="D11" s="320"/>
      <c r="E11" s="320">
        <f t="shared" si="0"/>
        <v>15497</v>
      </c>
      <c r="F11" s="326"/>
      <c r="G11" s="321">
        <f t="shared" si="1"/>
        <v>0</v>
      </c>
      <c r="H11" s="321">
        <f t="shared" si="2"/>
        <v>15497</v>
      </c>
      <c r="I11" s="322"/>
    </row>
    <row r="12" spans="1:9" s="308" customFormat="1" ht="12.75" customHeight="1" x14ac:dyDescent="0.25">
      <c r="A12" s="317"/>
      <c r="B12" s="318"/>
      <c r="C12" s="324"/>
      <c r="D12" s="320"/>
      <c r="E12" s="320">
        <f t="shared" si="0"/>
        <v>15497</v>
      </c>
      <c r="F12" s="326"/>
      <c r="G12" s="321">
        <f t="shared" si="1"/>
        <v>0</v>
      </c>
      <c r="H12" s="321">
        <f t="shared" si="2"/>
        <v>15497</v>
      </c>
      <c r="I12" s="322"/>
    </row>
    <row r="13" spans="1:9" s="308" customFormat="1" ht="12.75" customHeight="1" x14ac:dyDescent="0.25">
      <c r="A13" s="317"/>
      <c r="B13" s="318"/>
      <c r="C13" s="324"/>
      <c r="D13" s="320"/>
      <c r="E13" s="320">
        <f t="shared" si="0"/>
        <v>15497</v>
      </c>
      <c r="F13" s="326"/>
      <c r="G13" s="321">
        <f t="shared" si="1"/>
        <v>0</v>
      </c>
      <c r="H13" s="321">
        <f t="shared" si="2"/>
        <v>15497</v>
      </c>
      <c r="I13" s="322"/>
    </row>
    <row r="14" spans="1:9" s="308" customFormat="1" ht="12.75" customHeight="1" x14ac:dyDescent="0.25">
      <c r="A14" s="317"/>
      <c r="B14" s="318"/>
      <c r="C14" s="324"/>
      <c r="D14" s="320"/>
      <c r="E14" s="320">
        <f t="shared" si="0"/>
        <v>15497</v>
      </c>
      <c r="F14" s="321"/>
      <c r="G14" s="321">
        <f t="shared" si="1"/>
        <v>0</v>
      </c>
      <c r="H14" s="321">
        <f t="shared" si="2"/>
        <v>15497</v>
      </c>
      <c r="I14" s="322"/>
    </row>
    <row r="15" spans="1:9" s="308" customFormat="1" ht="12.75" customHeight="1" x14ac:dyDescent="0.25">
      <c r="A15" s="317"/>
      <c r="B15" s="318"/>
      <c r="C15" s="324"/>
      <c r="D15" s="320"/>
      <c r="E15" s="320">
        <f t="shared" si="0"/>
        <v>15497</v>
      </c>
      <c r="F15" s="326"/>
      <c r="G15" s="321">
        <f t="shared" si="1"/>
        <v>0</v>
      </c>
      <c r="H15" s="321">
        <f t="shared" si="2"/>
        <v>15497</v>
      </c>
      <c r="I15" s="322"/>
    </row>
    <row r="16" spans="1:9" s="308" customFormat="1" ht="12.75" customHeight="1" x14ac:dyDescent="0.25">
      <c r="A16" s="317"/>
      <c r="B16" s="318"/>
      <c r="C16" s="324"/>
      <c r="D16" s="320"/>
      <c r="E16" s="320">
        <f t="shared" si="0"/>
        <v>15497</v>
      </c>
      <c r="F16" s="326"/>
      <c r="G16" s="321">
        <f t="shared" si="1"/>
        <v>0</v>
      </c>
      <c r="H16" s="321">
        <f t="shared" si="2"/>
        <v>15497</v>
      </c>
      <c r="I16" s="322"/>
    </row>
    <row r="17" spans="1:9" s="308" customFormat="1" ht="12.75" customHeight="1" x14ac:dyDescent="0.25">
      <c r="A17" s="317"/>
      <c r="B17" s="318"/>
      <c r="C17" s="324"/>
      <c r="D17" s="320"/>
      <c r="E17" s="320">
        <f t="shared" si="0"/>
        <v>15497</v>
      </c>
      <c r="F17" s="326"/>
      <c r="G17" s="321">
        <f t="shared" si="1"/>
        <v>0</v>
      </c>
      <c r="H17" s="321">
        <f t="shared" si="2"/>
        <v>15497</v>
      </c>
      <c r="I17" s="322"/>
    </row>
    <row r="18" spans="1:9" s="308" customFormat="1" ht="12.75" customHeight="1" x14ac:dyDescent="0.25">
      <c r="A18" s="317"/>
      <c r="B18" s="318"/>
      <c r="C18" s="324"/>
      <c r="D18" s="320"/>
      <c r="E18" s="320">
        <f t="shared" si="0"/>
        <v>15497</v>
      </c>
      <c r="F18" s="326"/>
      <c r="G18" s="321">
        <f t="shared" si="1"/>
        <v>0</v>
      </c>
      <c r="H18" s="321">
        <f t="shared" si="2"/>
        <v>15497</v>
      </c>
      <c r="I18" s="322"/>
    </row>
    <row r="19" spans="1:9" s="308" customFormat="1" ht="12.75" customHeight="1" x14ac:dyDescent="0.25">
      <c r="A19" s="317"/>
      <c r="B19" s="318"/>
      <c r="C19" s="324"/>
      <c r="D19" s="320"/>
      <c r="E19" s="320">
        <f t="shared" si="0"/>
        <v>15497</v>
      </c>
      <c r="F19" s="321"/>
      <c r="G19" s="321">
        <f t="shared" si="1"/>
        <v>0</v>
      </c>
      <c r="H19" s="321">
        <f t="shared" si="2"/>
        <v>15497</v>
      </c>
      <c r="I19" s="322"/>
    </row>
    <row r="20" spans="1:9" s="308" customFormat="1" ht="12.75" customHeight="1" x14ac:dyDescent="0.25">
      <c r="A20" s="317"/>
      <c r="B20" s="318"/>
      <c r="C20" s="324"/>
      <c r="D20" s="320"/>
      <c r="E20" s="320">
        <f t="shared" si="0"/>
        <v>15497</v>
      </c>
      <c r="F20" s="321"/>
      <c r="G20" s="321">
        <f t="shared" si="1"/>
        <v>0</v>
      </c>
      <c r="H20" s="321">
        <f t="shared" si="2"/>
        <v>15497</v>
      </c>
      <c r="I20" s="322"/>
    </row>
    <row r="21" spans="1:9" s="308" customFormat="1" ht="12.75" customHeight="1" x14ac:dyDescent="0.25">
      <c r="A21" s="317"/>
      <c r="B21" s="318"/>
      <c r="C21" s="327"/>
      <c r="D21" s="320"/>
      <c r="E21" s="320">
        <f t="shared" si="0"/>
        <v>15497</v>
      </c>
      <c r="F21" s="321"/>
      <c r="G21" s="321">
        <f t="shared" si="1"/>
        <v>0</v>
      </c>
      <c r="H21" s="321">
        <f t="shared" si="2"/>
        <v>15497</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15497</v>
      </c>
      <c r="E23" s="184"/>
      <c r="F23" s="184">
        <f>SUM(F9:F22)</f>
        <v>0</v>
      </c>
      <c r="G23" s="184"/>
      <c r="H23" s="184">
        <f>D23-F23</f>
        <v>15497</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t="s">
        <v>642</v>
      </c>
      <c r="C26" s="328" t="s">
        <v>937</v>
      </c>
      <c r="D26" s="321">
        <v>250</v>
      </c>
      <c r="E26" s="321"/>
      <c r="F26" s="321"/>
      <c r="G26" s="321"/>
      <c r="H26" s="321">
        <f>D26-F26</f>
        <v>250</v>
      </c>
      <c r="I26" s="322"/>
    </row>
    <row r="27" spans="1:9" s="308" customFormat="1" ht="12.75" customHeight="1" x14ac:dyDescent="0.25">
      <c r="A27" s="317"/>
      <c r="B27" s="324" t="s">
        <v>663</v>
      </c>
      <c r="C27" s="423" t="s">
        <v>646</v>
      </c>
      <c r="D27" s="321">
        <v>90</v>
      </c>
      <c r="E27" s="321"/>
      <c r="F27" s="321"/>
      <c r="G27" s="321"/>
      <c r="H27" s="321">
        <f t="shared" ref="H27:H30" si="3">D27-F27</f>
        <v>90</v>
      </c>
      <c r="I27" s="322"/>
    </row>
    <row r="28" spans="1:9" s="308" customFormat="1" ht="12.75" customHeight="1" x14ac:dyDescent="0.25">
      <c r="A28" s="317"/>
      <c r="B28" s="324" t="s">
        <v>664</v>
      </c>
      <c r="C28" s="328" t="s">
        <v>938</v>
      </c>
      <c r="D28" s="321">
        <v>11475</v>
      </c>
      <c r="E28" s="321"/>
      <c r="F28" s="321"/>
      <c r="G28" s="321"/>
      <c r="H28" s="321">
        <f t="shared" si="3"/>
        <v>11475</v>
      </c>
      <c r="I28" s="322"/>
    </row>
    <row r="29" spans="1:9" s="308" customFormat="1" ht="12.75" customHeight="1" x14ac:dyDescent="0.25">
      <c r="A29" s="317"/>
      <c r="B29" s="324" t="s">
        <v>665</v>
      </c>
      <c r="C29" s="328" t="s">
        <v>939</v>
      </c>
      <c r="D29" s="321">
        <v>3360</v>
      </c>
      <c r="E29" s="321"/>
      <c r="F29" s="321"/>
      <c r="G29" s="321"/>
      <c r="H29" s="321">
        <f t="shared" si="3"/>
        <v>3360</v>
      </c>
      <c r="I29" s="322"/>
    </row>
    <row r="30" spans="1:9" s="308" customFormat="1" ht="12.75" customHeight="1" x14ac:dyDescent="0.25">
      <c r="A30" s="317"/>
      <c r="B30" s="324" t="s">
        <v>666</v>
      </c>
      <c r="C30" s="328" t="s">
        <v>940</v>
      </c>
      <c r="D30" s="321">
        <v>322</v>
      </c>
      <c r="E30" s="321"/>
      <c r="F30" s="321"/>
      <c r="G30" s="321"/>
      <c r="H30" s="321">
        <f t="shared" si="3"/>
        <v>322</v>
      </c>
      <c r="I30" s="322"/>
    </row>
    <row r="31" spans="1:9" s="308" customFormat="1" ht="12.75" customHeight="1" thickBot="1" x14ac:dyDescent="0.3">
      <c r="A31" s="317"/>
      <c r="B31" s="324"/>
      <c r="C31" s="359" t="s">
        <v>157</v>
      </c>
      <c r="D31" s="360">
        <f>SUM(D26:D30)</f>
        <v>15497</v>
      </c>
      <c r="E31" s="326"/>
      <c r="F31" s="360">
        <f>SUM(F26:F30)</f>
        <v>0</v>
      </c>
      <c r="G31" s="326"/>
      <c r="H31" s="360">
        <f>SUM(H26:H30)</f>
        <v>15497</v>
      </c>
      <c r="I31" s="322"/>
    </row>
    <row r="32" spans="1:9" s="308" customFormat="1" ht="12.75" customHeight="1" thickTop="1" x14ac:dyDescent="0.25">
      <c r="A32" s="317"/>
      <c r="B32" s="324"/>
      <c r="C32" s="328"/>
      <c r="D32" s="321"/>
      <c r="E32" s="321"/>
      <c r="F32" s="321"/>
      <c r="G32" s="321"/>
      <c r="H32" s="321"/>
      <c r="I32" s="322"/>
    </row>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sheetData>
  <conditionalFormatting sqref="I9:I32">
    <cfRule type="cellIs" dxfId="33" priority="2" operator="greaterThan">
      <formula>$H$23</formula>
    </cfRule>
  </conditionalFormatting>
  <hyperlinks>
    <hyperlink ref="C27" r:id="rId1" display="Admin2@45" xr:uid="{F5E57032-A75A-49EA-876E-3F770494E97F}"/>
  </hyperlinks>
  <pageMargins left="0.25" right="0.25" top="0.85" bottom="0.75" header="0.08" footer="0.3"/>
  <pageSetup scale="75" orientation="portrait" r:id="rId2"/>
  <headerFooter alignWithMargins="0">
    <oddHeader>&amp;CDepartment of Administrative Services
MOU Project Improvements DA26
&amp;A
&amp;D</oddHeader>
    <oddFooter>&amp;LAcct Codes 0506-335-DA26
&amp;C&amp;Z&amp;F&amp;R&amp;P/&amp;N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BE0ED-1EBE-4823-945A-D32B22FF7B29}">
  <sheetPr>
    <pageSetUpPr fitToPage="1"/>
  </sheetPr>
  <dimension ref="A1:I29"/>
  <sheetViews>
    <sheetView topLeftCell="A3"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6.140625" customWidth="1"/>
    <col min="4" max="4" width="14.42578125" customWidth="1"/>
    <col min="5" max="5" width="13.5703125" customWidth="1"/>
    <col min="6" max="6" width="12.42578125" customWidth="1"/>
    <col min="7" max="7" width="10.5703125" customWidth="1"/>
    <col min="8" max="8" width="1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#9279.50'!B1</f>
        <v>HHS WRC Campus Utility Decentralization Phase 5</v>
      </c>
      <c r="B1" s="86"/>
      <c r="C1" s="6"/>
      <c r="D1" s="6"/>
      <c r="E1" s="6"/>
      <c r="F1" s="132"/>
      <c r="G1" s="132"/>
      <c r="H1" s="133"/>
      <c r="I1" s="133"/>
    </row>
    <row r="2" spans="1:9" ht="15.75" x14ac:dyDescent="0.25">
      <c r="A2" s="88" t="str">
        <f>'RECAP #9279.50'!B2</f>
        <v>Project # 9279.50</v>
      </c>
      <c r="B2" s="87"/>
      <c r="C2" s="6"/>
      <c r="D2" s="6"/>
      <c r="E2" s="6"/>
      <c r="F2" s="132"/>
      <c r="G2" s="132"/>
      <c r="H2" s="133"/>
      <c r="I2" s="133"/>
    </row>
    <row r="3" spans="1:9" ht="15.75" x14ac:dyDescent="0.25">
      <c r="A3" s="89" t="str">
        <f>'RECAP #9279.50'!B3</f>
        <v>Program code 927950</v>
      </c>
      <c r="B3" s="87"/>
      <c r="C3" s="6"/>
      <c r="D3" s="90" t="str">
        <f>'RECAP #9279.50'!E3</f>
        <v>Major Program 4B02</v>
      </c>
      <c r="E3" s="6"/>
      <c r="F3" s="132"/>
      <c r="G3" s="132"/>
      <c r="H3" s="133"/>
      <c r="I3" s="133"/>
    </row>
    <row r="4" spans="1:9" ht="15.75" x14ac:dyDescent="0.25">
      <c r="A4" s="116" t="s">
        <v>955</v>
      </c>
      <c r="B4" s="134"/>
      <c r="C4" s="135"/>
      <c r="D4" s="136" t="s">
        <v>956</v>
      </c>
      <c r="E4" s="132"/>
      <c r="F4" s="132"/>
      <c r="G4" s="132"/>
      <c r="H4" s="133"/>
      <c r="I4" s="133"/>
    </row>
    <row r="5" spans="1:9" ht="15.75" x14ac:dyDescent="0.25">
      <c r="A5" s="137" t="s">
        <v>147</v>
      </c>
      <c r="B5" s="138"/>
      <c r="C5" s="139"/>
      <c r="D5" s="140" t="s">
        <v>894</v>
      </c>
      <c r="E5" s="141"/>
      <c r="F5" s="142"/>
      <c r="G5" s="142"/>
      <c r="H5" s="138"/>
      <c r="I5" s="133"/>
    </row>
    <row r="6" spans="1:9" ht="15.75" x14ac:dyDescent="0.25">
      <c r="A6" s="93" t="str">
        <f>'RECAP #9279.50'!B6</f>
        <v>Project Manager - Jennifer K.</v>
      </c>
      <c r="B6" s="93"/>
      <c r="C6" s="143"/>
      <c r="D6" s="144" t="s">
        <v>877</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957</v>
      </c>
      <c r="B9" s="318">
        <v>46199</v>
      </c>
      <c r="C9" s="324" t="s">
        <v>146</v>
      </c>
      <c r="D9" s="186">
        <v>2375000</v>
      </c>
      <c r="E9" s="320">
        <f>D9</f>
        <v>2375000</v>
      </c>
      <c r="F9" s="321"/>
      <c r="G9" s="321"/>
      <c r="H9" s="321">
        <f>E9</f>
        <v>2375000</v>
      </c>
      <c r="I9" s="322"/>
    </row>
    <row r="10" spans="1:9" s="308" customFormat="1" ht="12.75" customHeight="1" x14ac:dyDescent="0.25">
      <c r="A10" s="317"/>
      <c r="B10" s="323"/>
      <c r="C10" s="324"/>
      <c r="D10" s="320"/>
      <c r="E10" s="320">
        <f t="shared" ref="E10:E21" si="0">E9+D10</f>
        <v>2375000</v>
      </c>
      <c r="F10" s="326"/>
      <c r="G10" s="321">
        <f t="shared" ref="G10:G21" si="1">G9+F10</f>
        <v>0</v>
      </c>
      <c r="H10" s="321">
        <f t="shared" ref="H10:H21" si="2">H9-F10+D10</f>
        <v>2375000</v>
      </c>
      <c r="I10" s="322"/>
    </row>
    <row r="11" spans="1:9" s="308" customFormat="1" ht="12.75" customHeight="1" x14ac:dyDescent="0.25">
      <c r="A11" s="317"/>
      <c r="B11" s="318"/>
      <c r="C11" s="324"/>
      <c r="D11" s="320"/>
      <c r="E11" s="320">
        <f t="shared" si="0"/>
        <v>2375000</v>
      </c>
      <c r="F11" s="326"/>
      <c r="G11" s="321">
        <f t="shared" si="1"/>
        <v>0</v>
      </c>
      <c r="H11" s="321">
        <f t="shared" si="2"/>
        <v>2375000</v>
      </c>
      <c r="I11" s="322"/>
    </row>
    <row r="12" spans="1:9" s="308" customFormat="1" ht="12.75" customHeight="1" x14ac:dyDescent="0.25">
      <c r="A12" s="317"/>
      <c r="B12" s="318"/>
      <c r="C12" s="324"/>
      <c r="D12" s="320"/>
      <c r="E12" s="320">
        <f t="shared" si="0"/>
        <v>2375000</v>
      </c>
      <c r="F12" s="326"/>
      <c r="G12" s="321">
        <f t="shared" si="1"/>
        <v>0</v>
      </c>
      <c r="H12" s="321">
        <f t="shared" si="2"/>
        <v>2375000</v>
      </c>
      <c r="I12" s="322"/>
    </row>
    <row r="13" spans="1:9" s="308" customFormat="1" ht="12.75" customHeight="1" x14ac:dyDescent="0.25">
      <c r="A13" s="317"/>
      <c r="B13" s="318"/>
      <c r="C13" s="324"/>
      <c r="D13" s="320"/>
      <c r="E13" s="320">
        <f t="shared" si="0"/>
        <v>2375000</v>
      </c>
      <c r="F13" s="326"/>
      <c r="G13" s="321">
        <f t="shared" si="1"/>
        <v>0</v>
      </c>
      <c r="H13" s="321">
        <f t="shared" si="2"/>
        <v>2375000</v>
      </c>
      <c r="I13" s="322"/>
    </row>
    <row r="14" spans="1:9" s="308" customFormat="1" ht="12.75" customHeight="1" x14ac:dyDescent="0.25">
      <c r="A14" s="317"/>
      <c r="B14" s="318"/>
      <c r="C14" s="324"/>
      <c r="D14" s="320"/>
      <c r="E14" s="320">
        <f t="shared" si="0"/>
        <v>2375000</v>
      </c>
      <c r="F14" s="321"/>
      <c r="G14" s="321">
        <f t="shared" si="1"/>
        <v>0</v>
      </c>
      <c r="H14" s="321">
        <f t="shared" si="2"/>
        <v>2375000</v>
      </c>
      <c r="I14" s="322"/>
    </row>
    <row r="15" spans="1:9" s="308" customFormat="1" ht="12.75" customHeight="1" x14ac:dyDescent="0.25">
      <c r="A15" s="317"/>
      <c r="B15" s="318"/>
      <c r="C15" s="324"/>
      <c r="D15" s="320"/>
      <c r="E15" s="320">
        <f t="shared" si="0"/>
        <v>2375000</v>
      </c>
      <c r="F15" s="326"/>
      <c r="G15" s="321">
        <f t="shared" si="1"/>
        <v>0</v>
      </c>
      <c r="H15" s="321">
        <f t="shared" si="2"/>
        <v>2375000</v>
      </c>
      <c r="I15" s="322"/>
    </row>
    <row r="16" spans="1:9" s="308" customFormat="1" ht="12.75" customHeight="1" x14ac:dyDescent="0.25">
      <c r="A16" s="317"/>
      <c r="B16" s="318"/>
      <c r="C16" s="324"/>
      <c r="D16" s="320"/>
      <c r="E16" s="320">
        <f t="shared" si="0"/>
        <v>2375000</v>
      </c>
      <c r="F16" s="326"/>
      <c r="G16" s="321">
        <f t="shared" si="1"/>
        <v>0</v>
      </c>
      <c r="H16" s="321">
        <f t="shared" si="2"/>
        <v>2375000</v>
      </c>
      <c r="I16" s="322"/>
    </row>
    <row r="17" spans="1:9" s="308" customFormat="1" ht="12.75" customHeight="1" x14ac:dyDescent="0.25">
      <c r="A17" s="317"/>
      <c r="B17" s="318"/>
      <c r="C17" s="324"/>
      <c r="D17" s="320"/>
      <c r="E17" s="320">
        <f t="shared" si="0"/>
        <v>2375000</v>
      </c>
      <c r="F17" s="326"/>
      <c r="G17" s="321">
        <f t="shared" si="1"/>
        <v>0</v>
      </c>
      <c r="H17" s="321">
        <f t="shared" si="2"/>
        <v>2375000</v>
      </c>
      <c r="I17" s="322"/>
    </row>
    <row r="18" spans="1:9" s="308" customFormat="1" ht="12.75" customHeight="1" x14ac:dyDescent="0.25">
      <c r="A18" s="317"/>
      <c r="B18" s="318"/>
      <c r="C18" s="324"/>
      <c r="D18" s="320"/>
      <c r="E18" s="320">
        <f t="shared" si="0"/>
        <v>2375000</v>
      </c>
      <c r="F18" s="326"/>
      <c r="G18" s="321">
        <f t="shared" si="1"/>
        <v>0</v>
      </c>
      <c r="H18" s="321">
        <f t="shared" si="2"/>
        <v>2375000</v>
      </c>
      <c r="I18" s="322"/>
    </row>
    <row r="19" spans="1:9" s="308" customFormat="1" ht="12.75" customHeight="1" x14ac:dyDescent="0.25">
      <c r="A19" s="317"/>
      <c r="B19" s="318"/>
      <c r="C19" s="324"/>
      <c r="D19" s="320"/>
      <c r="E19" s="320">
        <f t="shared" si="0"/>
        <v>2375000</v>
      </c>
      <c r="F19" s="321"/>
      <c r="G19" s="321">
        <f t="shared" si="1"/>
        <v>0</v>
      </c>
      <c r="H19" s="321">
        <f t="shared" si="2"/>
        <v>2375000</v>
      </c>
      <c r="I19" s="322"/>
    </row>
    <row r="20" spans="1:9" s="308" customFormat="1" ht="12.75" customHeight="1" x14ac:dyDescent="0.25">
      <c r="A20" s="317"/>
      <c r="B20" s="318"/>
      <c r="C20" s="324"/>
      <c r="D20" s="320"/>
      <c r="E20" s="320">
        <f t="shared" si="0"/>
        <v>2375000</v>
      </c>
      <c r="F20" s="321"/>
      <c r="G20" s="321">
        <f t="shared" si="1"/>
        <v>0</v>
      </c>
      <c r="H20" s="321">
        <f t="shared" si="2"/>
        <v>2375000</v>
      </c>
      <c r="I20" s="322"/>
    </row>
    <row r="21" spans="1:9" s="308" customFormat="1" ht="12.75" customHeight="1" x14ac:dyDescent="0.25">
      <c r="A21" s="317"/>
      <c r="B21" s="318"/>
      <c r="C21" s="327"/>
      <c r="D21" s="320"/>
      <c r="E21" s="320">
        <f t="shared" si="0"/>
        <v>2375000</v>
      </c>
      <c r="F21" s="321"/>
      <c r="G21" s="321">
        <f t="shared" si="1"/>
        <v>0</v>
      </c>
      <c r="H21" s="321">
        <f t="shared" si="2"/>
        <v>2375000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2375000</v>
      </c>
      <c r="E23" s="184"/>
      <c r="F23" s="184">
        <f>SUM(F9:F22)</f>
        <v>0</v>
      </c>
      <c r="G23" s="184"/>
      <c r="H23" s="184">
        <f>D23-F23</f>
        <v>2375000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row r="27" spans="1:9" s="308" customFormat="1" ht="12.75" customHeight="1" x14ac:dyDescent="0.25"/>
    <row r="28" spans="1:9" s="308" customFormat="1" ht="12.75" customHeight="1" x14ac:dyDescent="0.25"/>
    <row r="29" spans="1:9" s="308" customFormat="1" ht="12.75" customHeight="1" x14ac:dyDescent="0.25"/>
  </sheetData>
  <conditionalFormatting sqref="I9:I25">
    <cfRule type="cellIs" dxfId="32" priority="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8EFE7-417E-4B55-BB88-0C302AFC0FC8}">
  <sheetPr codeName="Sheet9">
    <tabColor rgb="FF0070C0"/>
    <pageSetUpPr fitToPage="1"/>
  </sheetPr>
  <dimension ref="A1:G17"/>
  <sheetViews>
    <sheetView zoomScaleNormal="100" workbookViewId="0">
      <selection activeCell="B22" sqref="B22"/>
    </sheetView>
  </sheetViews>
  <sheetFormatPr defaultColWidth="11.42578125" defaultRowHeight="15" customHeight="1" x14ac:dyDescent="0.25"/>
  <cols>
    <col min="1" max="1" width="3.5703125" style="267" customWidth="1"/>
    <col min="2" max="2" width="25" style="267" customWidth="1"/>
    <col min="3" max="3" width="21.5703125" style="267" customWidth="1"/>
    <col min="4" max="4" width="17" style="267" customWidth="1"/>
    <col min="5" max="5" width="13.42578125" style="267" bestFit="1" customWidth="1"/>
    <col min="6" max="6" width="16.42578125" style="267" customWidth="1"/>
    <col min="7" max="7" width="16.42578125" style="267" bestFit="1" customWidth="1"/>
    <col min="8" max="256" width="11.42578125" style="267"/>
    <col min="257" max="263" width="11.42578125" style="267" customWidth="1"/>
    <col min="264" max="512" width="11.42578125" style="267"/>
    <col min="513" max="519" width="11.42578125" style="267" customWidth="1"/>
    <col min="520" max="768" width="11.42578125" style="267"/>
    <col min="769" max="775" width="11.42578125" style="267" customWidth="1"/>
    <col min="776" max="1024" width="11.42578125" style="267"/>
    <col min="1025" max="1031" width="11.42578125" style="267" customWidth="1"/>
    <col min="1032" max="1280" width="11.42578125" style="267"/>
    <col min="1281" max="1287" width="11.42578125" style="267" customWidth="1"/>
    <col min="1288" max="1536" width="11.42578125" style="267"/>
    <col min="1537" max="1543" width="11.42578125" style="267" customWidth="1"/>
    <col min="1544" max="1792" width="11.42578125" style="267"/>
    <col min="1793" max="1799" width="11.42578125" style="267" customWidth="1"/>
    <col min="1800" max="2048" width="11.42578125" style="267"/>
    <col min="2049" max="2055" width="11.42578125" style="267" customWidth="1"/>
    <col min="2056" max="2304" width="11.42578125" style="267"/>
    <col min="2305" max="2311" width="11.42578125" style="267" customWidth="1"/>
    <col min="2312" max="2560" width="11.42578125" style="267"/>
    <col min="2561" max="2567" width="11.42578125" style="267" customWidth="1"/>
    <col min="2568" max="2816" width="11.42578125" style="267"/>
    <col min="2817" max="2823" width="11.42578125" style="267" customWidth="1"/>
    <col min="2824" max="3072" width="11.42578125" style="267"/>
    <col min="3073" max="3079" width="11.42578125" style="267" customWidth="1"/>
    <col min="3080" max="3328" width="11.42578125" style="267"/>
    <col min="3329" max="3335" width="11.42578125" style="267" customWidth="1"/>
    <col min="3336" max="3584" width="11.42578125" style="267"/>
    <col min="3585" max="3591" width="11.42578125" style="267" customWidth="1"/>
    <col min="3592" max="3840" width="11.42578125" style="267"/>
    <col min="3841" max="3847" width="11.42578125" style="267" customWidth="1"/>
    <col min="3848" max="4096" width="11.42578125" style="267"/>
    <col min="4097" max="4103" width="11.42578125" style="267" customWidth="1"/>
    <col min="4104" max="4352" width="11.42578125" style="267"/>
    <col min="4353" max="4359" width="11.42578125" style="267" customWidth="1"/>
    <col min="4360" max="4608" width="11.42578125" style="267"/>
    <col min="4609" max="4615" width="11.42578125" style="267" customWidth="1"/>
    <col min="4616" max="4864" width="11.42578125" style="267"/>
    <col min="4865" max="4871" width="11.42578125" style="267" customWidth="1"/>
    <col min="4872" max="5120" width="11.42578125" style="267"/>
    <col min="5121" max="5127" width="11.42578125" style="267" customWidth="1"/>
    <col min="5128" max="5376" width="11.42578125" style="267"/>
    <col min="5377" max="5383" width="11.42578125" style="267" customWidth="1"/>
    <col min="5384" max="5632" width="11.42578125" style="267"/>
    <col min="5633" max="5639" width="11.42578125" style="267" customWidth="1"/>
    <col min="5640" max="5888" width="11.42578125" style="267"/>
    <col min="5889" max="5895" width="11.42578125" style="267" customWidth="1"/>
    <col min="5896" max="6144" width="11.42578125" style="267"/>
    <col min="6145" max="6151" width="11.42578125" style="267" customWidth="1"/>
    <col min="6152" max="6400" width="11.42578125" style="267"/>
    <col min="6401" max="6407" width="11.42578125" style="267" customWidth="1"/>
    <col min="6408" max="6656" width="11.42578125" style="267"/>
    <col min="6657" max="6663" width="11.42578125" style="267" customWidth="1"/>
    <col min="6664" max="6912" width="11.42578125" style="267"/>
    <col min="6913" max="6919" width="11.42578125" style="267" customWidth="1"/>
    <col min="6920" max="7168" width="11.42578125" style="267"/>
    <col min="7169" max="7175" width="11.42578125" style="267" customWidth="1"/>
    <col min="7176" max="7424" width="11.42578125" style="267"/>
    <col min="7425" max="7431" width="11.42578125" style="267" customWidth="1"/>
    <col min="7432" max="7680" width="11.42578125" style="267"/>
    <col min="7681" max="7687" width="11.42578125" style="267" customWidth="1"/>
    <col min="7688" max="7936" width="11.42578125" style="267"/>
    <col min="7937" max="7943" width="11.42578125" style="267" customWidth="1"/>
    <col min="7944" max="8192" width="11.42578125" style="267"/>
    <col min="8193" max="8199" width="11.42578125" style="267" customWidth="1"/>
    <col min="8200" max="8448" width="11.42578125" style="267"/>
    <col min="8449" max="8455" width="11.42578125" style="267" customWidth="1"/>
    <col min="8456" max="8704" width="11.42578125" style="267"/>
    <col min="8705" max="8711" width="11.42578125" style="267" customWidth="1"/>
    <col min="8712" max="8960" width="11.42578125" style="267"/>
    <col min="8961" max="8967" width="11.42578125" style="267" customWidth="1"/>
    <col min="8968" max="9216" width="11.42578125" style="267"/>
    <col min="9217" max="9223" width="11.42578125" style="267" customWidth="1"/>
    <col min="9224" max="9472" width="11.42578125" style="267"/>
    <col min="9473" max="9479" width="11.42578125" style="267" customWidth="1"/>
    <col min="9480" max="9728" width="11.42578125" style="267"/>
    <col min="9729" max="9735" width="11.42578125" style="267" customWidth="1"/>
    <col min="9736" max="9984" width="11.42578125" style="267"/>
    <col min="9985" max="9991" width="11.42578125" style="267" customWidth="1"/>
    <col min="9992" max="10240" width="11.42578125" style="267"/>
    <col min="10241" max="10247" width="11.42578125" style="267" customWidth="1"/>
    <col min="10248" max="10496" width="11.42578125" style="267"/>
    <col min="10497" max="10503" width="11.42578125" style="267" customWidth="1"/>
    <col min="10504" max="10752" width="11.42578125" style="267"/>
    <col min="10753" max="10759" width="11.42578125" style="267" customWidth="1"/>
    <col min="10760" max="11008" width="11.42578125" style="267"/>
    <col min="11009" max="11015" width="11.42578125" style="267" customWidth="1"/>
    <col min="11016" max="11264" width="11.42578125" style="267"/>
    <col min="11265" max="11271" width="11.42578125" style="267" customWidth="1"/>
    <col min="11272" max="11520" width="11.42578125" style="267"/>
    <col min="11521" max="11527" width="11.42578125" style="267" customWidth="1"/>
    <col min="11528" max="11776" width="11.42578125" style="267"/>
    <col min="11777" max="11783" width="11.42578125" style="267" customWidth="1"/>
    <col min="11784" max="12032" width="11.42578125" style="267"/>
    <col min="12033" max="12039" width="11.42578125" style="267" customWidth="1"/>
    <col min="12040" max="12288" width="11.42578125" style="267"/>
    <col min="12289" max="12295" width="11.42578125" style="267" customWidth="1"/>
    <col min="12296" max="12544" width="11.42578125" style="267"/>
    <col min="12545" max="12551" width="11.42578125" style="267" customWidth="1"/>
    <col min="12552" max="12800" width="11.42578125" style="267"/>
    <col min="12801" max="12807" width="11.42578125" style="267" customWidth="1"/>
    <col min="12808" max="13056" width="11.42578125" style="267"/>
    <col min="13057" max="13063" width="11.42578125" style="267" customWidth="1"/>
    <col min="13064" max="13312" width="11.42578125" style="267"/>
    <col min="13313" max="13319" width="11.42578125" style="267" customWidth="1"/>
    <col min="13320" max="13568" width="11.42578125" style="267"/>
    <col min="13569" max="13575" width="11.42578125" style="267" customWidth="1"/>
    <col min="13576" max="13824" width="11.42578125" style="267"/>
    <col min="13825" max="13831" width="11.42578125" style="267" customWidth="1"/>
    <col min="13832" max="14080" width="11.42578125" style="267"/>
    <col min="14081" max="14087" width="11.42578125" style="267" customWidth="1"/>
    <col min="14088" max="14336" width="11.42578125" style="267"/>
    <col min="14337" max="14343" width="11.42578125" style="267" customWidth="1"/>
    <col min="14344" max="14592" width="11.42578125" style="267"/>
    <col min="14593" max="14599" width="11.42578125" style="267" customWidth="1"/>
    <col min="14600" max="14848" width="11.42578125" style="267"/>
    <col min="14849" max="14855" width="11.42578125" style="267" customWidth="1"/>
    <col min="14856" max="15104" width="11.42578125" style="267"/>
    <col min="15105" max="15111" width="11.42578125" style="267" customWidth="1"/>
    <col min="15112" max="15360" width="11.42578125" style="267"/>
    <col min="15361" max="15367" width="11.42578125" style="267" customWidth="1"/>
    <col min="15368" max="15616" width="11.42578125" style="267"/>
    <col min="15617" max="15623" width="11.42578125" style="267" customWidth="1"/>
    <col min="15624" max="15872" width="11.42578125" style="267"/>
    <col min="15873" max="15879" width="11.42578125" style="267" customWidth="1"/>
    <col min="15880" max="16128" width="11.42578125" style="267"/>
    <col min="16129" max="16135" width="11.42578125" style="267" customWidth="1"/>
    <col min="16136" max="16384" width="11.42578125" style="267"/>
  </cols>
  <sheetData>
    <row r="1" spans="1:7" ht="15.75" x14ac:dyDescent="0.25">
      <c r="A1" s="234"/>
      <c r="B1" s="116" t="s">
        <v>173</v>
      </c>
      <c r="C1" s="116"/>
      <c r="D1" s="193"/>
      <c r="E1" s="193"/>
      <c r="F1" s="193"/>
      <c r="G1" s="193"/>
    </row>
    <row r="2" spans="1:7" ht="15.75" x14ac:dyDescent="0.25">
      <c r="A2" s="234"/>
      <c r="B2" s="134" t="s">
        <v>174</v>
      </c>
      <c r="C2" s="196"/>
      <c r="D2" s="193"/>
      <c r="E2" s="193"/>
      <c r="F2" s="193"/>
      <c r="G2" s="193"/>
    </row>
    <row r="3" spans="1:7" ht="15.75" x14ac:dyDescent="0.25">
      <c r="A3" s="234"/>
      <c r="B3" s="197" t="s">
        <v>175</v>
      </c>
      <c r="C3" s="196"/>
      <c r="D3" s="193"/>
      <c r="E3" s="198" t="s">
        <v>112</v>
      </c>
      <c r="F3" s="193"/>
      <c r="G3" s="193"/>
    </row>
    <row r="4" spans="1:7" ht="15.75" x14ac:dyDescent="0.25">
      <c r="A4" s="234"/>
      <c r="B4" s="194" t="s">
        <v>36</v>
      </c>
      <c r="C4" s="235" t="s">
        <v>3</v>
      </c>
      <c r="D4" s="193"/>
      <c r="E4" s="193"/>
      <c r="F4" s="193"/>
      <c r="G4" s="193"/>
    </row>
    <row r="5" spans="1:7" ht="15.75" x14ac:dyDescent="0.25">
      <c r="A5" s="234"/>
      <c r="B5" s="134" t="s">
        <v>63</v>
      </c>
      <c r="C5" s="196"/>
      <c r="D5" s="193"/>
      <c r="E5" s="237" t="s">
        <v>1053</v>
      </c>
      <c r="F5" s="489">
        <v>46129</v>
      </c>
      <c r="G5" s="193"/>
    </row>
    <row r="6" spans="1:7" ht="15.75" x14ac:dyDescent="0.25">
      <c r="A6" s="234"/>
      <c r="B6" s="134" t="s">
        <v>176</v>
      </c>
      <c r="C6" s="236"/>
      <c r="D6" s="237" t="s">
        <v>3</v>
      </c>
      <c r="E6" s="193"/>
      <c r="F6" s="193"/>
      <c r="G6" s="193"/>
    </row>
    <row r="7" spans="1:7" ht="36" customHeight="1" thickBot="1" x14ac:dyDescent="0.3">
      <c r="A7" s="234"/>
      <c r="B7" s="238" t="s">
        <v>3</v>
      </c>
      <c r="C7" s="239" t="s">
        <v>0</v>
      </c>
      <c r="D7" s="240" t="s">
        <v>1</v>
      </c>
      <c r="E7" s="241" t="s">
        <v>2</v>
      </c>
      <c r="F7" s="242" t="s">
        <v>37</v>
      </c>
      <c r="G7" s="242" t="s">
        <v>38</v>
      </c>
    </row>
    <row r="8" spans="1:7" ht="28.35" customHeight="1" x14ac:dyDescent="0.25">
      <c r="A8" s="234"/>
      <c r="B8" s="196" t="s">
        <v>39</v>
      </c>
      <c r="C8" s="243">
        <f>'#9438.00 Funds Rec''d'!H24</f>
        <v>15499.2</v>
      </c>
      <c r="D8" s="244"/>
      <c r="E8" s="244"/>
      <c r="F8" s="244"/>
      <c r="G8" s="245"/>
    </row>
    <row r="9" spans="1:7" s="389" customFormat="1" ht="12.75" customHeight="1" x14ac:dyDescent="0.25">
      <c r="A9" s="381"/>
      <c r="B9" s="426"/>
      <c r="C9" s="427"/>
      <c r="D9" s="428"/>
      <c r="E9" s="428"/>
      <c r="F9" s="428"/>
      <c r="G9" s="429"/>
    </row>
    <row r="10" spans="1:7" s="389" customFormat="1" ht="12.75" customHeight="1" x14ac:dyDescent="0.25">
      <c r="A10" s="381" t="s">
        <v>325</v>
      </c>
      <c r="B10" s="426" t="s">
        <v>223</v>
      </c>
      <c r="C10" s="427"/>
      <c r="D10" s="430">
        <f>'#9438.00 Jasper Construction'!D23</f>
        <v>15316.75</v>
      </c>
      <c r="E10" s="430">
        <f>'#9438.00 Jasper Construction'!F23</f>
        <v>15316.75</v>
      </c>
      <c r="F10" s="430">
        <f>'#9438.00 Jasper Construction'!H23</f>
        <v>0</v>
      </c>
      <c r="G10" s="429"/>
    </row>
    <row r="11" spans="1:7" s="389" customFormat="1" ht="12.75" customHeight="1" x14ac:dyDescent="0.25">
      <c r="A11" s="381" t="s">
        <v>325</v>
      </c>
      <c r="B11" s="426" t="s">
        <v>41</v>
      </c>
      <c r="C11" s="427"/>
      <c r="D11" s="430">
        <f>'#9438.00 PM TIME'!E23</f>
        <v>0</v>
      </c>
      <c r="E11" s="430">
        <f>'#9438.00 PM TIME'!G23</f>
        <v>0</v>
      </c>
      <c r="F11" s="430">
        <f>'#9438.00 PM TIME'!I23</f>
        <v>0</v>
      </c>
      <c r="G11" s="429"/>
    </row>
    <row r="12" spans="1:7" s="389" customFormat="1" ht="12.75" customHeight="1" x14ac:dyDescent="0.25">
      <c r="A12" s="381" t="s">
        <v>325</v>
      </c>
      <c r="B12" s="426" t="s">
        <v>42</v>
      </c>
      <c r="C12" s="428"/>
      <c r="D12" s="431">
        <f>'#9438.00 Misc'!G22</f>
        <v>182.45</v>
      </c>
      <c r="E12" s="431">
        <f>'#9438.00 Misc'!G22</f>
        <v>182.45</v>
      </c>
      <c r="F12" s="430">
        <f>D12-E12</f>
        <v>0</v>
      </c>
      <c r="G12" s="429"/>
    </row>
    <row r="13" spans="1:7" s="389" customFormat="1" ht="12.75" customHeight="1" x14ac:dyDescent="0.25">
      <c r="A13" s="381"/>
      <c r="B13" s="426"/>
      <c r="C13" s="428"/>
      <c r="D13" s="431"/>
      <c r="E13" s="431"/>
      <c r="F13" s="430"/>
      <c r="G13" s="429"/>
    </row>
    <row r="14" spans="1:7" ht="24" customHeight="1" thickBot="1" x14ac:dyDescent="0.3">
      <c r="A14" s="249"/>
      <c r="B14" s="250" t="s">
        <v>43</v>
      </c>
      <c r="C14" s="251">
        <f>SUM(C8:C13)</f>
        <v>15499.2</v>
      </c>
      <c r="D14" s="251">
        <f>SUM(D8:D13)</f>
        <v>15499.2</v>
      </c>
      <c r="E14" s="251">
        <f>SUM(E8:E13)</f>
        <v>15499.2</v>
      </c>
      <c r="F14" s="251">
        <f>SUM(D14-E14)</f>
        <v>0</v>
      </c>
      <c r="G14" s="251">
        <f>C8-D14</f>
        <v>0</v>
      </c>
    </row>
    <row r="15" spans="1:7" ht="15" customHeight="1" thickTop="1" x14ac:dyDescent="0.25"/>
    <row r="17" spans="2:2" ht="15" customHeight="1" x14ac:dyDescent="0.25">
      <c r="B17" s="425"/>
    </row>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&amp;LAcct Codes 0506-335-DA26&amp;C&amp;Z&amp;F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7701F-AE59-486A-9A24-CAEEC4620647}">
  <sheetPr codeName="Sheet10">
    <tabColor rgb="FF0070C0"/>
    <pageSetUpPr fitToPage="1"/>
  </sheetPr>
  <dimension ref="A1:H25"/>
  <sheetViews>
    <sheetView zoomScaleNormal="100" workbookViewId="0">
      <selection activeCell="P26" sqref="P26"/>
    </sheetView>
  </sheetViews>
  <sheetFormatPr defaultRowHeight="15" customHeight="1" x14ac:dyDescent="0.25"/>
  <cols>
    <col min="1" max="1" width="15.5703125" style="267" customWidth="1"/>
    <col min="2" max="2" width="20.5703125" style="267" customWidth="1"/>
    <col min="3" max="3" width="12.42578125" style="267" bestFit="1" customWidth="1"/>
    <col min="4" max="4" width="38.42578125" style="267" customWidth="1"/>
    <col min="5" max="5" width="15.42578125" style="267" bestFit="1" customWidth="1"/>
    <col min="6" max="6" width="10.42578125" style="267" bestFit="1" customWidth="1"/>
    <col min="7" max="8" width="12.42578125" style="267" bestFit="1" customWidth="1"/>
    <col min="9" max="11" width="9.140625" style="267" customWidth="1"/>
    <col min="12" max="256" width="9.140625" style="267"/>
    <col min="257" max="267" width="9.140625" style="267" customWidth="1"/>
    <col min="268" max="512" width="9.140625" style="267"/>
    <col min="513" max="523" width="9.140625" style="267" customWidth="1"/>
    <col min="524" max="768" width="9.140625" style="267"/>
    <col min="769" max="779" width="9.140625" style="267" customWidth="1"/>
    <col min="780" max="1024" width="9.140625" style="267"/>
    <col min="1025" max="1035" width="9.140625" style="267" customWidth="1"/>
    <col min="1036" max="1280" width="9.140625" style="267"/>
    <col min="1281" max="1291" width="9.140625" style="267" customWidth="1"/>
    <col min="1292" max="1536" width="9.140625" style="267"/>
    <col min="1537" max="1547" width="9.140625" style="267" customWidth="1"/>
    <col min="1548" max="1792" width="9.140625" style="267"/>
    <col min="1793" max="1803" width="9.140625" style="267" customWidth="1"/>
    <col min="1804" max="2048" width="9.140625" style="267"/>
    <col min="2049" max="2059" width="9.140625" style="267" customWidth="1"/>
    <col min="2060" max="2304" width="9.140625" style="267"/>
    <col min="2305" max="2315" width="9.140625" style="267" customWidth="1"/>
    <col min="2316" max="2560" width="9.140625" style="267"/>
    <col min="2561" max="2571" width="9.140625" style="267" customWidth="1"/>
    <col min="2572" max="2816" width="9.140625" style="267"/>
    <col min="2817" max="2827" width="9.140625" style="267" customWidth="1"/>
    <col min="2828" max="3072" width="9.140625" style="267"/>
    <col min="3073" max="3083" width="9.140625" style="267" customWidth="1"/>
    <col min="3084" max="3328" width="9.140625" style="267"/>
    <col min="3329" max="3339" width="9.140625" style="267" customWidth="1"/>
    <col min="3340" max="3584" width="9.140625" style="267"/>
    <col min="3585" max="3595" width="9.140625" style="267" customWidth="1"/>
    <col min="3596" max="3840" width="9.140625" style="267"/>
    <col min="3841" max="3851" width="9.140625" style="267" customWidth="1"/>
    <col min="3852" max="4096" width="9.140625" style="267"/>
    <col min="4097" max="4107" width="9.140625" style="267" customWidth="1"/>
    <col min="4108" max="4352" width="9.140625" style="267"/>
    <col min="4353" max="4363" width="9.140625" style="267" customWidth="1"/>
    <col min="4364" max="4608" width="9.140625" style="267"/>
    <col min="4609" max="4619" width="9.140625" style="267" customWidth="1"/>
    <col min="4620" max="4864" width="9.140625" style="267"/>
    <col min="4865" max="4875" width="9.140625" style="267" customWidth="1"/>
    <col min="4876" max="5120" width="9.140625" style="267"/>
    <col min="5121" max="5131" width="9.140625" style="267" customWidth="1"/>
    <col min="5132" max="5376" width="9.140625" style="267"/>
    <col min="5377" max="5387" width="9.140625" style="267" customWidth="1"/>
    <col min="5388" max="5632" width="9.140625" style="267"/>
    <col min="5633" max="5643" width="9.140625" style="267" customWidth="1"/>
    <col min="5644" max="5888" width="9.140625" style="267"/>
    <col min="5889" max="5899" width="9.140625" style="267" customWidth="1"/>
    <col min="5900" max="6144" width="9.140625" style="267"/>
    <col min="6145" max="6155" width="9.140625" style="267" customWidth="1"/>
    <col min="6156" max="6400" width="9.140625" style="267"/>
    <col min="6401" max="6411" width="9.140625" style="267" customWidth="1"/>
    <col min="6412" max="6656" width="9.140625" style="267"/>
    <col min="6657" max="6667" width="9.140625" style="267" customWidth="1"/>
    <col min="6668" max="6912" width="9.140625" style="267"/>
    <col min="6913" max="6923" width="9.140625" style="267" customWidth="1"/>
    <col min="6924" max="7168" width="9.140625" style="267"/>
    <col min="7169" max="7179" width="9.140625" style="267" customWidth="1"/>
    <col min="7180" max="7424" width="9.140625" style="267"/>
    <col min="7425" max="7435" width="9.140625" style="267" customWidth="1"/>
    <col min="7436" max="7680" width="9.140625" style="267"/>
    <col min="7681" max="7691" width="9.140625" style="267" customWidth="1"/>
    <col min="7692" max="7936" width="9.140625" style="267"/>
    <col min="7937" max="7947" width="9.140625" style="267" customWidth="1"/>
    <col min="7948" max="8192" width="9.140625" style="267"/>
    <col min="8193" max="8203" width="9.140625" style="267" customWidth="1"/>
    <col min="8204" max="8448" width="9.140625" style="267"/>
    <col min="8449" max="8459" width="9.140625" style="267" customWidth="1"/>
    <col min="8460" max="8704" width="9.140625" style="267"/>
    <col min="8705" max="8715" width="9.140625" style="267" customWidth="1"/>
    <col min="8716" max="8960" width="9.140625" style="267"/>
    <col min="8961" max="8971" width="9.140625" style="267" customWidth="1"/>
    <col min="8972" max="9216" width="9.140625" style="267"/>
    <col min="9217" max="9227" width="9.140625" style="267" customWidth="1"/>
    <col min="9228" max="9472" width="9.140625" style="267"/>
    <col min="9473" max="9483" width="9.140625" style="267" customWidth="1"/>
    <col min="9484" max="9728" width="9.140625" style="267"/>
    <col min="9729" max="9739" width="9.140625" style="267" customWidth="1"/>
    <col min="9740" max="9984" width="9.140625" style="267"/>
    <col min="9985" max="9995" width="9.140625" style="267" customWidth="1"/>
    <col min="9996" max="10240" width="9.140625" style="267"/>
    <col min="10241" max="10251" width="9.140625" style="267" customWidth="1"/>
    <col min="10252" max="10496" width="9.140625" style="267"/>
    <col min="10497" max="10507" width="9.140625" style="267" customWidth="1"/>
    <col min="10508" max="10752" width="9.140625" style="267"/>
    <col min="10753" max="10763" width="9.140625" style="267" customWidth="1"/>
    <col min="10764" max="11008" width="9.140625" style="267"/>
    <col min="11009" max="11019" width="9.140625" style="267" customWidth="1"/>
    <col min="11020" max="11264" width="9.140625" style="267"/>
    <col min="11265" max="11275" width="9.140625" style="267" customWidth="1"/>
    <col min="11276" max="11520" width="9.140625" style="267"/>
    <col min="11521" max="11531" width="9.140625" style="267" customWidth="1"/>
    <col min="11532" max="11776" width="9.140625" style="267"/>
    <col min="11777" max="11787" width="9.140625" style="267" customWidth="1"/>
    <col min="11788" max="12032" width="9.140625" style="267"/>
    <col min="12033" max="12043" width="9.140625" style="267" customWidth="1"/>
    <col min="12044" max="12288" width="9.140625" style="267"/>
    <col min="12289" max="12299" width="9.140625" style="267" customWidth="1"/>
    <col min="12300" max="12544" width="9.140625" style="267"/>
    <col min="12545" max="12555" width="9.140625" style="267" customWidth="1"/>
    <col min="12556" max="12800" width="9.140625" style="267"/>
    <col min="12801" max="12811" width="9.140625" style="267" customWidth="1"/>
    <col min="12812" max="13056" width="9.140625" style="267"/>
    <col min="13057" max="13067" width="9.140625" style="267" customWidth="1"/>
    <col min="13068" max="13312" width="9.140625" style="267"/>
    <col min="13313" max="13323" width="9.140625" style="267" customWidth="1"/>
    <col min="13324" max="13568" width="9.140625" style="267"/>
    <col min="13569" max="13579" width="9.140625" style="267" customWidth="1"/>
    <col min="13580" max="13824" width="9.140625" style="267"/>
    <col min="13825" max="13835" width="9.140625" style="267" customWidth="1"/>
    <col min="13836" max="14080" width="9.140625" style="267"/>
    <col min="14081" max="14091" width="9.140625" style="267" customWidth="1"/>
    <col min="14092" max="14336" width="9.140625" style="267"/>
    <col min="14337" max="14347" width="9.140625" style="267" customWidth="1"/>
    <col min="14348" max="14592" width="9.140625" style="267"/>
    <col min="14593" max="14603" width="9.140625" style="267" customWidth="1"/>
    <col min="14604" max="14848" width="9.140625" style="267"/>
    <col min="14849" max="14859" width="9.140625" style="267" customWidth="1"/>
    <col min="14860" max="15104" width="9.140625" style="267"/>
    <col min="15105" max="15115" width="9.140625" style="267" customWidth="1"/>
    <col min="15116" max="15360" width="9.140625" style="267"/>
    <col min="15361" max="15371" width="9.140625" style="267" customWidth="1"/>
    <col min="15372" max="15616" width="9.140625" style="267"/>
    <col min="15617" max="15627" width="9.140625" style="267" customWidth="1"/>
    <col min="15628" max="15872" width="9.140625" style="267"/>
    <col min="15873" max="15883" width="9.140625" style="267" customWidth="1"/>
    <col min="15884" max="16128" width="9.140625" style="267"/>
    <col min="16129" max="16139" width="9.140625" style="267" customWidth="1"/>
    <col min="16140" max="16384" width="9.140625" style="267"/>
  </cols>
  <sheetData>
    <row r="1" spans="1:8" x14ac:dyDescent="0.25">
      <c r="A1" s="253" t="str">
        <f>'RECAP #9438.00'!B1</f>
        <v>DOC FDCF Warehouse Loading Dock Ramp Repairs</v>
      </c>
      <c r="B1" s="254"/>
      <c r="C1" s="255"/>
      <c r="D1" s="256"/>
      <c r="E1" s="256"/>
      <c r="F1" s="254"/>
      <c r="G1" s="254"/>
      <c r="H1" s="254"/>
    </row>
    <row r="2" spans="1:8" x14ac:dyDescent="0.25">
      <c r="A2" s="257" t="str">
        <f>'RECAP #9438.00'!B2</f>
        <v>Project # 9438.00</v>
      </c>
      <c r="B2" s="254"/>
      <c r="C2" s="258" t="s">
        <v>3</v>
      </c>
      <c r="D2" s="259"/>
      <c r="E2" s="259"/>
      <c r="F2" s="254"/>
      <c r="G2" s="254"/>
      <c r="H2" s="254"/>
    </row>
    <row r="3" spans="1:8" x14ac:dyDescent="0.25">
      <c r="A3" s="260" t="str">
        <f>'RECAP #9438.00'!B3</f>
        <v>Program code 943800</v>
      </c>
      <c r="B3" s="254"/>
      <c r="C3" s="258" t="s">
        <v>3</v>
      </c>
      <c r="D3" s="261" t="str">
        <f>'RECAP #9438.00'!E3</f>
        <v>Major Program 4B01</v>
      </c>
      <c r="E3" s="256"/>
      <c r="F3" s="254"/>
      <c r="G3" s="254"/>
      <c r="H3" s="254"/>
    </row>
    <row r="4" spans="1:8" ht="15.75" x14ac:dyDescent="0.25">
      <c r="A4" s="116" t="s">
        <v>44</v>
      </c>
      <c r="B4" s="262" t="s">
        <v>3</v>
      </c>
      <c r="C4" s="256"/>
      <c r="D4" s="256"/>
      <c r="E4" s="256"/>
      <c r="F4" s="254"/>
      <c r="G4" s="254"/>
      <c r="H4" s="254"/>
    </row>
    <row r="5" spans="1:8" x14ac:dyDescent="0.25">
      <c r="A5" s="249" t="s">
        <v>64</v>
      </c>
      <c r="B5" s="263"/>
      <c r="C5" s="264"/>
      <c r="D5" s="217"/>
      <c r="E5" s="254"/>
      <c r="F5" s="254"/>
      <c r="G5" s="254"/>
      <c r="H5" s="254"/>
    </row>
    <row r="6" spans="1:8" x14ac:dyDescent="0.25">
      <c r="A6" s="265" t="str">
        <f>'RECAP #9438.00'!B6</f>
        <v>Project Manager - Jennie E.</v>
      </c>
      <c r="B6" s="263"/>
      <c r="C6" s="266"/>
      <c r="D6" s="217"/>
      <c r="E6" s="263"/>
      <c r="F6" s="217"/>
      <c r="G6" s="266"/>
      <c r="H6" s="266"/>
    </row>
    <row r="7" spans="1:8" ht="18" x14ac:dyDescent="0.25">
      <c r="A7" s="265"/>
      <c r="B7" s="268"/>
      <c r="C7" s="269"/>
      <c r="D7" s="268"/>
      <c r="E7" s="268"/>
      <c r="F7" s="270"/>
      <c r="G7" s="269"/>
      <c r="H7" s="269"/>
    </row>
    <row r="8" spans="1:8" ht="50.85" customHeight="1" thickBot="1" x14ac:dyDescent="0.3">
      <c r="A8" s="271" t="s">
        <v>4</v>
      </c>
      <c r="B8" s="272" t="s">
        <v>45</v>
      </c>
      <c r="C8" s="273" t="s">
        <v>5</v>
      </c>
      <c r="D8" s="271" t="s">
        <v>6</v>
      </c>
      <c r="E8" s="272" t="s">
        <v>46</v>
      </c>
      <c r="F8" s="274" t="s">
        <v>7</v>
      </c>
      <c r="G8" s="273" t="s">
        <v>5</v>
      </c>
      <c r="H8" s="275" t="s">
        <v>8</v>
      </c>
    </row>
    <row r="9" spans="1:8" s="389" customFormat="1" ht="12.75" customHeight="1" x14ac:dyDescent="0.25">
      <c r="A9" s="442"/>
      <c r="B9" s="441"/>
      <c r="C9" s="443"/>
      <c r="D9" s="444" t="s">
        <v>96</v>
      </c>
      <c r="E9" s="444" t="s">
        <v>180</v>
      </c>
      <c r="F9" s="445">
        <v>45890</v>
      </c>
      <c r="G9" s="421">
        <v>15650</v>
      </c>
      <c r="H9" s="421">
        <v>15650</v>
      </c>
    </row>
    <row r="10" spans="1:8" s="389" customFormat="1" ht="12.75" customHeight="1" x14ac:dyDescent="0.25">
      <c r="A10" s="442"/>
      <c r="B10" s="442"/>
      <c r="C10" s="446"/>
      <c r="D10" s="444" t="s">
        <v>677</v>
      </c>
      <c r="E10" s="442" t="s">
        <v>678</v>
      </c>
      <c r="F10" s="442">
        <v>46132</v>
      </c>
      <c r="G10" s="447">
        <v>-150.80000000000001</v>
      </c>
      <c r="H10" s="447">
        <v>-150.80000000000001</v>
      </c>
    </row>
    <row r="11" spans="1:8" s="389" customFormat="1" ht="12.75" customHeight="1" x14ac:dyDescent="0.25">
      <c r="A11" s="448"/>
      <c r="B11" s="446"/>
      <c r="C11" s="449"/>
      <c r="D11" s="444"/>
      <c r="F11" s="442"/>
      <c r="G11" s="450"/>
      <c r="H11" s="451"/>
    </row>
    <row r="12" spans="1:8" s="389" customFormat="1" ht="12.75" customHeight="1" x14ac:dyDescent="0.25">
      <c r="A12" s="448"/>
      <c r="B12" s="446"/>
      <c r="C12" s="452"/>
      <c r="D12" s="444"/>
      <c r="F12" s="442"/>
      <c r="G12" s="450"/>
      <c r="H12" s="451"/>
    </row>
    <row r="13" spans="1:8" s="389" customFormat="1" ht="12.75" customHeight="1" x14ac:dyDescent="0.25">
      <c r="A13" s="390"/>
      <c r="B13" s="453"/>
      <c r="C13" s="452"/>
      <c r="D13" s="444"/>
      <c r="F13" s="442"/>
      <c r="G13" s="454"/>
      <c r="H13" s="451"/>
    </row>
    <row r="14" spans="1:8" s="389" customFormat="1" ht="12.75" customHeight="1" x14ac:dyDescent="0.25">
      <c r="A14" s="448"/>
      <c r="B14" s="455"/>
      <c r="C14" s="452"/>
      <c r="D14" s="446"/>
      <c r="E14" s="455"/>
      <c r="F14" s="442"/>
      <c r="G14" s="450"/>
      <c r="H14" s="451"/>
    </row>
    <row r="15" spans="1:8" s="389" customFormat="1" ht="12.75" customHeight="1" x14ac:dyDescent="0.25">
      <c r="A15" s="448"/>
      <c r="B15" s="455"/>
      <c r="C15" s="456"/>
      <c r="D15" s="457"/>
      <c r="E15" s="453"/>
      <c r="F15" s="458"/>
      <c r="G15" s="459"/>
      <c r="H15" s="459"/>
    </row>
    <row r="16" spans="1:8" s="389" customFormat="1" ht="12.75" customHeight="1" x14ac:dyDescent="0.25">
      <c r="A16" s="448"/>
      <c r="B16" s="455"/>
      <c r="C16" s="456" t="s">
        <v>3</v>
      </c>
      <c r="D16" s="457"/>
      <c r="E16" s="455"/>
      <c r="F16" s="458"/>
      <c r="G16" s="459"/>
      <c r="H16" s="459"/>
    </row>
    <row r="17" spans="1:8" s="389" customFormat="1" ht="12.75" customHeight="1" x14ac:dyDescent="0.25">
      <c r="A17" s="448"/>
      <c r="B17" s="455"/>
      <c r="C17" s="456"/>
      <c r="D17" s="457"/>
      <c r="E17" s="455"/>
      <c r="F17" s="458"/>
      <c r="G17" s="460"/>
      <c r="H17" s="456"/>
    </row>
    <row r="18" spans="1:8" s="389" customFormat="1" ht="12.75" customHeight="1" x14ac:dyDescent="0.25">
      <c r="A18" s="448"/>
      <c r="B18" s="461"/>
      <c r="C18" s="456"/>
      <c r="D18" s="457"/>
      <c r="E18" s="455"/>
      <c r="F18" s="458"/>
      <c r="G18" s="459"/>
      <c r="H18" s="459"/>
    </row>
    <row r="19" spans="1:8" s="389" customFormat="1" ht="12.75" customHeight="1" x14ac:dyDescent="0.25">
      <c r="A19" s="448"/>
      <c r="B19" s="455"/>
      <c r="C19" s="456"/>
      <c r="D19" s="457"/>
      <c r="E19" s="455"/>
      <c r="F19" s="458"/>
      <c r="G19" s="459"/>
      <c r="H19" s="459"/>
    </row>
    <row r="20" spans="1:8" s="389" customFormat="1" ht="12.75" customHeight="1" x14ac:dyDescent="0.25">
      <c r="A20" s="448"/>
      <c r="B20" s="455"/>
      <c r="C20" s="456"/>
      <c r="D20" s="457"/>
      <c r="E20" s="455"/>
      <c r="F20" s="458"/>
      <c r="G20" s="460"/>
      <c r="H20" s="456"/>
    </row>
    <row r="21" spans="1:8" s="389" customFormat="1" ht="12.75" customHeight="1" x14ac:dyDescent="0.25">
      <c r="A21" s="448"/>
      <c r="B21" s="455"/>
      <c r="C21" s="456"/>
      <c r="D21" s="457"/>
      <c r="E21" s="455"/>
      <c r="F21" s="458"/>
      <c r="G21" s="460"/>
      <c r="H21" s="456"/>
    </row>
    <row r="22" spans="1:8" s="389" customFormat="1" ht="12.75" customHeight="1" x14ac:dyDescent="0.25">
      <c r="A22" s="448"/>
      <c r="B22" s="455"/>
      <c r="C22" s="456"/>
      <c r="D22" s="457"/>
      <c r="E22" s="455"/>
      <c r="F22" s="448"/>
      <c r="G22" s="459"/>
      <c r="H22" s="459"/>
    </row>
    <row r="23" spans="1:8" s="389" customFormat="1" ht="12.75" customHeight="1" x14ac:dyDescent="0.25">
      <c r="A23" s="448"/>
      <c r="B23" s="455"/>
      <c r="C23" s="456"/>
      <c r="D23" s="457"/>
      <c r="E23" s="455"/>
      <c r="F23" s="448"/>
      <c r="G23" s="459"/>
      <c r="H23" s="459"/>
    </row>
    <row r="24" spans="1:8" s="389" customFormat="1" ht="12.75" customHeight="1" thickBot="1" x14ac:dyDescent="0.3">
      <c r="A24" s="462"/>
      <c r="B24" s="463" t="s">
        <v>9</v>
      </c>
      <c r="C24" s="464">
        <f>SUM(C9:C23)</f>
        <v>0</v>
      </c>
      <c r="D24" s="465" t="s">
        <v>10</v>
      </c>
      <c r="E24" s="466"/>
      <c r="F24" s="467"/>
      <c r="G24" s="396">
        <f>SUM(G9:G23)</f>
        <v>15499.2</v>
      </c>
      <c r="H24" s="396">
        <f>SUM(H9:H22)</f>
        <v>15499.2</v>
      </c>
    </row>
    <row r="25" spans="1:8" s="389" customFormat="1" ht="12.75" customHeight="1" thickTop="1" x14ac:dyDescent="0.25"/>
  </sheetData>
  <pageMargins left="0.25" right="0.25" top="0.85" bottom="0.75" header="0.08" footer="0.3"/>
  <pageSetup scale="7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A7224-B13C-4072-8A31-82CA299091D0}">
  <sheetPr codeName="Sheet11">
    <tabColor rgb="FF0070C0"/>
    <pageSetUpPr fitToPage="1"/>
  </sheetPr>
  <dimension ref="A1:I28"/>
  <sheetViews>
    <sheetView topLeftCell="A8"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36.85546875" style="267" customWidth="1"/>
    <col min="4" max="4" width="14.42578125" style="267" customWidth="1"/>
    <col min="5" max="5" width="13.5703125" style="267" customWidth="1"/>
    <col min="6" max="6" width="12.42578125" style="267" customWidth="1"/>
    <col min="7" max="7" width="10.5703125" style="267" customWidth="1"/>
    <col min="8" max="8" width="16.140625" style="267" customWidth="1"/>
    <col min="9" max="9" width="14.5703125"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#9438.00'!B1</f>
        <v>DOC FDCF Warehouse Loading Dock Ramp Repairs</v>
      </c>
      <c r="B1" s="116"/>
      <c r="C1" s="193"/>
      <c r="D1" s="193"/>
      <c r="E1" s="193"/>
      <c r="F1" s="194"/>
      <c r="G1" s="194"/>
      <c r="H1" s="195"/>
      <c r="I1" s="195"/>
    </row>
    <row r="2" spans="1:9" ht="15.75" x14ac:dyDescent="0.25">
      <c r="A2" s="134" t="str">
        <f>'RECAP #9438.00'!B2</f>
        <v>Project # 9438.00</v>
      </c>
      <c r="B2" s="196"/>
      <c r="C2" s="193"/>
      <c r="D2" s="193"/>
      <c r="E2" s="193"/>
      <c r="F2" s="194"/>
      <c r="G2" s="194"/>
      <c r="H2" s="195"/>
      <c r="I2" s="195"/>
    </row>
    <row r="3" spans="1:9" ht="15.75" x14ac:dyDescent="0.25">
      <c r="A3" s="197" t="str">
        <f>'RECAP #9438.00'!B3</f>
        <v>Program code 943800</v>
      </c>
      <c r="B3" s="196"/>
      <c r="C3" s="193"/>
      <c r="D3" s="198" t="str">
        <f>'RECAP #9438.00'!E3</f>
        <v>Major Program 4B01</v>
      </c>
      <c r="E3" s="193"/>
      <c r="F3" s="194"/>
      <c r="G3" s="194"/>
      <c r="H3" s="195"/>
      <c r="I3" s="195"/>
    </row>
    <row r="4" spans="1:9" ht="15.75" x14ac:dyDescent="0.25">
      <c r="A4" s="116" t="s">
        <v>223</v>
      </c>
      <c r="B4" s="134"/>
      <c r="C4" s="195"/>
      <c r="D4" s="199" t="s">
        <v>224</v>
      </c>
      <c r="E4" s="194"/>
      <c r="F4" s="194"/>
      <c r="G4" s="194"/>
      <c r="H4" s="195"/>
      <c r="I4" s="195"/>
    </row>
    <row r="5" spans="1:9" ht="15.75" x14ac:dyDescent="0.25">
      <c r="A5" s="200" t="s">
        <v>147</v>
      </c>
      <c r="B5" s="195"/>
      <c r="C5" s="201"/>
      <c r="D5" s="140" t="s">
        <v>225</v>
      </c>
      <c r="E5" s="145"/>
      <c r="F5" s="194"/>
      <c r="G5" s="194"/>
      <c r="H5" s="195"/>
      <c r="I5" s="195"/>
    </row>
    <row r="6" spans="1:9" ht="15.75" x14ac:dyDescent="0.25">
      <c r="A6" s="134" t="str">
        <f>'RECAP #9438.00'!B6</f>
        <v>Project Manager - Jennie E.</v>
      </c>
      <c r="B6" s="134"/>
      <c r="C6" s="202"/>
      <c r="D6" s="300" t="s">
        <v>156</v>
      </c>
      <c r="E6" s="145"/>
      <c r="F6" s="146"/>
      <c r="G6" s="194"/>
      <c r="H6" s="195"/>
      <c r="I6" s="195"/>
    </row>
    <row r="7" spans="1:9" ht="15.75" x14ac:dyDescent="0.25">
      <c r="A7" s="195"/>
      <c r="B7" s="203"/>
      <c r="C7" s="203"/>
      <c r="D7" s="195" t="s">
        <v>226</v>
      </c>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2" t="s">
        <v>297</v>
      </c>
    </row>
    <row r="9" spans="1:9" s="389" customFormat="1" ht="12.75" customHeight="1" x14ac:dyDescent="0.25">
      <c r="A9" s="382" t="s">
        <v>227</v>
      </c>
      <c r="B9" s="383">
        <v>45923</v>
      </c>
      <c r="C9" s="391" t="s">
        <v>146</v>
      </c>
      <c r="D9" s="419">
        <v>14182.75</v>
      </c>
      <c r="E9" s="386">
        <f>D9</f>
        <v>14182.75</v>
      </c>
      <c r="F9" s="387"/>
      <c r="G9" s="387"/>
      <c r="H9" s="387">
        <f>E9</f>
        <v>14182.75</v>
      </c>
      <c r="I9" s="388"/>
    </row>
    <row r="10" spans="1:9" s="389" customFormat="1" ht="12.75" customHeight="1" x14ac:dyDescent="0.25">
      <c r="A10" s="382" t="s">
        <v>227</v>
      </c>
      <c r="B10" s="390">
        <v>45979</v>
      </c>
      <c r="C10" s="391" t="s">
        <v>333</v>
      </c>
      <c r="D10" s="419">
        <v>1134</v>
      </c>
      <c r="E10" s="386">
        <f t="shared" ref="E10:E21" si="0">E9+D10</f>
        <v>15316.75</v>
      </c>
      <c r="F10" s="392"/>
      <c r="G10" s="387">
        <f t="shared" ref="G10:G21" si="1">G9+F10</f>
        <v>0</v>
      </c>
      <c r="H10" s="387">
        <f t="shared" ref="H10:H21" si="2">H9-F10+D10</f>
        <v>15316.75</v>
      </c>
      <c r="I10" s="388"/>
    </row>
    <row r="11" spans="1:9" s="389" customFormat="1" ht="12.75" customHeight="1" x14ac:dyDescent="0.25">
      <c r="A11" s="382" t="s">
        <v>227</v>
      </c>
      <c r="B11" s="383">
        <v>46034</v>
      </c>
      <c r="C11" s="391" t="s">
        <v>417</v>
      </c>
      <c r="D11" s="419">
        <v>0</v>
      </c>
      <c r="E11" s="386">
        <f t="shared" si="0"/>
        <v>15316.75</v>
      </c>
      <c r="F11" s="392"/>
      <c r="G11" s="387">
        <f t="shared" si="1"/>
        <v>0</v>
      </c>
      <c r="H11" s="387">
        <f t="shared" si="2"/>
        <v>15316.75</v>
      </c>
      <c r="I11" s="388"/>
    </row>
    <row r="12" spans="1:9" s="389" customFormat="1" ht="12.75" customHeight="1" x14ac:dyDescent="0.25">
      <c r="A12" s="382" t="s">
        <v>468</v>
      </c>
      <c r="B12" s="383">
        <v>46056</v>
      </c>
      <c r="C12" s="391" t="s">
        <v>469</v>
      </c>
      <c r="D12" s="386"/>
      <c r="E12" s="386">
        <f t="shared" si="0"/>
        <v>15316.75</v>
      </c>
      <c r="F12" s="392">
        <v>14857.25</v>
      </c>
      <c r="G12" s="387">
        <f t="shared" si="1"/>
        <v>14857.25</v>
      </c>
      <c r="H12" s="387">
        <f t="shared" si="2"/>
        <v>459.5</v>
      </c>
      <c r="I12" s="414">
        <v>459.5</v>
      </c>
    </row>
    <row r="13" spans="1:9" s="389" customFormat="1" ht="12.75" customHeight="1" x14ac:dyDescent="0.25">
      <c r="A13" s="382" t="s">
        <v>538</v>
      </c>
      <c r="B13" s="383">
        <v>46090</v>
      </c>
      <c r="C13" s="391" t="s">
        <v>539</v>
      </c>
      <c r="D13" s="386"/>
      <c r="E13" s="386">
        <f t="shared" si="0"/>
        <v>15316.75</v>
      </c>
      <c r="F13" s="392">
        <v>459.5</v>
      </c>
      <c r="G13" s="387">
        <f t="shared" si="1"/>
        <v>15316.75</v>
      </c>
      <c r="H13" s="387">
        <f t="shared" si="2"/>
        <v>0</v>
      </c>
      <c r="I13" s="388"/>
    </row>
    <row r="14" spans="1:9" s="389" customFormat="1" ht="12.75" customHeight="1" x14ac:dyDescent="0.25">
      <c r="A14" s="382"/>
      <c r="B14" s="383"/>
      <c r="C14" s="391"/>
      <c r="D14" s="386"/>
      <c r="E14" s="386">
        <f t="shared" si="0"/>
        <v>15316.75</v>
      </c>
      <c r="F14" s="387"/>
      <c r="G14" s="387">
        <f t="shared" si="1"/>
        <v>15316.75</v>
      </c>
      <c r="H14" s="387">
        <f t="shared" si="2"/>
        <v>0</v>
      </c>
      <c r="I14" s="388"/>
    </row>
    <row r="15" spans="1:9" s="389" customFormat="1" ht="12.75" customHeight="1" x14ac:dyDescent="0.25">
      <c r="A15" s="382"/>
      <c r="B15" s="383"/>
      <c r="C15" s="391"/>
      <c r="D15" s="386"/>
      <c r="E15" s="386">
        <f t="shared" si="0"/>
        <v>15316.75</v>
      </c>
      <c r="F15" s="392"/>
      <c r="G15" s="387">
        <f t="shared" si="1"/>
        <v>15316.75</v>
      </c>
      <c r="H15" s="387">
        <f t="shared" si="2"/>
        <v>0</v>
      </c>
      <c r="I15" s="388"/>
    </row>
    <row r="16" spans="1:9" s="389" customFormat="1" ht="12.75" customHeight="1" x14ac:dyDescent="0.25">
      <c r="A16" s="382"/>
      <c r="B16" s="383"/>
      <c r="C16" s="391"/>
      <c r="D16" s="386"/>
      <c r="E16" s="386">
        <f t="shared" si="0"/>
        <v>15316.75</v>
      </c>
      <c r="F16" s="392"/>
      <c r="G16" s="387">
        <f t="shared" si="1"/>
        <v>15316.75</v>
      </c>
      <c r="H16" s="387">
        <f t="shared" si="2"/>
        <v>0</v>
      </c>
      <c r="I16" s="388"/>
    </row>
    <row r="17" spans="1:9" s="389" customFormat="1" ht="12.75" customHeight="1" x14ac:dyDescent="0.25">
      <c r="A17" s="382"/>
      <c r="B17" s="383"/>
      <c r="C17" s="391"/>
      <c r="D17" s="386"/>
      <c r="E17" s="386">
        <f t="shared" si="0"/>
        <v>15316.75</v>
      </c>
      <c r="F17" s="392"/>
      <c r="G17" s="387">
        <f t="shared" si="1"/>
        <v>15316.75</v>
      </c>
      <c r="H17" s="387">
        <f t="shared" si="2"/>
        <v>0</v>
      </c>
      <c r="I17" s="388"/>
    </row>
    <row r="18" spans="1:9" s="389" customFormat="1" ht="12.75" customHeight="1" x14ac:dyDescent="0.25">
      <c r="A18" s="382"/>
      <c r="B18" s="383"/>
      <c r="C18" s="391"/>
      <c r="D18" s="386"/>
      <c r="E18" s="386">
        <f t="shared" si="0"/>
        <v>15316.75</v>
      </c>
      <c r="F18" s="392"/>
      <c r="G18" s="387">
        <f t="shared" si="1"/>
        <v>15316.75</v>
      </c>
      <c r="H18" s="387">
        <f t="shared" si="2"/>
        <v>0</v>
      </c>
      <c r="I18" s="388"/>
    </row>
    <row r="19" spans="1:9" s="389" customFormat="1" ht="12.75" customHeight="1" x14ac:dyDescent="0.25">
      <c r="A19" s="382"/>
      <c r="B19" s="383"/>
      <c r="C19" s="391"/>
      <c r="D19" s="386"/>
      <c r="E19" s="386">
        <f t="shared" si="0"/>
        <v>15316.75</v>
      </c>
      <c r="F19" s="387"/>
      <c r="G19" s="387">
        <f t="shared" si="1"/>
        <v>15316.75</v>
      </c>
      <c r="H19" s="387">
        <f t="shared" si="2"/>
        <v>0</v>
      </c>
      <c r="I19" s="388"/>
    </row>
    <row r="20" spans="1:9" s="389" customFormat="1" ht="12.75" customHeight="1" x14ac:dyDescent="0.25">
      <c r="A20" s="382"/>
      <c r="B20" s="383"/>
      <c r="C20" s="391"/>
      <c r="D20" s="386"/>
      <c r="E20" s="386">
        <f t="shared" si="0"/>
        <v>15316.75</v>
      </c>
      <c r="F20" s="387"/>
      <c r="G20" s="387">
        <f t="shared" si="1"/>
        <v>15316.75</v>
      </c>
      <c r="H20" s="387">
        <f t="shared" si="2"/>
        <v>0</v>
      </c>
      <c r="I20" s="388"/>
    </row>
    <row r="21" spans="1:9" s="389" customFormat="1" ht="12.75" customHeight="1" x14ac:dyDescent="0.25">
      <c r="A21" s="382"/>
      <c r="B21" s="383"/>
      <c r="C21" s="393"/>
      <c r="D21" s="386"/>
      <c r="E21" s="386">
        <f t="shared" si="0"/>
        <v>15316.75</v>
      </c>
      <c r="F21" s="387"/>
      <c r="G21" s="387">
        <f t="shared" si="1"/>
        <v>15316.75</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15316.75</v>
      </c>
      <c r="E23" s="396"/>
      <c r="F23" s="396">
        <f>SUM(F9:F22)</f>
        <v>15316.75</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420" t="s">
        <v>158</v>
      </c>
      <c r="D26" s="387">
        <f>'[2]#9438.00 JasperConstruction '!$D$23</f>
        <v>48451.25</v>
      </c>
      <c r="E26" s="387"/>
      <c r="F26" s="387">
        <f>'[2]#9438.00 JasperConstruction '!$F$23</f>
        <v>48451.25</v>
      </c>
      <c r="G26" s="387"/>
      <c r="H26" s="387">
        <f>D26-F26</f>
        <v>0</v>
      </c>
      <c r="I26" s="388"/>
    </row>
    <row r="27" spans="1:9" s="389" customFormat="1" ht="12.75" customHeight="1" thickBot="1" x14ac:dyDescent="0.3">
      <c r="A27" s="382"/>
      <c r="B27" s="391"/>
      <c r="C27" s="399" t="s">
        <v>157</v>
      </c>
      <c r="D27" s="396">
        <f>SUM(D23:D26)</f>
        <v>63768</v>
      </c>
      <c r="E27" s="421"/>
      <c r="F27" s="396">
        <f>SUM(F23:F26)</f>
        <v>63768</v>
      </c>
      <c r="G27" s="421"/>
      <c r="H27" s="396">
        <f>SUM(H23:H26)</f>
        <v>0</v>
      </c>
      <c r="I27" s="388"/>
    </row>
    <row r="28" spans="1:9" s="389" customFormat="1" ht="12.75" customHeight="1" thickTop="1" x14ac:dyDescent="0.25"/>
  </sheetData>
  <pageMargins left="0.25" right="0.25" top="0.85" bottom="0.75" header="0.08" footer="0.3"/>
  <pageSetup scale="6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53902-E051-4814-87CA-D5CCD21F1616}">
  <sheetPr codeName="Sheet12">
    <tabColor rgb="FF0070C0"/>
    <pageSetUpPr fitToPage="1"/>
  </sheetPr>
  <dimension ref="A1:J80"/>
  <sheetViews>
    <sheetView zoomScaleNormal="100" workbookViewId="0">
      <selection activeCell="P26" sqref="P26"/>
    </sheetView>
  </sheetViews>
  <sheetFormatPr defaultColWidth="11.42578125" defaultRowHeight="15" customHeight="1" x14ac:dyDescent="0.25"/>
  <cols>
    <col min="1" max="1" width="24.5703125" style="267" customWidth="1"/>
    <col min="2" max="3" width="9.42578125" style="267" customWidth="1"/>
    <col min="4" max="4" width="36.28515625" style="267" bestFit="1" customWidth="1"/>
    <col min="5" max="5" width="15.5703125" style="267" customWidth="1"/>
    <col min="6" max="6" width="13.5703125" style="267" customWidth="1"/>
    <col min="7" max="7" width="12.42578125" style="267" customWidth="1"/>
    <col min="8" max="8" width="10.5703125" style="267" customWidth="1"/>
    <col min="9" max="9" width="12.42578125" style="267" customWidth="1"/>
    <col min="10" max="256" width="11.42578125" style="267"/>
    <col min="257" max="265" width="11.42578125" style="267" customWidth="1"/>
    <col min="266" max="512" width="11.42578125" style="267"/>
    <col min="513" max="521" width="11.42578125" style="267" customWidth="1"/>
    <col min="522" max="768" width="11.42578125" style="267"/>
    <col min="769" max="777" width="11.42578125" style="267" customWidth="1"/>
    <col min="778" max="1024" width="11.42578125" style="267"/>
    <col min="1025" max="1033" width="11.42578125" style="267" customWidth="1"/>
    <col min="1034" max="1280" width="11.42578125" style="267"/>
    <col min="1281" max="1289" width="11.42578125" style="267" customWidth="1"/>
    <col min="1290" max="1536" width="11.42578125" style="267"/>
    <col min="1537" max="1545" width="11.42578125" style="267" customWidth="1"/>
    <col min="1546" max="1792" width="11.42578125" style="267"/>
    <col min="1793" max="1801" width="11.42578125" style="267" customWidth="1"/>
    <col min="1802" max="2048" width="11.42578125" style="267"/>
    <col min="2049" max="2057" width="11.42578125" style="267" customWidth="1"/>
    <col min="2058" max="2304" width="11.42578125" style="267"/>
    <col min="2305" max="2313" width="11.42578125" style="267" customWidth="1"/>
    <col min="2314" max="2560" width="11.42578125" style="267"/>
    <col min="2561" max="2569" width="11.42578125" style="267" customWidth="1"/>
    <col min="2570" max="2816" width="11.42578125" style="267"/>
    <col min="2817" max="2825" width="11.42578125" style="267" customWidth="1"/>
    <col min="2826" max="3072" width="11.42578125" style="267"/>
    <col min="3073" max="3081" width="11.42578125" style="267" customWidth="1"/>
    <col min="3082" max="3328" width="11.42578125" style="267"/>
    <col min="3329" max="3337" width="11.42578125" style="267" customWidth="1"/>
    <col min="3338" max="3584" width="11.42578125" style="267"/>
    <col min="3585" max="3593" width="11.42578125" style="267" customWidth="1"/>
    <col min="3594" max="3840" width="11.42578125" style="267"/>
    <col min="3841" max="3849" width="11.42578125" style="267" customWidth="1"/>
    <col min="3850" max="4096" width="11.42578125" style="267"/>
    <col min="4097" max="4105" width="11.42578125" style="267" customWidth="1"/>
    <col min="4106" max="4352" width="11.42578125" style="267"/>
    <col min="4353" max="4361" width="11.42578125" style="267" customWidth="1"/>
    <col min="4362" max="4608" width="11.42578125" style="267"/>
    <col min="4609" max="4617" width="11.42578125" style="267" customWidth="1"/>
    <col min="4618" max="4864" width="11.42578125" style="267"/>
    <col min="4865" max="4873" width="11.42578125" style="267" customWidth="1"/>
    <col min="4874" max="5120" width="11.42578125" style="267"/>
    <col min="5121" max="5129" width="11.42578125" style="267" customWidth="1"/>
    <col min="5130" max="5376" width="11.42578125" style="267"/>
    <col min="5377" max="5385" width="11.42578125" style="267" customWidth="1"/>
    <col min="5386" max="5632" width="11.42578125" style="267"/>
    <col min="5633" max="5641" width="11.42578125" style="267" customWidth="1"/>
    <col min="5642" max="5888" width="11.42578125" style="267"/>
    <col min="5889" max="5897" width="11.42578125" style="267" customWidth="1"/>
    <col min="5898" max="6144" width="11.42578125" style="267"/>
    <col min="6145" max="6153" width="11.42578125" style="267" customWidth="1"/>
    <col min="6154" max="6400" width="11.42578125" style="267"/>
    <col min="6401" max="6409" width="11.42578125" style="267" customWidth="1"/>
    <col min="6410" max="6656" width="11.42578125" style="267"/>
    <col min="6657" max="6665" width="11.42578125" style="267" customWidth="1"/>
    <col min="6666" max="6912" width="11.42578125" style="267"/>
    <col min="6913" max="6921" width="11.42578125" style="267" customWidth="1"/>
    <col min="6922" max="7168" width="11.42578125" style="267"/>
    <col min="7169" max="7177" width="11.42578125" style="267" customWidth="1"/>
    <col min="7178" max="7424" width="11.42578125" style="267"/>
    <col min="7425" max="7433" width="11.42578125" style="267" customWidth="1"/>
    <col min="7434" max="7680" width="11.42578125" style="267"/>
    <col min="7681" max="7689" width="11.42578125" style="267" customWidth="1"/>
    <col min="7690" max="7936" width="11.42578125" style="267"/>
    <col min="7937" max="7945" width="11.42578125" style="267" customWidth="1"/>
    <col min="7946" max="8192" width="11.42578125" style="267"/>
    <col min="8193" max="8201" width="11.42578125" style="267" customWidth="1"/>
    <col min="8202" max="8448" width="11.42578125" style="267"/>
    <col min="8449" max="8457" width="11.42578125" style="267" customWidth="1"/>
    <col min="8458" max="8704" width="11.42578125" style="267"/>
    <col min="8705" max="8713" width="11.42578125" style="267" customWidth="1"/>
    <col min="8714" max="8960" width="11.42578125" style="267"/>
    <col min="8961" max="8969" width="11.42578125" style="267" customWidth="1"/>
    <col min="8970" max="9216" width="11.42578125" style="267"/>
    <col min="9217" max="9225" width="11.42578125" style="267" customWidth="1"/>
    <col min="9226" max="9472" width="11.42578125" style="267"/>
    <col min="9473" max="9481" width="11.42578125" style="267" customWidth="1"/>
    <col min="9482" max="9728" width="11.42578125" style="267"/>
    <col min="9729" max="9737" width="11.42578125" style="267" customWidth="1"/>
    <col min="9738" max="9984" width="11.42578125" style="267"/>
    <col min="9985" max="9993" width="11.42578125" style="267" customWidth="1"/>
    <col min="9994" max="10240" width="11.42578125" style="267"/>
    <col min="10241" max="10249" width="11.42578125" style="267" customWidth="1"/>
    <col min="10250" max="10496" width="11.42578125" style="267"/>
    <col min="10497" max="10505" width="11.42578125" style="267" customWidth="1"/>
    <col min="10506" max="10752" width="11.42578125" style="267"/>
    <col min="10753" max="10761" width="11.42578125" style="267" customWidth="1"/>
    <col min="10762" max="11008" width="11.42578125" style="267"/>
    <col min="11009" max="11017" width="11.42578125" style="267" customWidth="1"/>
    <col min="11018" max="11264" width="11.42578125" style="267"/>
    <col min="11265" max="11273" width="11.42578125" style="267" customWidth="1"/>
    <col min="11274" max="11520" width="11.42578125" style="267"/>
    <col min="11521" max="11529" width="11.42578125" style="267" customWidth="1"/>
    <col min="11530" max="11776" width="11.42578125" style="267"/>
    <col min="11777" max="11785" width="11.42578125" style="267" customWidth="1"/>
    <col min="11786" max="12032" width="11.42578125" style="267"/>
    <col min="12033" max="12041" width="11.42578125" style="267" customWidth="1"/>
    <col min="12042" max="12288" width="11.42578125" style="267"/>
    <col min="12289" max="12297" width="11.42578125" style="267" customWidth="1"/>
    <col min="12298" max="12544" width="11.42578125" style="267"/>
    <col min="12545" max="12553" width="11.42578125" style="267" customWidth="1"/>
    <col min="12554" max="12800" width="11.42578125" style="267"/>
    <col min="12801" max="12809" width="11.42578125" style="267" customWidth="1"/>
    <col min="12810" max="13056" width="11.42578125" style="267"/>
    <col min="13057" max="13065" width="11.42578125" style="267" customWidth="1"/>
    <col min="13066" max="13312" width="11.42578125" style="267"/>
    <col min="13313" max="13321" width="11.42578125" style="267" customWidth="1"/>
    <col min="13322" max="13568" width="11.42578125" style="267"/>
    <col min="13569" max="13577" width="11.42578125" style="267" customWidth="1"/>
    <col min="13578" max="13824" width="11.42578125" style="267"/>
    <col min="13825" max="13833" width="11.42578125" style="267" customWidth="1"/>
    <col min="13834" max="14080" width="11.42578125" style="267"/>
    <col min="14081" max="14089" width="11.42578125" style="267" customWidth="1"/>
    <col min="14090" max="14336" width="11.42578125" style="267"/>
    <col min="14337" max="14345" width="11.42578125" style="267" customWidth="1"/>
    <col min="14346" max="14592" width="11.42578125" style="267"/>
    <col min="14593" max="14601" width="11.42578125" style="267" customWidth="1"/>
    <col min="14602" max="14848" width="11.42578125" style="267"/>
    <col min="14849" max="14857" width="11.42578125" style="267" customWidth="1"/>
    <col min="14858" max="15104" width="11.42578125" style="267"/>
    <col min="15105" max="15113" width="11.42578125" style="267" customWidth="1"/>
    <col min="15114" max="15360" width="11.42578125" style="267"/>
    <col min="15361" max="15369" width="11.42578125" style="267" customWidth="1"/>
    <col min="15370" max="15616" width="11.42578125" style="267"/>
    <col min="15617" max="15625" width="11.42578125" style="267" customWidth="1"/>
    <col min="15626" max="15872" width="11.42578125" style="267"/>
    <col min="15873" max="15881" width="11.42578125" style="267" customWidth="1"/>
    <col min="15882" max="16128" width="11.42578125" style="267"/>
    <col min="16129" max="16137" width="11.42578125" style="267" customWidth="1"/>
    <col min="16138" max="16384" width="11.42578125" style="267"/>
  </cols>
  <sheetData>
    <row r="1" spans="1:10" ht="15.75" x14ac:dyDescent="0.25">
      <c r="A1" s="116" t="str">
        <f>'RECAP #9438.00'!B1</f>
        <v>DOC FDCF Warehouse Loading Dock Ramp Repairs</v>
      </c>
      <c r="B1" s="116"/>
      <c r="C1" s="116"/>
      <c r="D1" s="193"/>
      <c r="E1" s="193"/>
      <c r="F1" s="193"/>
      <c r="G1" s="194"/>
      <c r="H1" s="194"/>
      <c r="I1" s="195"/>
      <c r="J1" s="195"/>
    </row>
    <row r="2" spans="1:10" ht="15.75" x14ac:dyDescent="0.25">
      <c r="A2" s="134" t="str">
        <f>'RECAP #9438.00'!B2</f>
        <v>Project # 9438.00</v>
      </c>
      <c r="B2" s="196"/>
      <c r="C2" s="196"/>
      <c r="D2" s="193"/>
      <c r="E2" s="193"/>
      <c r="F2" s="193"/>
      <c r="G2" s="194"/>
      <c r="H2" s="194"/>
      <c r="I2" s="195"/>
      <c r="J2" s="195"/>
    </row>
    <row r="3" spans="1:10" ht="15.75" x14ac:dyDescent="0.25">
      <c r="A3" s="197" t="str">
        <f>'RECAP #9438.00'!B3</f>
        <v>Program code 943800</v>
      </c>
      <c r="B3" s="196"/>
      <c r="C3" s="196"/>
      <c r="D3" s="193"/>
      <c r="E3" s="198" t="str">
        <f>'RECAP #9438.00'!E3</f>
        <v>Major Program 4B01</v>
      </c>
      <c r="F3" s="193"/>
      <c r="G3" s="194"/>
      <c r="H3" s="194"/>
      <c r="I3" s="195"/>
      <c r="J3" s="195"/>
    </row>
    <row r="4" spans="1:10" ht="15.75" x14ac:dyDescent="0.25">
      <c r="A4" s="116" t="s">
        <v>41</v>
      </c>
      <c r="B4" s="134"/>
      <c r="C4" s="134"/>
      <c r="D4" s="195"/>
      <c r="E4" s="199" t="s">
        <v>55</v>
      </c>
      <c r="F4" s="194"/>
      <c r="G4" s="194"/>
      <c r="H4" s="194"/>
      <c r="I4" s="195"/>
      <c r="J4" s="195"/>
    </row>
    <row r="5" spans="1:10" ht="15.75" x14ac:dyDescent="0.25">
      <c r="A5" s="200" t="s">
        <v>66</v>
      </c>
      <c r="B5" s="195"/>
      <c r="C5" s="195"/>
      <c r="D5" s="201"/>
      <c r="E5" s="140"/>
      <c r="F5" s="145"/>
      <c r="G5" s="194"/>
      <c r="H5" s="194"/>
      <c r="I5" s="195"/>
      <c r="J5" s="195"/>
    </row>
    <row r="6" spans="1:10" ht="15.75" x14ac:dyDescent="0.25">
      <c r="A6" s="134" t="str">
        <f>'RECAP #9438.00'!B6</f>
        <v>Project Manager - Jennie E.</v>
      </c>
      <c r="B6" s="134"/>
      <c r="C6" s="134"/>
      <c r="D6" s="202"/>
      <c r="E6" s="140" t="s">
        <v>177</v>
      </c>
      <c r="F6" s="145"/>
      <c r="G6" s="146"/>
      <c r="H6" s="194"/>
      <c r="I6" s="195"/>
      <c r="J6" s="195"/>
    </row>
    <row r="7" spans="1:10" ht="15.75" x14ac:dyDescent="0.25">
      <c r="A7" s="195"/>
      <c r="B7" s="203"/>
      <c r="C7" s="203"/>
      <c r="D7" s="203"/>
      <c r="E7" s="146" t="s">
        <v>3</v>
      </c>
      <c r="F7" s="146"/>
      <c r="G7" s="146"/>
      <c r="H7" s="194"/>
      <c r="I7" s="195"/>
      <c r="J7" s="195" t="s">
        <v>3</v>
      </c>
    </row>
    <row r="8" spans="1:10" ht="32.25" thickBot="1" x14ac:dyDescent="0.3">
      <c r="A8" s="204" t="s">
        <v>49</v>
      </c>
      <c r="B8" s="205" t="s">
        <v>4</v>
      </c>
      <c r="C8" s="206" t="s">
        <v>56</v>
      </c>
      <c r="D8" s="207" t="s">
        <v>57</v>
      </c>
      <c r="E8" s="192" t="s">
        <v>50</v>
      </c>
      <c r="F8" s="192" t="s">
        <v>51</v>
      </c>
      <c r="G8" s="192" t="s">
        <v>52</v>
      </c>
      <c r="H8" s="192" t="s">
        <v>53</v>
      </c>
      <c r="I8" s="192" t="s">
        <v>12</v>
      </c>
      <c r="J8" s="195" t="s">
        <v>3</v>
      </c>
    </row>
    <row r="9" spans="1:10" s="389" customFormat="1" ht="12.75" customHeight="1" x14ac:dyDescent="0.25">
      <c r="A9" s="432"/>
      <c r="B9" s="383"/>
      <c r="C9" s="383"/>
      <c r="D9" s="372" t="s">
        <v>95</v>
      </c>
      <c r="E9" s="419"/>
      <c r="F9" s="386">
        <f>E9</f>
        <v>0</v>
      </c>
      <c r="G9" s="387"/>
      <c r="H9" s="387"/>
      <c r="I9" s="434">
        <f>F9</f>
        <v>0</v>
      </c>
      <c r="J9" s="388"/>
    </row>
    <row r="10" spans="1:10" s="389" customFormat="1" ht="12.75" customHeight="1" x14ac:dyDescent="0.2">
      <c r="A10" s="213" t="s">
        <v>418</v>
      </c>
      <c r="B10" s="209">
        <v>46030</v>
      </c>
      <c r="C10" s="211" t="s">
        <v>274</v>
      </c>
      <c r="D10" s="215" t="s">
        <v>419</v>
      </c>
      <c r="E10" s="386"/>
      <c r="F10" s="386">
        <f>E10+F9</f>
        <v>0</v>
      </c>
      <c r="G10" s="392">
        <v>32.85</v>
      </c>
      <c r="H10" s="387">
        <f t="shared" ref="H10:H21" si="0">H9+G10</f>
        <v>32.85</v>
      </c>
      <c r="I10" s="434">
        <f>I9-G10+E10</f>
        <v>-32.85</v>
      </c>
      <c r="J10" s="388"/>
    </row>
    <row r="11" spans="1:10" s="389" customFormat="1" ht="12.75" customHeight="1" x14ac:dyDescent="0.2">
      <c r="A11" s="213" t="s">
        <v>418</v>
      </c>
      <c r="B11" s="209">
        <v>46030</v>
      </c>
      <c r="C11" s="440">
        <v>9500</v>
      </c>
      <c r="D11" s="215" t="s">
        <v>420</v>
      </c>
      <c r="E11" s="386"/>
      <c r="F11" s="386">
        <f t="shared" ref="F11:F21" si="1">E11+F10</f>
        <v>0</v>
      </c>
      <c r="G11" s="392">
        <v>371.8</v>
      </c>
      <c r="H11" s="387">
        <f t="shared" si="0"/>
        <v>404.65000000000003</v>
      </c>
      <c r="I11" s="434">
        <f t="shared" ref="I11:I21" si="2">I10-G11+E11</f>
        <v>-404.65000000000003</v>
      </c>
      <c r="J11" s="388"/>
    </row>
    <row r="12" spans="1:10" s="389" customFormat="1" ht="12.75" customHeight="1" x14ac:dyDescent="0.2">
      <c r="A12" s="441" t="s">
        <v>442</v>
      </c>
      <c r="B12" s="383">
        <v>46043</v>
      </c>
      <c r="C12" s="211" t="s">
        <v>274</v>
      </c>
      <c r="D12" s="372" t="s">
        <v>443</v>
      </c>
      <c r="E12" s="386"/>
      <c r="F12" s="386">
        <f t="shared" si="1"/>
        <v>0</v>
      </c>
      <c r="G12" s="422">
        <v>-32.85</v>
      </c>
      <c r="H12" s="387">
        <f t="shared" si="0"/>
        <v>371.8</v>
      </c>
      <c r="I12" s="434">
        <f t="shared" si="2"/>
        <v>-371.8</v>
      </c>
      <c r="J12" s="388"/>
    </row>
    <row r="13" spans="1:10" s="389" customFormat="1" ht="12.75" customHeight="1" x14ac:dyDescent="0.2">
      <c r="A13" s="441" t="s">
        <v>442</v>
      </c>
      <c r="B13" s="383">
        <v>46043</v>
      </c>
      <c r="C13" s="440">
        <v>9500</v>
      </c>
      <c r="D13" s="372" t="s">
        <v>443</v>
      </c>
      <c r="E13" s="386"/>
      <c r="F13" s="386">
        <f t="shared" si="1"/>
        <v>0</v>
      </c>
      <c r="G13" s="422">
        <v>-371.8</v>
      </c>
      <c r="H13" s="387">
        <f t="shared" si="0"/>
        <v>0</v>
      </c>
      <c r="I13" s="434">
        <f t="shared" si="2"/>
        <v>0</v>
      </c>
      <c r="J13" s="388"/>
    </row>
    <row r="14" spans="1:10" s="389" customFormat="1" ht="12.75" customHeight="1" x14ac:dyDescent="0.25">
      <c r="A14" s="441"/>
      <c r="B14" s="383"/>
      <c r="C14" s="383"/>
      <c r="D14" s="372"/>
      <c r="E14" s="386"/>
      <c r="F14" s="386">
        <f t="shared" si="1"/>
        <v>0</v>
      </c>
      <c r="G14" s="387"/>
      <c r="H14" s="387">
        <f t="shared" si="0"/>
        <v>0</v>
      </c>
      <c r="I14" s="434">
        <f t="shared" si="2"/>
        <v>0</v>
      </c>
      <c r="J14" s="388"/>
    </row>
    <row r="15" spans="1:10" s="389" customFormat="1" ht="12.75" customHeight="1" x14ac:dyDescent="0.25">
      <c r="A15" s="441"/>
      <c r="B15" s="383"/>
      <c r="C15" s="383"/>
      <c r="D15" s="372"/>
      <c r="E15" s="386"/>
      <c r="F15" s="386">
        <f t="shared" si="1"/>
        <v>0</v>
      </c>
      <c r="G15" s="392"/>
      <c r="H15" s="387">
        <f t="shared" si="0"/>
        <v>0</v>
      </c>
      <c r="I15" s="434">
        <f t="shared" si="2"/>
        <v>0</v>
      </c>
      <c r="J15" s="388"/>
    </row>
    <row r="16" spans="1:10" s="389" customFormat="1" ht="12.75" customHeight="1" x14ac:dyDescent="0.25">
      <c r="A16" s="441"/>
      <c r="B16" s="383"/>
      <c r="C16" s="383"/>
      <c r="D16" s="372"/>
      <c r="E16" s="386"/>
      <c r="F16" s="386">
        <f t="shared" si="1"/>
        <v>0</v>
      </c>
      <c r="G16" s="392"/>
      <c r="H16" s="387">
        <f t="shared" si="0"/>
        <v>0</v>
      </c>
      <c r="I16" s="434">
        <f t="shared" si="2"/>
        <v>0</v>
      </c>
      <c r="J16" s="388"/>
    </row>
    <row r="17" spans="1:10" s="389" customFormat="1" ht="12.75" customHeight="1" x14ac:dyDescent="0.25">
      <c r="A17" s="441"/>
      <c r="B17" s="383"/>
      <c r="C17" s="383"/>
      <c r="D17" s="372"/>
      <c r="E17" s="386"/>
      <c r="F17" s="386">
        <f t="shared" si="1"/>
        <v>0</v>
      </c>
      <c r="G17" s="392"/>
      <c r="H17" s="387">
        <f t="shared" si="0"/>
        <v>0</v>
      </c>
      <c r="I17" s="434">
        <f t="shared" si="2"/>
        <v>0</v>
      </c>
      <c r="J17" s="388"/>
    </row>
    <row r="18" spans="1:10" s="389" customFormat="1" ht="12.75" customHeight="1" x14ac:dyDescent="0.25">
      <c r="A18" s="441"/>
      <c r="B18" s="383"/>
      <c r="C18" s="383"/>
      <c r="D18" s="372"/>
      <c r="E18" s="386"/>
      <c r="F18" s="386">
        <f t="shared" si="1"/>
        <v>0</v>
      </c>
      <c r="G18" s="392"/>
      <c r="H18" s="387">
        <f t="shared" si="0"/>
        <v>0</v>
      </c>
      <c r="I18" s="434">
        <f t="shared" si="2"/>
        <v>0</v>
      </c>
      <c r="J18" s="388"/>
    </row>
    <row r="19" spans="1:10" s="389" customFormat="1" ht="12.75" customHeight="1" x14ac:dyDescent="0.25">
      <c r="A19" s="441"/>
      <c r="B19" s="383"/>
      <c r="C19" s="383"/>
      <c r="D19" s="372"/>
      <c r="E19" s="386"/>
      <c r="F19" s="386">
        <f t="shared" si="1"/>
        <v>0</v>
      </c>
      <c r="G19" s="387"/>
      <c r="H19" s="387">
        <f t="shared" si="0"/>
        <v>0</v>
      </c>
      <c r="I19" s="434">
        <f t="shared" si="2"/>
        <v>0</v>
      </c>
      <c r="J19" s="388"/>
    </row>
    <row r="20" spans="1:10" s="389" customFormat="1" ht="12.75" customHeight="1" x14ac:dyDescent="0.25">
      <c r="A20" s="441"/>
      <c r="B20" s="383"/>
      <c r="C20" s="383"/>
      <c r="D20" s="372"/>
      <c r="E20" s="386"/>
      <c r="F20" s="386">
        <f t="shared" si="1"/>
        <v>0</v>
      </c>
      <c r="G20" s="387"/>
      <c r="H20" s="387">
        <f t="shared" si="0"/>
        <v>0</v>
      </c>
      <c r="I20" s="434">
        <f t="shared" si="2"/>
        <v>0</v>
      </c>
      <c r="J20" s="388"/>
    </row>
    <row r="21" spans="1:10" s="389" customFormat="1" ht="12.75" customHeight="1" x14ac:dyDescent="0.25">
      <c r="A21" s="441"/>
      <c r="B21" s="383"/>
      <c r="C21" s="383"/>
      <c r="D21" s="388"/>
      <c r="E21" s="386"/>
      <c r="F21" s="386">
        <f t="shared" si="1"/>
        <v>0</v>
      </c>
      <c r="G21" s="387"/>
      <c r="H21" s="387">
        <f t="shared" si="0"/>
        <v>0</v>
      </c>
      <c r="I21" s="434">
        <f t="shared" si="2"/>
        <v>0</v>
      </c>
      <c r="J21" s="388"/>
    </row>
    <row r="22" spans="1:10" s="389" customFormat="1" ht="12.75" customHeight="1" x14ac:dyDescent="0.25">
      <c r="A22" s="441"/>
      <c r="B22" s="391"/>
      <c r="C22" s="391"/>
      <c r="D22" s="372"/>
      <c r="E22" s="387"/>
      <c r="F22" s="387"/>
      <c r="G22" s="387"/>
      <c r="H22" s="387"/>
      <c r="I22" s="387"/>
      <c r="J22" s="388"/>
    </row>
    <row r="23" spans="1:10" s="389" customFormat="1" ht="12.75" customHeight="1" thickBot="1" x14ac:dyDescent="0.3">
      <c r="A23" s="441"/>
      <c r="B23" s="394"/>
      <c r="C23" s="394"/>
      <c r="D23" s="395" t="s">
        <v>54</v>
      </c>
      <c r="E23" s="396">
        <f>SUM(E9:E22)</f>
        <v>0</v>
      </c>
      <c r="F23" s="396"/>
      <c r="G23" s="396">
        <f>SUM(G9:G22)</f>
        <v>0</v>
      </c>
      <c r="H23" s="396"/>
      <c r="I23" s="396">
        <f>SUM(E23-G23)</f>
        <v>0</v>
      </c>
      <c r="J23" s="388"/>
    </row>
    <row r="24" spans="1:10" s="389" customFormat="1" ht="12.75" customHeight="1" thickTop="1" x14ac:dyDescent="0.25"/>
    <row r="25" spans="1:10" s="389" customFormat="1" ht="12.75" customHeight="1" x14ac:dyDescent="0.25"/>
    <row r="26" spans="1:10" s="389" customFormat="1" ht="12.75" customHeight="1" x14ac:dyDescent="0.25"/>
    <row r="27" spans="1:10" s="389" customFormat="1" ht="12.75" customHeight="1" x14ac:dyDescent="0.25"/>
    <row r="28" spans="1:10" s="389" customFormat="1" ht="12.75" customHeight="1" x14ac:dyDescent="0.25"/>
    <row r="29" spans="1:10" s="389" customFormat="1" ht="12.75" customHeight="1" x14ac:dyDescent="0.25"/>
    <row r="30" spans="1:10" s="389" customFormat="1" ht="12.75" customHeight="1" x14ac:dyDescent="0.25"/>
    <row r="31" spans="1:10" s="389" customFormat="1" ht="12.75" customHeight="1" x14ac:dyDescent="0.25"/>
    <row r="32" spans="1:10"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row r="51" s="389" customFormat="1" ht="12.75" customHeight="1" x14ac:dyDescent="0.25"/>
    <row r="52" s="389" customFormat="1" ht="12.75" customHeight="1" x14ac:dyDescent="0.25"/>
    <row r="53" s="389" customFormat="1" ht="12.75" customHeight="1" x14ac:dyDescent="0.25"/>
    <row r="54" s="389" customFormat="1" ht="12.75" customHeight="1" x14ac:dyDescent="0.25"/>
    <row r="55" s="389" customFormat="1" ht="12.75" customHeight="1" x14ac:dyDescent="0.25"/>
    <row r="56" s="389" customFormat="1" ht="12.75" customHeight="1" x14ac:dyDescent="0.25"/>
    <row r="57" s="389" customFormat="1" ht="12.75" customHeight="1" x14ac:dyDescent="0.25"/>
    <row r="58" s="389" customFormat="1" ht="12.75" customHeight="1" x14ac:dyDescent="0.25"/>
    <row r="59" s="389" customFormat="1" ht="12.75" customHeight="1" x14ac:dyDescent="0.25"/>
    <row r="60" s="389" customFormat="1" ht="12.75" customHeight="1" x14ac:dyDescent="0.25"/>
    <row r="61" s="389" customFormat="1" ht="12.75" customHeight="1" x14ac:dyDescent="0.25"/>
    <row r="62" s="389" customFormat="1" ht="12.75" customHeight="1" x14ac:dyDescent="0.25"/>
    <row r="63" s="389" customFormat="1" ht="12.75" customHeight="1" x14ac:dyDescent="0.25"/>
    <row r="64" s="389" customFormat="1" ht="12.75" customHeight="1" x14ac:dyDescent="0.25"/>
    <row r="65" s="389" customFormat="1" ht="12.75" customHeight="1" x14ac:dyDescent="0.25"/>
    <row r="66" s="389" customFormat="1" ht="12.75" customHeight="1" x14ac:dyDescent="0.25"/>
    <row r="67" s="389" customFormat="1" ht="12.75" customHeight="1" x14ac:dyDescent="0.25"/>
    <row r="68" s="389" customFormat="1" ht="12.75" customHeight="1" x14ac:dyDescent="0.25"/>
    <row r="69" s="389" customFormat="1" ht="12.75" customHeight="1" x14ac:dyDescent="0.25"/>
    <row r="70" s="389" customFormat="1" ht="12.75" customHeight="1" x14ac:dyDescent="0.25"/>
    <row r="71" s="389" customFormat="1" ht="12.75" customHeight="1" x14ac:dyDescent="0.25"/>
    <row r="72" s="389" customFormat="1" ht="12.75" customHeight="1" x14ac:dyDescent="0.25"/>
    <row r="73" s="389" customFormat="1" ht="12.75" customHeight="1" x14ac:dyDescent="0.25"/>
    <row r="74" s="389" customFormat="1" ht="12.75" customHeight="1" x14ac:dyDescent="0.25"/>
    <row r="75" s="389" customFormat="1" ht="12.75" customHeight="1" x14ac:dyDescent="0.25"/>
    <row r="76" s="389" customFormat="1" ht="12.75" customHeight="1" x14ac:dyDescent="0.25"/>
    <row r="77" s="389" customFormat="1" ht="12.75" customHeight="1" x14ac:dyDescent="0.25"/>
    <row r="78" s="389" customFormat="1" ht="12.75" customHeight="1" x14ac:dyDescent="0.25"/>
    <row r="79" s="389" customFormat="1" ht="12.75" customHeight="1" x14ac:dyDescent="0.25"/>
    <row r="80" s="389" customFormat="1" ht="12.75" customHeight="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A035D-14EE-49EA-B5BD-54020D7AF553}">
  <sheetPr codeName="Sheet13">
    <tabColor rgb="FF0070C0"/>
    <pageSetUpPr fitToPage="1"/>
  </sheetPr>
  <dimension ref="A1:H29"/>
  <sheetViews>
    <sheetView zoomScaleNormal="100" workbookViewId="0">
      <selection activeCell="P26" sqref="P26"/>
    </sheetView>
  </sheetViews>
  <sheetFormatPr defaultColWidth="11.42578125" defaultRowHeight="15" customHeight="1" x14ac:dyDescent="0.25"/>
  <cols>
    <col min="1" max="1" width="23" style="267" customWidth="1"/>
    <col min="2" max="2" width="11" style="267" customWidth="1"/>
    <col min="3" max="3" width="8.5703125" style="267" customWidth="1"/>
    <col min="4" max="4" width="11.42578125" style="267" customWidth="1"/>
    <col min="5" max="5" width="30.5703125" style="267" customWidth="1"/>
    <col min="6" max="6" width="15.28515625" style="267" customWidth="1"/>
    <col min="7" max="7" width="12.42578125" style="267" customWidth="1"/>
    <col min="8" max="8" width="15.42578125" style="267" customWidth="1"/>
    <col min="9" max="256" width="11.42578125" style="267"/>
    <col min="257" max="259" width="11.42578125" style="267" customWidth="1"/>
    <col min="260" max="260" width="11.42578125" style="267"/>
    <col min="261" max="264" width="11.42578125" style="267" customWidth="1"/>
    <col min="265" max="512" width="11.42578125" style="267"/>
    <col min="513" max="515" width="11.42578125" style="267" customWidth="1"/>
    <col min="516" max="516" width="11.42578125" style="267"/>
    <col min="517" max="520" width="11.42578125" style="267" customWidth="1"/>
    <col min="521" max="768" width="11.42578125" style="267"/>
    <col min="769" max="771" width="11.42578125" style="267" customWidth="1"/>
    <col min="772" max="772" width="11.42578125" style="267"/>
    <col min="773" max="776" width="11.42578125" style="267" customWidth="1"/>
    <col min="777" max="1024" width="11.42578125" style="267"/>
    <col min="1025" max="1027" width="11.42578125" style="267" customWidth="1"/>
    <col min="1028" max="1028" width="11.42578125" style="267"/>
    <col min="1029" max="1032" width="11.42578125" style="267" customWidth="1"/>
    <col min="1033" max="1280" width="11.42578125" style="267"/>
    <col min="1281" max="1283" width="11.42578125" style="267" customWidth="1"/>
    <col min="1284" max="1284" width="11.42578125" style="267"/>
    <col min="1285" max="1288" width="11.42578125" style="267" customWidth="1"/>
    <col min="1289" max="1536" width="11.42578125" style="267"/>
    <col min="1537" max="1539" width="11.42578125" style="267" customWidth="1"/>
    <col min="1540" max="1540" width="11.42578125" style="267"/>
    <col min="1541" max="1544" width="11.42578125" style="267" customWidth="1"/>
    <col min="1545" max="1792" width="11.42578125" style="267"/>
    <col min="1793" max="1795" width="11.42578125" style="267" customWidth="1"/>
    <col min="1796" max="1796" width="11.42578125" style="267"/>
    <col min="1797" max="1800" width="11.42578125" style="267" customWidth="1"/>
    <col min="1801" max="2048" width="11.42578125" style="267"/>
    <col min="2049" max="2051" width="11.42578125" style="267" customWidth="1"/>
    <col min="2052" max="2052" width="11.42578125" style="267"/>
    <col min="2053" max="2056" width="11.42578125" style="267" customWidth="1"/>
    <col min="2057" max="2304" width="11.42578125" style="267"/>
    <col min="2305" max="2307" width="11.42578125" style="267" customWidth="1"/>
    <col min="2308" max="2308" width="11.42578125" style="267"/>
    <col min="2309" max="2312" width="11.42578125" style="267" customWidth="1"/>
    <col min="2313" max="2560" width="11.42578125" style="267"/>
    <col min="2561" max="2563" width="11.42578125" style="267" customWidth="1"/>
    <col min="2564" max="2564" width="11.42578125" style="267"/>
    <col min="2565" max="2568" width="11.42578125" style="267" customWidth="1"/>
    <col min="2569" max="2816" width="11.42578125" style="267"/>
    <col min="2817" max="2819" width="11.42578125" style="267" customWidth="1"/>
    <col min="2820" max="2820" width="11.42578125" style="267"/>
    <col min="2821" max="2824" width="11.42578125" style="267" customWidth="1"/>
    <col min="2825" max="3072" width="11.42578125" style="267"/>
    <col min="3073" max="3075" width="11.42578125" style="267" customWidth="1"/>
    <col min="3076" max="3076" width="11.42578125" style="267"/>
    <col min="3077" max="3080" width="11.42578125" style="267" customWidth="1"/>
    <col min="3081" max="3328" width="11.42578125" style="267"/>
    <col min="3329" max="3331" width="11.42578125" style="267" customWidth="1"/>
    <col min="3332" max="3332" width="11.42578125" style="267"/>
    <col min="3333" max="3336" width="11.42578125" style="267" customWidth="1"/>
    <col min="3337" max="3584" width="11.42578125" style="267"/>
    <col min="3585" max="3587" width="11.42578125" style="267" customWidth="1"/>
    <col min="3588" max="3588" width="11.42578125" style="267"/>
    <col min="3589" max="3592" width="11.42578125" style="267" customWidth="1"/>
    <col min="3593" max="3840" width="11.42578125" style="267"/>
    <col min="3841" max="3843" width="11.42578125" style="267" customWidth="1"/>
    <col min="3844" max="3844" width="11.42578125" style="267"/>
    <col min="3845" max="3848" width="11.42578125" style="267" customWidth="1"/>
    <col min="3849" max="4096" width="11.42578125" style="267"/>
    <col min="4097" max="4099" width="11.42578125" style="267" customWidth="1"/>
    <col min="4100" max="4100" width="11.42578125" style="267"/>
    <col min="4101" max="4104" width="11.42578125" style="267" customWidth="1"/>
    <col min="4105" max="4352" width="11.42578125" style="267"/>
    <col min="4353" max="4355" width="11.42578125" style="267" customWidth="1"/>
    <col min="4356" max="4356" width="11.42578125" style="267"/>
    <col min="4357" max="4360" width="11.42578125" style="267" customWidth="1"/>
    <col min="4361" max="4608" width="11.42578125" style="267"/>
    <col min="4609" max="4611" width="11.42578125" style="267" customWidth="1"/>
    <col min="4612" max="4612" width="11.42578125" style="267"/>
    <col min="4613" max="4616" width="11.42578125" style="267" customWidth="1"/>
    <col min="4617" max="4864" width="11.42578125" style="267"/>
    <col min="4865" max="4867" width="11.42578125" style="267" customWidth="1"/>
    <col min="4868" max="4868" width="11.42578125" style="267"/>
    <col min="4869" max="4872" width="11.42578125" style="267" customWidth="1"/>
    <col min="4873" max="5120" width="11.42578125" style="267"/>
    <col min="5121" max="5123" width="11.42578125" style="267" customWidth="1"/>
    <col min="5124" max="5124" width="11.42578125" style="267"/>
    <col min="5125" max="5128" width="11.42578125" style="267" customWidth="1"/>
    <col min="5129" max="5376" width="11.42578125" style="267"/>
    <col min="5377" max="5379" width="11.42578125" style="267" customWidth="1"/>
    <col min="5380" max="5380" width="11.42578125" style="267"/>
    <col min="5381" max="5384" width="11.42578125" style="267" customWidth="1"/>
    <col min="5385" max="5632" width="11.42578125" style="267"/>
    <col min="5633" max="5635" width="11.42578125" style="267" customWidth="1"/>
    <col min="5636" max="5636" width="11.42578125" style="267"/>
    <col min="5637" max="5640" width="11.42578125" style="267" customWidth="1"/>
    <col min="5641" max="5888" width="11.42578125" style="267"/>
    <col min="5889" max="5891" width="11.42578125" style="267" customWidth="1"/>
    <col min="5892" max="5892" width="11.42578125" style="267"/>
    <col min="5893" max="5896" width="11.42578125" style="267" customWidth="1"/>
    <col min="5897" max="6144" width="11.42578125" style="267"/>
    <col min="6145" max="6147" width="11.42578125" style="267" customWidth="1"/>
    <col min="6148" max="6148" width="11.42578125" style="267"/>
    <col min="6149" max="6152" width="11.42578125" style="267" customWidth="1"/>
    <col min="6153" max="6400" width="11.42578125" style="267"/>
    <col min="6401" max="6403" width="11.42578125" style="267" customWidth="1"/>
    <col min="6404" max="6404" width="11.42578125" style="267"/>
    <col min="6405" max="6408" width="11.42578125" style="267" customWidth="1"/>
    <col min="6409" max="6656" width="11.42578125" style="267"/>
    <col min="6657" max="6659" width="11.42578125" style="267" customWidth="1"/>
    <col min="6660" max="6660" width="11.42578125" style="267"/>
    <col min="6661" max="6664" width="11.42578125" style="267" customWidth="1"/>
    <col min="6665" max="6912" width="11.42578125" style="267"/>
    <col min="6913" max="6915" width="11.42578125" style="267" customWidth="1"/>
    <col min="6916" max="6916" width="11.42578125" style="267"/>
    <col min="6917" max="6920" width="11.42578125" style="267" customWidth="1"/>
    <col min="6921" max="7168" width="11.42578125" style="267"/>
    <col min="7169" max="7171" width="11.42578125" style="267" customWidth="1"/>
    <col min="7172" max="7172" width="11.42578125" style="267"/>
    <col min="7173" max="7176" width="11.42578125" style="267" customWidth="1"/>
    <col min="7177" max="7424" width="11.42578125" style="267"/>
    <col min="7425" max="7427" width="11.42578125" style="267" customWidth="1"/>
    <col min="7428" max="7428" width="11.42578125" style="267"/>
    <col min="7429" max="7432" width="11.42578125" style="267" customWidth="1"/>
    <col min="7433" max="7680" width="11.42578125" style="267"/>
    <col min="7681" max="7683" width="11.42578125" style="267" customWidth="1"/>
    <col min="7684" max="7684" width="11.42578125" style="267"/>
    <col min="7685" max="7688" width="11.42578125" style="267" customWidth="1"/>
    <col min="7689" max="7936" width="11.42578125" style="267"/>
    <col min="7937" max="7939" width="11.42578125" style="267" customWidth="1"/>
    <col min="7940" max="7940" width="11.42578125" style="267"/>
    <col min="7941" max="7944" width="11.42578125" style="267" customWidth="1"/>
    <col min="7945" max="8192" width="11.42578125" style="267"/>
    <col min="8193" max="8195" width="11.42578125" style="267" customWidth="1"/>
    <col min="8196" max="8196" width="11.42578125" style="267"/>
    <col min="8197" max="8200" width="11.42578125" style="267" customWidth="1"/>
    <col min="8201" max="8448" width="11.42578125" style="267"/>
    <col min="8449" max="8451" width="11.42578125" style="267" customWidth="1"/>
    <col min="8452" max="8452" width="11.42578125" style="267"/>
    <col min="8453" max="8456" width="11.42578125" style="267" customWidth="1"/>
    <col min="8457" max="8704" width="11.42578125" style="267"/>
    <col min="8705" max="8707" width="11.42578125" style="267" customWidth="1"/>
    <col min="8708" max="8708" width="11.42578125" style="267"/>
    <col min="8709" max="8712" width="11.42578125" style="267" customWidth="1"/>
    <col min="8713" max="8960" width="11.42578125" style="267"/>
    <col min="8961" max="8963" width="11.42578125" style="267" customWidth="1"/>
    <col min="8964" max="8964" width="11.42578125" style="267"/>
    <col min="8965" max="8968" width="11.42578125" style="267" customWidth="1"/>
    <col min="8969" max="9216" width="11.42578125" style="267"/>
    <col min="9217" max="9219" width="11.42578125" style="267" customWidth="1"/>
    <col min="9220" max="9220" width="11.42578125" style="267"/>
    <col min="9221" max="9224" width="11.42578125" style="267" customWidth="1"/>
    <col min="9225" max="9472" width="11.42578125" style="267"/>
    <col min="9473" max="9475" width="11.42578125" style="267" customWidth="1"/>
    <col min="9476" max="9476" width="11.42578125" style="267"/>
    <col min="9477" max="9480" width="11.42578125" style="267" customWidth="1"/>
    <col min="9481" max="9728" width="11.42578125" style="267"/>
    <col min="9729" max="9731" width="11.42578125" style="267" customWidth="1"/>
    <col min="9732" max="9732" width="11.42578125" style="267"/>
    <col min="9733" max="9736" width="11.42578125" style="267" customWidth="1"/>
    <col min="9737" max="9984" width="11.42578125" style="267"/>
    <col min="9985" max="9987" width="11.42578125" style="267" customWidth="1"/>
    <col min="9988" max="9988" width="11.42578125" style="267"/>
    <col min="9989" max="9992" width="11.42578125" style="267" customWidth="1"/>
    <col min="9993" max="10240" width="11.42578125" style="267"/>
    <col min="10241" max="10243" width="11.42578125" style="267" customWidth="1"/>
    <col min="10244" max="10244" width="11.42578125" style="267"/>
    <col min="10245" max="10248" width="11.42578125" style="267" customWidth="1"/>
    <col min="10249" max="10496" width="11.42578125" style="267"/>
    <col min="10497" max="10499" width="11.42578125" style="267" customWidth="1"/>
    <col min="10500" max="10500" width="11.42578125" style="267"/>
    <col min="10501" max="10504" width="11.42578125" style="267" customWidth="1"/>
    <col min="10505" max="10752" width="11.42578125" style="267"/>
    <col min="10753" max="10755" width="11.42578125" style="267" customWidth="1"/>
    <col min="10756" max="10756" width="11.42578125" style="267"/>
    <col min="10757" max="10760" width="11.42578125" style="267" customWidth="1"/>
    <col min="10761" max="11008" width="11.42578125" style="267"/>
    <col min="11009" max="11011" width="11.42578125" style="267" customWidth="1"/>
    <col min="11012" max="11012" width="11.42578125" style="267"/>
    <col min="11013" max="11016" width="11.42578125" style="267" customWidth="1"/>
    <col min="11017" max="11264" width="11.42578125" style="267"/>
    <col min="11265" max="11267" width="11.42578125" style="267" customWidth="1"/>
    <col min="11268" max="11268" width="11.42578125" style="267"/>
    <col min="11269" max="11272" width="11.42578125" style="267" customWidth="1"/>
    <col min="11273" max="11520" width="11.42578125" style="267"/>
    <col min="11521" max="11523" width="11.42578125" style="267" customWidth="1"/>
    <col min="11524" max="11524" width="11.42578125" style="267"/>
    <col min="11525" max="11528" width="11.42578125" style="267" customWidth="1"/>
    <col min="11529" max="11776" width="11.42578125" style="267"/>
    <col min="11777" max="11779" width="11.42578125" style="267" customWidth="1"/>
    <col min="11780" max="11780" width="11.42578125" style="267"/>
    <col min="11781" max="11784" width="11.42578125" style="267" customWidth="1"/>
    <col min="11785" max="12032" width="11.42578125" style="267"/>
    <col min="12033" max="12035" width="11.42578125" style="267" customWidth="1"/>
    <col min="12036" max="12036" width="11.42578125" style="267"/>
    <col min="12037" max="12040" width="11.42578125" style="267" customWidth="1"/>
    <col min="12041" max="12288" width="11.42578125" style="267"/>
    <col min="12289" max="12291" width="11.42578125" style="267" customWidth="1"/>
    <col min="12292" max="12292" width="11.42578125" style="267"/>
    <col min="12293" max="12296" width="11.42578125" style="267" customWidth="1"/>
    <col min="12297" max="12544" width="11.42578125" style="267"/>
    <col min="12545" max="12547" width="11.42578125" style="267" customWidth="1"/>
    <col min="12548" max="12548" width="11.42578125" style="267"/>
    <col min="12549" max="12552" width="11.42578125" style="267" customWidth="1"/>
    <col min="12553" max="12800" width="11.42578125" style="267"/>
    <col min="12801" max="12803" width="11.42578125" style="267" customWidth="1"/>
    <col min="12804" max="12804" width="11.42578125" style="267"/>
    <col min="12805" max="12808" width="11.42578125" style="267" customWidth="1"/>
    <col min="12809" max="13056" width="11.42578125" style="267"/>
    <col min="13057" max="13059" width="11.42578125" style="267" customWidth="1"/>
    <col min="13060" max="13060" width="11.42578125" style="267"/>
    <col min="13061" max="13064" width="11.42578125" style="267" customWidth="1"/>
    <col min="13065" max="13312" width="11.42578125" style="267"/>
    <col min="13313" max="13315" width="11.42578125" style="267" customWidth="1"/>
    <col min="13316" max="13316" width="11.42578125" style="267"/>
    <col min="13317" max="13320" width="11.42578125" style="267" customWidth="1"/>
    <col min="13321" max="13568" width="11.42578125" style="267"/>
    <col min="13569" max="13571" width="11.42578125" style="267" customWidth="1"/>
    <col min="13572" max="13572" width="11.42578125" style="267"/>
    <col min="13573" max="13576" width="11.42578125" style="267" customWidth="1"/>
    <col min="13577" max="13824" width="11.42578125" style="267"/>
    <col min="13825" max="13827" width="11.42578125" style="267" customWidth="1"/>
    <col min="13828" max="13828" width="11.42578125" style="267"/>
    <col min="13829" max="13832" width="11.42578125" style="267" customWidth="1"/>
    <col min="13833" max="14080" width="11.42578125" style="267"/>
    <col min="14081" max="14083" width="11.42578125" style="267" customWidth="1"/>
    <col min="14084" max="14084" width="11.42578125" style="267"/>
    <col min="14085" max="14088" width="11.42578125" style="267" customWidth="1"/>
    <col min="14089" max="14336" width="11.42578125" style="267"/>
    <col min="14337" max="14339" width="11.42578125" style="267" customWidth="1"/>
    <col min="14340" max="14340" width="11.42578125" style="267"/>
    <col min="14341" max="14344" width="11.42578125" style="267" customWidth="1"/>
    <col min="14345" max="14592" width="11.42578125" style="267"/>
    <col min="14593" max="14595" width="11.42578125" style="267" customWidth="1"/>
    <col min="14596" max="14596" width="11.42578125" style="267"/>
    <col min="14597" max="14600" width="11.42578125" style="267" customWidth="1"/>
    <col min="14601" max="14848" width="11.42578125" style="267"/>
    <col min="14849" max="14851" width="11.42578125" style="267" customWidth="1"/>
    <col min="14852" max="14852" width="11.42578125" style="267"/>
    <col min="14853" max="14856" width="11.42578125" style="267" customWidth="1"/>
    <col min="14857" max="15104" width="11.42578125" style="267"/>
    <col min="15105" max="15107" width="11.42578125" style="267" customWidth="1"/>
    <col min="15108" max="15108" width="11.42578125" style="267"/>
    <col min="15109" max="15112" width="11.42578125" style="267" customWidth="1"/>
    <col min="15113" max="15360" width="11.42578125" style="267"/>
    <col min="15361" max="15363" width="11.42578125" style="267" customWidth="1"/>
    <col min="15364" max="15364" width="11.42578125" style="267"/>
    <col min="15365" max="15368" width="11.42578125" style="267" customWidth="1"/>
    <col min="15369" max="15616" width="11.42578125" style="267"/>
    <col min="15617" max="15619" width="11.42578125" style="267" customWidth="1"/>
    <col min="15620" max="15620" width="11.42578125" style="267"/>
    <col min="15621" max="15624" width="11.42578125" style="267" customWidth="1"/>
    <col min="15625" max="15872" width="11.42578125" style="267"/>
    <col min="15873" max="15875" width="11.42578125" style="267" customWidth="1"/>
    <col min="15876" max="15876" width="11.42578125" style="267"/>
    <col min="15877" max="15880" width="11.42578125" style="267" customWidth="1"/>
    <col min="15881" max="16128" width="11.42578125" style="267"/>
    <col min="16129" max="16131" width="11.42578125" style="267" customWidth="1"/>
    <col min="16132" max="16132" width="11.42578125" style="267"/>
    <col min="16133" max="16136" width="11.42578125" style="267" customWidth="1"/>
    <col min="16137" max="16384" width="11.42578125" style="267"/>
  </cols>
  <sheetData>
    <row r="1" spans="1:8" ht="15.75" x14ac:dyDescent="0.25">
      <c r="A1" s="116" t="str">
        <f>'#9438.00 PM TIME'!A1</f>
        <v>DOC FDCF Warehouse Loading Dock Ramp Repairs</v>
      </c>
      <c r="B1" s="116"/>
      <c r="C1" s="116"/>
      <c r="D1" s="116"/>
      <c r="E1" s="193"/>
      <c r="F1" s="193"/>
      <c r="G1" s="193"/>
      <c r="H1" s="194"/>
    </row>
    <row r="2" spans="1:8" ht="15.75" x14ac:dyDescent="0.25">
      <c r="A2" s="134" t="str">
        <f>'RECAP #9438.00'!B2</f>
        <v>Project # 9438.00</v>
      </c>
      <c r="B2" s="196"/>
      <c r="C2" s="196"/>
      <c r="D2" s="196"/>
      <c r="E2" s="193"/>
      <c r="F2" s="193"/>
      <c r="G2" s="193"/>
      <c r="H2" s="194"/>
    </row>
    <row r="3" spans="1:8" ht="15.75" x14ac:dyDescent="0.25">
      <c r="A3" s="197" t="str">
        <f>'RECAP #9438.00'!B3</f>
        <v>Program code 943800</v>
      </c>
      <c r="B3" s="196"/>
      <c r="C3" s="196"/>
      <c r="D3" s="196"/>
      <c r="E3" s="198" t="str">
        <f>'RECAP #9438.00'!E3</f>
        <v>Major Program 4B01</v>
      </c>
      <c r="F3" s="196"/>
      <c r="G3" s="193"/>
      <c r="H3" s="194"/>
    </row>
    <row r="4" spans="1:8" ht="15.75" x14ac:dyDescent="0.25">
      <c r="A4" s="225" t="s">
        <v>14</v>
      </c>
      <c r="B4" s="134"/>
      <c r="C4" s="134"/>
      <c r="D4" s="134"/>
      <c r="E4" s="199"/>
      <c r="F4" s="196"/>
      <c r="G4" s="194"/>
      <c r="H4" s="194"/>
    </row>
    <row r="5" spans="1:8" ht="15.75" x14ac:dyDescent="0.25">
      <c r="A5" s="200" t="s">
        <v>66</v>
      </c>
      <c r="B5" s="195"/>
      <c r="C5" s="195"/>
      <c r="D5" s="195"/>
      <c r="E5" s="170" t="s">
        <v>58</v>
      </c>
      <c r="F5" s="196"/>
      <c r="G5" s="145"/>
      <c r="H5" s="194"/>
    </row>
    <row r="6" spans="1:8" ht="15.75" x14ac:dyDescent="0.25">
      <c r="A6" s="134" t="str">
        <f>'RECAP #9438.00'!B6</f>
        <v>Project Manager - Jennie E.</v>
      </c>
      <c r="B6" s="134"/>
      <c r="C6" s="134"/>
      <c r="D6" s="134"/>
      <c r="E6" s="202"/>
      <c r="F6" s="195"/>
      <c r="G6" s="145"/>
      <c r="H6" s="194"/>
    </row>
    <row r="7" spans="1:8" ht="15.75" x14ac:dyDescent="0.25">
      <c r="A7" s="196"/>
      <c r="B7" s="203"/>
      <c r="C7" s="203"/>
      <c r="D7" s="203"/>
      <c r="E7" s="203"/>
      <c r="F7" s="196"/>
      <c r="G7" s="194"/>
      <c r="H7" s="194"/>
    </row>
    <row r="8" spans="1:8" ht="32.25" thickBot="1" x14ac:dyDescent="0.3">
      <c r="A8" s="204" t="s">
        <v>59</v>
      </c>
      <c r="B8" s="205" t="s">
        <v>4</v>
      </c>
      <c r="C8" s="206" t="s">
        <v>56</v>
      </c>
      <c r="D8" s="206" t="s">
        <v>57</v>
      </c>
      <c r="E8" s="226" t="s">
        <v>11</v>
      </c>
      <c r="F8" s="192" t="s">
        <v>60</v>
      </c>
      <c r="G8" s="192" t="s">
        <v>52</v>
      </c>
      <c r="H8" s="192" t="s">
        <v>53</v>
      </c>
    </row>
    <row r="9" spans="1:8" s="389" customFormat="1" ht="12.75" customHeight="1" x14ac:dyDescent="0.25">
      <c r="A9" s="393" t="s">
        <v>373</v>
      </c>
      <c r="B9" s="383">
        <v>46006</v>
      </c>
      <c r="C9" s="432" t="s">
        <v>209</v>
      </c>
      <c r="D9" s="432" t="s">
        <v>372</v>
      </c>
      <c r="E9" s="388" t="s">
        <v>370</v>
      </c>
      <c r="F9" s="433" t="s">
        <v>371</v>
      </c>
      <c r="G9" s="392">
        <v>182.45</v>
      </c>
      <c r="H9" s="434">
        <f>G9</f>
        <v>182.45</v>
      </c>
    </row>
    <row r="10" spans="1:8" s="389" customFormat="1" ht="12.75" customHeight="1" x14ac:dyDescent="0.25">
      <c r="A10" s="435"/>
      <c r="B10" s="383"/>
      <c r="C10" s="432"/>
      <c r="D10" s="432"/>
      <c r="E10" s="388"/>
      <c r="F10" s="436"/>
      <c r="G10" s="422"/>
      <c r="H10" s="434">
        <f>H9+G10</f>
        <v>182.45</v>
      </c>
    </row>
    <row r="11" spans="1:8" s="389" customFormat="1" ht="12.75" customHeight="1" x14ac:dyDescent="0.25">
      <c r="A11" s="432"/>
      <c r="B11" s="383"/>
      <c r="C11" s="383"/>
      <c r="D11" s="383"/>
      <c r="E11" s="388"/>
      <c r="F11" s="431"/>
      <c r="G11" s="434"/>
      <c r="H11" s="434">
        <f t="shared" ref="H11:H20" si="0">H10+G11</f>
        <v>182.45</v>
      </c>
    </row>
    <row r="12" spans="1:8" s="389" customFormat="1" ht="12.75" customHeight="1" x14ac:dyDescent="0.25">
      <c r="A12" s="432"/>
      <c r="B12" s="383"/>
      <c r="C12" s="383"/>
      <c r="D12" s="383"/>
      <c r="E12" s="388"/>
      <c r="F12" s="431"/>
      <c r="G12" s="434"/>
      <c r="H12" s="434">
        <f t="shared" si="0"/>
        <v>182.45</v>
      </c>
    </row>
    <row r="13" spans="1:8" s="389" customFormat="1" ht="12.75" customHeight="1" x14ac:dyDescent="0.25">
      <c r="A13" s="432" t="s">
        <v>3</v>
      </c>
      <c r="B13" s="383" t="s">
        <v>3</v>
      </c>
      <c r="C13" s="383"/>
      <c r="D13" s="383"/>
      <c r="E13" s="388" t="s">
        <v>3</v>
      </c>
      <c r="F13" s="431"/>
      <c r="G13" s="434"/>
      <c r="H13" s="434">
        <f t="shared" si="0"/>
        <v>182.45</v>
      </c>
    </row>
    <row r="14" spans="1:8" s="389" customFormat="1" ht="12.75" customHeight="1" x14ac:dyDescent="0.25">
      <c r="A14" s="432"/>
      <c r="B14" s="383"/>
      <c r="C14" s="383"/>
      <c r="D14" s="383"/>
      <c r="E14" s="388"/>
      <c r="F14" s="431"/>
      <c r="G14" s="434"/>
      <c r="H14" s="434">
        <f t="shared" si="0"/>
        <v>182.45</v>
      </c>
    </row>
    <row r="15" spans="1:8" s="389" customFormat="1" ht="12.75" customHeight="1" x14ac:dyDescent="0.25">
      <c r="A15" s="432"/>
      <c r="B15" s="383"/>
      <c r="C15" s="383"/>
      <c r="D15" s="383"/>
      <c r="E15" s="397"/>
      <c r="F15" s="431"/>
      <c r="G15" s="434"/>
      <c r="H15" s="434">
        <f t="shared" si="0"/>
        <v>182.45</v>
      </c>
    </row>
    <row r="16" spans="1:8" s="389" customFormat="1" ht="12.75" customHeight="1" x14ac:dyDescent="0.25">
      <c r="A16" s="432"/>
      <c r="B16" s="383"/>
      <c r="C16" s="383"/>
      <c r="D16" s="383"/>
      <c r="E16" s="388"/>
      <c r="F16" s="431"/>
      <c r="G16" s="434"/>
      <c r="H16" s="434">
        <f t="shared" si="0"/>
        <v>182.45</v>
      </c>
    </row>
    <row r="17" spans="1:8" s="389" customFormat="1" ht="12.75" customHeight="1" x14ac:dyDescent="0.25">
      <c r="A17" s="382"/>
      <c r="B17" s="383"/>
      <c r="C17" s="383"/>
      <c r="D17" s="383"/>
      <c r="E17" s="388"/>
      <c r="F17" s="431"/>
      <c r="G17" s="434"/>
      <c r="H17" s="434">
        <f t="shared" si="0"/>
        <v>182.45</v>
      </c>
    </row>
    <row r="18" spans="1:8" s="389" customFormat="1" ht="12.75" customHeight="1" x14ac:dyDescent="0.25">
      <c r="A18" s="382"/>
      <c r="B18" s="383"/>
      <c r="C18" s="383"/>
      <c r="D18" s="383"/>
      <c r="E18" s="388"/>
      <c r="F18" s="431"/>
      <c r="G18" s="434"/>
      <c r="H18" s="434">
        <f t="shared" si="0"/>
        <v>182.45</v>
      </c>
    </row>
    <row r="19" spans="1:8" s="389" customFormat="1" ht="12.75" customHeight="1" x14ac:dyDescent="0.25">
      <c r="A19" s="382"/>
      <c r="B19" s="383"/>
      <c r="C19" s="383"/>
      <c r="D19" s="383"/>
      <c r="E19" s="388"/>
      <c r="F19" s="431"/>
      <c r="G19" s="434"/>
      <c r="H19" s="434">
        <f t="shared" si="0"/>
        <v>182.45</v>
      </c>
    </row>
    <row r="20" spans="1:8" s="389" customFormat="1" ht="12.75" customHeight="1" x14ac:dyDescent="0.25">
      <c r="A20" s="382"/>
      <c r="B20" s="383"/>
      <c r="C20" s="383"/>
      <c r="D20" s="383"/>
      <c r="E20" s="388"/>
      <c r="F20" s="431"/>
      <c r="G20" s="434"/>
      <c r="H20" s="434">
        <f t="shared" si="0"/>
        <v>182.45</v>
      </c>
    </row>
    <row r="21" spans="1:8" s="389" customFormat="1" ht="12.75" customHeight="1" x14ac:dyDescent="0.25">
      <c r="A21" s="382"/>
      <c r="B21" s="372"/>
      <c r="C21" s="372"/>
      <c r="D21" s="372"/>
      <c r="E21" s="388"/>
      <c r="F21" s="434"/>
      <c r="G21" s="388"/>
      <c r="H21" s="434"/>
    </row>
    <row r="22" spans="1:8" s="389" customFormat="1" ht="12.75" customHeight="1" thickBot="1" x14ac:dyDescent="0.3">
      <c r="A22" s="437"/>
      <c r="B22" s="399"/>
      <c r="C22" s="399"/>
      <c r="D22" s="399"/>
      <c r="E22" s="438" t="s">
        <v>54</v>
      </c>
      <c r="F22" s="439"/>
      <c r="G22" s="396">
        <f>SUM(G9:G21)</f>
        <v>182.45</v>
      </c>
      <c r="H22" s="439"/>
    </row>
    <row r="23" spans="1:8" s="389" customFormat="1" ht="12.75" customHeight="1" thickTop="1" x14ac:dyDescent="0.25"/>
    <row r="24" spans="1:8" s="389" customFormat="1" ht="12.75" customHeight="1" x14ac:dyDescent="0.25"/>
    <row r="25" spans="1:8" s="389" customFormat="1" ht="12.75" customHeight="1" x14ac:dyDescent="0.25"/>
    <row r="26" spans="1:8" s="389" customFormat="1" ht="12.75" customHeight="1" x14ac:dyDescent="0.25"/>
    <row r="27" spans="1:8" s="389" customFormat="1" ht="12.75" customHeight="1" x14ac:dyDescent="0.25"/>
    <row r="28" spans="1:8" s="389" customFormat="1" ht="12.75" customHeight="1" x14ac:dyDescent="0.25"/>
    <row r="29" spans="1:8" s="389" customFormat="1" ht="12.75" customHeight="1" x14ac:dyDescent="0.25"/>
  </sheetData>
  <pageMargins left="0.25" right="0.25" top="0.85" bottom="0.75" header="0.08" footer="0.3"/>
  <pageSetup scale="7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153F-3D98-4A4D-9661-71BE2CBF06D5}">
  <sheetPr codeName="Sheet14">
    <tabColor rgb="FF0070C0"/>
    <pageSetUpPr fitToPage="1"/>
  </sheetPr>
  <dimension ref="A1:G17"/>
  <sheetViews>
    <sheetView zoomScaleNormal="100" workbookViewId="0">
      <selection activeCell="E5" sqref="E5:F5"/>
    </sheetView>
  </sheetViews>
  <sheetFormatPr defaultColWidth="11.42578125" defaultRowHeight="15" customHeight="1" x14ac:dyDescent="0.25"/>
  <cols>
    <col min="1" max="1" width="3.5703125" style="267" customWidth="1"/>
    <col min="2" max="2" width="25" style="267" customWidth="1"/>
    <col min="3" max="3" width="21.5703125" style="267" customWidth="1"/>
    <col min="4" max="4" width="17" style="267" customWidth="1"/>
    <col min="5" max="5" width="13.42578125" style="267" bestFit="1" customWidth="1"/>
    <col min="6" max="6" width="16.42578125" style="267" customWidth="1"/>
    <col min="7" max="7" width="16.42578125" style="267" bestFit="1" customWidth="1"/>
    <col min="8" max="256" width="11.42578125" style="267"/>
    <col min="257" max="263" width="11.42578125" style="267" customWidth="1"/>
    <col min="264" max="512" width="11.42578125" style="267"/>
    <col min="513" max="519" width="11.42578125" style="267" customWidth="1"/>
    <col min="520" max="768" width="11.42578125" style="267"/>
    <col min="769" max="775" width="11.42578125" style="267" customWidth="1"/>
    <col min="776" max="1024" width="11.42578125" style="267"/>
    <col min="1025" max="1031" width="11.42578125" style="267" customWidth="1"/>
    <col min="1032" max="1280" width="11.42578125" style="267"/>
    <col min="1281" max="1287" width="11.42578125" style="267" customWidth="1"/>
    <col min="1288" max="1536" width="11.42578125" style="267"/>
    <col min="1537" max="1543" width="11.42578125" style="267" customWidth="1"/>
    <col min="1544" max="1792" width="11.42578125" style="267"/>
    <col min="1793" max="1799" width="11.42578125" style="267" customWidth="1"/>
    <col min="1800" max="2048" width="11.42578125" style="267"/>
    <col min="2049" max="2055" width="11.42578125" style="267" customWidth="1"/>
    <col min="2056" max="2304" width="11.42578125" style="267"/>
    <col min="2305" max="2311" width="11.42578125" style="267" customWidth="1"/>
    <col min="2312" max="2560" width="11.42578125" style="267"/>
    <col min="2561" max="2567" width="11.42578125" style="267" customWidth="1"/>
    <col min="2568" max="2816" width="11.42578125" style="267"/>
    <col min="2817" max="2823" width="11.42578125" style="267" customWidth="1"/>
    <col min="2824" max="3072" width="11.42578125" style="267"/>
    <col min="3073" max="3079" width="11.42578125" style="267" customWidth="1"/>
    <col min="3080" max="3328" width="11.42578125" style="267"/>
    <col min="3329" max="3335" width="11.42578125" style="267" customWidth="1"/>
    <col min="3336" max="3584" width="11.42578125" style="267"/>
    <col min="3585" max="3591" width="11.42578125" style="267" customWidth="1"/>
    <col min="3592" max="3840" width="11.42578125" style="267"/>
    <col min="3841" max="3847" width="11.42578125" style="267" customWidth="1"/>
    <col min="3848" max="4096" width="11.42578125" style="267"/>
    <col min="4097" max="4103" width="11.42578125" style="267" customWidth="1"/>
    <col min="4104" max="4352" width="11.42578125" style="267"/>
    <col min="4353" max="4359" width="11.42578125" style="267" customWidth="1"/>
    <col min="4360" max="4608" width="11.42578125" style="267"/>
    <col min="4609" max="4615" width="11.42578125" style="267" customWidth="1"/>
    <col min="4616" max="4864" width="11.42578125" style="267"/>
    <col min="4865" max="4871" width="11.42578125" style="267" customWidth="1"/>
    <col min="4872" max="5120" width="11.42578125" style="267"/>
    <col min="5121" max="5127" width="11.42578125" style="267" customWidth="1"/>
    <col min="5128" max="5376" width="11.42578125" style="267"/>
    <col min="5377" max="5383" width="11.42578125" style="267" customWidth="1"/>
    <col min="5384" max="5632" width="11.42578125" style="267"/>
    <col min="5633" max="5639" width="11.42578125" style="267" customWidth="1"/>
    <col min="5640" max="5888" width="11.42578125" style="267"/>
    <col min="5889" max="5895" width="11.42578125" style="267" customWidth="1"/>
    <col min="5896" max="6144" width="11.42578125" style="267"/>
    <col min="6145" max="6151" width="11.42578125" style="267" customWidth="1"/>
    <col min="6152" max="6400" width="11.42578125" style="267"/>
    <col min="6401" max="6407" width="11.42578125" style="267" customWidth="1"/>
    <col min="6408" max="6656" width="11.42578125" style="267"/>
    <col min="6657" max="6663" width="11.42578125" style="267" customWidth="1"/>
    <col min="6664" max="6912" width="11.42578125" style="267"/>
    <col min="6913" max="6919" width="11.42578125" style="267" customWidth="1"/>
    <col min="6920" max="7168" width="11.42578125" style="267"/>
    <col min="7169" max="7175" width="11.42578125" style="267" customWidth="1"/>
    <col min="7176" max="7424" width="11.42578125" style="267"/>
    <col min="7425" max="7431" width="11.42578125" style="267" customWidth="1"/>
    <col min="7432" max="7680" width="11.42578125" style="267"/>
    <col min="7681" max="7687" width="11.42578125" style="267" customWidth="1"/>
    <col min="7688" max="7936" width="11.42578125" style="267"/>
    <col min="7937" max="7943" width="11.42578125" style="267" customWidth="1"/>
    <col min="7944" max="8192" width="11.42578125" style="267"/>
    <col min="8193" max="8199" width="11.42578125" style="267" customWidth="1"/>
    <col min="8200" max="8448" width="11.42578125" style="267"/>
    <col min="8449" max="8455" width="11.42578125" style="267" customWidth="1"/>
    <col min="8456" max="8704" width="11.42578125" style="267"/>
    <col min="8705" max="8711" width="11.42578125" style="267" customWidth="1"/>
    <col min="8712" max="8960" width="11.42578125" style="267"/>
    <col min="8961" max="8967" width="11.42578125" style="267" customWidth="1"/>
    <col min="8968" max="9216" width="11.42578125" style="267"/>
    <col min="9217" max="9223" width="11.42578125" style="267" customWidth="1"/>
    <col min="9224" max="9472" width="11.42578125" style="267"/>
    <col min="9473" max="9479" width="11.42578125" style="267" customWidth="1"/>
    <col min="9480" max="9728" width="11.42578125" style="267"/>
    <col min="9729" max="9735" width="11.42578125" style="267" customWidth="1"/>
    <col min="9736" max="9984" width="11.42578125" style="267"/>
    <col min="9985" max="9991" width="11.42578125" style="267" customWidth="1"/>
    <col min="9992" max="10240" width="11.42578125" style="267"/>
    <col min="10241" max="10247" width="11.42578125" style="267" customWidth="1"/>
    <col min="10248" max="10496" width="11.42578125" style="267"/>
    <col min="10497" max="10503" width="11.42578125" style="267" customWidth="1"/>
    <col min="10504" max="10752" width="11.42578125" style="267"/>
    <col min="10753" max="10759" width="11.42578125" style="267" customWidth="1"/>
    <col min="10760" max="11008" width="11.42578125" style="267"/>
    <col min="11009" max="11015" width="11.42578125" style="267" customWidth="1"/>
    <col min="11016" max="11264" width="11.42578125" style="267"/>
    <col min="11265" max="11271" width="11.42578125" style="267" customWidth="1"/>
    <col min="11272" max="11520" width="11.42578125" style="267"/>
    <col min="11521" max="11527" width="11.42578125" style="267" customWidth="1"/>
    <col min="11528" max="11776" width="11.42578125" style="267"/>
    <col min="11777" max="11783" width="11.42578125" style="267" customWidth="1"/>
    <col min="11784" max="12032" width="11.42578125" style="267"/>
    <col min="12033" max="12039" width="11.42578125" style="267" customWidth="1"/>
    <col min="12040" max="12288" width="11.42578125" style="267"/>
    <col min="12289" max="12295" width="11.42578125" style="267" customWidth="1"/>
    <col min="12296" max="12544" width="11.42578125" style="267"/>
    <col min="12545" max="12551" width="11.42578125" style="267" customWidth="1"/>
    <col min="12552" max="12800" width="11.42578125" style="267"/>
    <col min="12801" max="12807" width="11.42578125" style="267" customWidth="1"/>
    <col min="12808" max="13056" width="11.42578125" style="267"/>
    <col min="13057" max="13063" width="11.42578125" style="267" customWidth="1"/>
    <col min="13064" max="13312" width="11.42578125" style="267"/>
    <col min="13313" max="13319" width="11.42578125" style="267" customWidth="1"/>
    <col min="13320" max="13568" width="11.42578125" style="267"/>
    <col min="13569" max="13575" width="11.42578125" style="267" customWidth="1"/>
    <col min="13576" max="13824" width="11.42578125" style="267"/>
    <col min="13825" max="13831" width="11.42578125" style="267" customWidth="1"/>
    <col min="13832" max="14080" width="11.42578125" style="267"/>
    <col min="14081" max="14087" width="11.42578125" style="267" customWidth="1"/>
    <col min="14088" max="14336" width="11.42578125" style="267"/>
    <col min="14337" max="14343" width="11.42578125" style="267" customWidth="1"/>
    <col min="14344" max="14592" width="11.42578125" style="267"/>
    <col min="14593" max="14599" width="11.42578125" style="267" customWidth="1"/>
    <col min="14600" max="14848" width="11.42578125" style="267"/>
    <col min="14849" max="14855" width="11.42578125" style="267" customWidth="1"/>
    <col min="14856" max="15104" width="11.42578125" style="267"/>
    <col min="15105" max="15111" width="11.42578125" style="267" customWidth="1"/>
    <col min="15112" max="15360" width="11.42578125" style="267"/>
    <col min="15361" max="15367" width="11.42578125" style="267" customWidth="1"/>
    <col min="15368" max="15616" width="11.42578125" style="267"/>
    <col min="15617" max="15623" width="11.42578125" style="267" customWidth="1"/>
    <col min="15624" max="15872" width="11.42578125" style="267"/>
    <col min="15873" max="15879" width="11.42578125" style="267" customWidth="1"/>
    <col min="15880" max="16128" width="11.42578125" style="267"/>
    <col min="16129" max="16135" width="11.42578125" style="267" customWidth="1"/>
    <col min="16136" max="16384" width="11.42578125" style="267"/>
  </cols>
  <sheetData>
    <row r="1" spans="1:7" ht="15.75" x14ac:dyDescent="0.25">
      <c r="A1" s="234"/>
      <c r="B1" s="116" t="s">
        <v>128</v>
      </c>
      <c r="C1" s="116"/>
      <c r="D1" s="193"/>
      <c r="E1" s="193"/>
      <c r="F1" s="193"/>
      <c r="G1" s="193"/>
    </row>
    <row r="2" spans="1:7" ht="15.75" x14ac:dyDescent="0.25">
      <c r="A2" s="234"/>
      <c r="B2" s="134" t="s">
        <v>129</v>
      </c>
      <c r="C2" s="196"/>
      <c r="D2" s="193"/>
      <c r="E2" s="193"/>
      <c r="F2" s="193"/>
      <c r="G2" s="193"/>
    </row>
    <row r="3" spans="1:7" ht="15.75" x14ac:dyDescent="0.25">
      <c r="A3" s="234"/>
      <c r="B3" s="197" t="s">
        <v>130</v>
      </c>
      <c r="C3" s="196"/>
      <c r="D3" s="193"/>
      <c r="E3" s="198" t="s">
        <v>79</v>
      </c>
      <c r="F3" s="193"/>
      <c r="G3" s="193"/>
    </row>
    <row r="4" spans="1:7" ht="15.75" x14ac:dyDescent="0.25">
      <c r="A4" s="234"/>
      <c r="B4" s="194" t="s">
        <v>36</v>
      </c>
      <c r="C4" s="235" t="s">
        <v>3</v>
      </c>
      <c r="D4" s="193"/>
      <c r="E4" s="193"/>
      <c r="F4" s="193"/>
      <c r="G4" s="193"/>
    </row>
    <row r="5" spans="1:7" ht="15.75" x14ac:dyDescent="0.25">
      <c r="A5" s="234"/>
      <c r="B5" s="134" t="s">
        <v>63</v>
      </c>
      <c r="C5" s="196"/>
      <c r="D5" s="193"/>
      <c r="E5" s="237" t="s">
        <v>1053</v>
      </c>
      <c r="F5" s="489">
        <v>46223</v>
      </c>
      <c r="G5" s="193"/>
    </row>
    <row r="6" spans="1:7" ht="15.75" x14ac:dyDescent="0.25">
      <c r="A6" s="234"/>
      <c r="B6" s="134" t="s">
        <v>111</v>
      </c>
      <c r="C6" s="236"/>
      <c r="D6" s="237" t="s">
        <v>3</v>
      </c>
      <c r="E6" s="193"/>
      <c r="F6" s="193"/>
      <c r="G6" s="193"/>
    </row>
    <row r="7" spans="1:7" ht="33" customHeight="1" thickBot="1" x14ac:dyDescent="0.3">
      <c r="A7" s="234"/>
      <c r="B7" s="238" t="s">
        <v>3</v>
      </c>
      <c r="C7" s="239" t="s">
        <v>0</v>
      </c>
      <c r="D7" s="240" t="s">
        <v>1</v>
      </c>
      <c r="E7" s="241" t="s">
        <v>2</v>
      </c>
      <c r="F7" s="242" t="s">
        <v>37</v>
      </c>
      <c r="G7" s="242" t="s">
        <v>38</v>
      </c>
    </row>
    <row r="8" spans="1:7" ht="28.35" customHeight="1" x14ac:dyDescent="0.25">
      <c r="A8" s="234"/>
      <c r="B8" s="196" t="s">
        <v>39</v>
      </c>
      <c r="C8" s="243">
        <f>'#9471.00 Funds Rec''d '!H24</f>
        <v>24537</v>
      </c>
      <c r="D8" s="244"/>
      <c r="E8" s="244"/>
      <c r="F8" s="244"/>
      <c r="G8" s="245"/>
    </row>
    <row r="9" spans="1:7" s="389" customFormat="1" ht="12.75" customHeight="1" x14ac:dyDescent="0.25">
      <c r="A9" s="381"/>
      <c r="B9" s="426"/>
      <c r="C9" s="427"/>
      <c r="D9" s="428"/>
      <c r="E9" s="428"/>
      <c r="F9" s="428"/>
      <c r="G9" s="429"/>
    </row>
    <row r="10" spans="1:7" s="389" customFormat="1" ht="12.75" customHeight="1" x14ac:dyDescent="0.25">
      <c r="A10" s="381" t="s">
        <v>325</v>
      </c>
      <c r="B10" s="426" t="s">
        <v>153</v>
      </c>
      <c r="C10" s="427"/>
      <c r="D10" s="430">
        <f>'#9471.00 MidState Plumbing'!D23</f>
        <v>24537</v>
      </c>
      <c r="E10" s="430">
        <f>'#9471.00 MidState Plumbing'!F23</f>
        <v>24537</v>
      </c>
      <c r="F10" s="430">
        <f>'#9471.00 MidState Plumbing'!H23</f>
        <v>0</v>
      </c>
      <c r="G10" s="429"/>
    </row>
    <row r="11" spans="1:7" s="389" customFormat="1" ht="12.75" customHeight="1" x14ac:dyDescent="0.25">
      <c r="A11" s="381" t="s">
        <v>325</v>
      </c>
      <c r="B11" s="426" t="s">
        <v>41</v>
      </c>
      <c r="C11" s="427"/>
      <c r="D11" s="430">
        <f>'#9471.00 PM TIME'!E23</f>
        <v>0</v>
      </c>
      <c r="E11" s="430">
        <f>'#9471.00 PM TIME'!G23</f>
        <v>0</v>
      </c>
      <c r="F11" s="430">
        <f>'#9471.00 PM TIME'!I23</f>
        <v>0</v>
      </c>
      <c r="G11" s="429"/>
    </row>
    <row r="12" spans="1:7" s="389" customFormat="1" ht="12.75" customHeight="1" x14ac:dyDescent="0.25">
      <c r="A12" s="381" t="s">
        <v>325</v>
      </c>
      <c r="B12" s="426" t="s">
        <v>42</v>
      </c>
      <c r="C12" s="428"/>
      <c r="D12" s="431">
        <f>'#9471.00 Misc'!G22</f>
        <v>0</v>
      </c>
      <c r="E12" s="431">
        <f>'#9471.00 Misc'!G22</f>
        <v>0</v>
      </c>
      <c r="F12" s="430">
        <f>D12-E12</f>
        <v>0</v>
      </c>
      <c r="G12" s="429"/>
    </row>
    <row r="13" spans="1:7" s="389" customFormat="1" ht="12.75" customHeight="1" x14ac:dyDescent="0.25">
      <c r="A13" s="381"/>
      <c r="B13" s="426"/>
      <c r="C13" s="428"/>
      <c r="D13" s="431"/>
      <c r="E13" s="431"/>
      <c r="F13" s="430"/>
      <c r="G13" s="429"/>
    </row>
    <row r="14" spans="1:7" ht="24" customHeight="1" thickBot="1" x14ac:dyDescent="0.3">
      <c r="A14" s="249"/>
      <c r="B14" s="250" t="s">
        <v>43</v>
      </c>
      <c r="C14" s="251">
        <f>SUM(C8:C13)</f>
        <v>24537</v>
      </c>
      <c r="D14" s="251">
        <f>SUM(D8:D13)</f>
        <v>24537</v>
      </c>
      <c r="E14" s="251">
        <f>SUM(E8:E13)</f>
        <v>24537</v>
      </c>
      <c r="F14" s="251">
        <f>SUM(D14-E14)</f>
        <v>0</v>
      </c>
      <c r="G14" s="251">
        <f>C8-D14</f>
        <v>0</v>
      </c>
    </row>
    <row r="15" spans="1:7" ht="15" customHeight="1" thickTop="1" x14ac:dyDescent="0.25"/>
    <row r="17" spans="2:2" ht="15" customHeight="1" x14ac:dyDescent="0.25">
      <c r="B17" s="425"/>
    </row>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7D1F0-FBFD-49B2-BB7B-DB90A7698DA2}">
  <sheetPr>
    <pageSetUpPr fitToPage="1"/>
  </sheetPr>
  <dimension ref="A1:H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31.7109375" customWidth="1"/>
    <col min="5" max="5" width="25.42578125" customWidth="1"/>
    <col min="6" max="6" width="10.42578125" bestFit="1" customWidth="1"/>
    <col min="7" max="7" width="14" bestFit="1" customWidth="1"/>
    <col min="8" max="8" width="16.8554687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#9239.04'!B1</f>
        <v>DOC-NCF-IPI Homes for Iowa Facility Project Phase II Fencing</v>
      </c>
      <c r="B1" s="7"/>
      <c r="C1" s="2"/>
      <c r="D1" s="3"/>
      <c r="E1" s="3"/>
      <c r="F1" s="7"/>
      <c r="G1" s="7"/>
      <c r="H1" s="7"/>
    </row>
    <row r="2" spans="1:8" x14ac:dyDescent="0.25">
      <c r="A2" s="112" t="str">
        <f>'RECAP #9239.04'!B2</f>
        <v>Project # 9239.04</v>
      </c>
      <c r="B2" s="7"/>
      <c r="C2" s="113" t="s">
        <v>3</v>
      </c>
      <c r="D2" s="1"/>
      <c r="E2" s="1"/>
      <c r="F2" s="7"/>
      <c r="G2" s="7"/>
      <c r="H2" s="7"/>
    </row>
    <row r="3" spans="1:8" x14ac:dyDescent="0.25">
      <c r="A3" s="114" t="str">
        <f>'RECAP #9239.04'!B3</f>
        <v>Program code 923904</v>
      </c>
      <c r="B3" s="7"/>
      <c r="C3" s="113" t="s">
        <v>3</v>
      </c>
      <c r="D3" s="115" t="str">
        <f>'RECAP #9239.04'!E3</f>
        <v>Major Program 4B01</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#9239.04'!B6</f>
        <v>Project Manager - Brad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759</v>
      </c>
      <c r="F9" s="127">
        <v>46156</v>
      </c>
      <c r="G9" s="380">
        <v>2550299</v>
      </c>
      <c r="H9" s="380">
        <v>2550299</v>
      </c>
    </row>
    <row r="10" spans="1:8" x14ac:dyDescent="0.25">
      <c r="A10" s="12"/>
      <c r="B10" s="12"/>
      <c r="C10" s="13"/>
      <c r="D10" s="15" t="s">
        <v>760</v>
      </c>
      <c r="E10" s="12" t="s">
        <v>761</v>
      </c>
      <c r="F10" s="12">
        <v>46156</v>
      </c>
      <c r="G10" s="17">
        <v>0</v>
      </c>
      <c r="H10" s="17">
        <v>0</v>
      </c>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2550299</v>
      </c>
      <c r="H24" s="131">
        <f>SUM(H9:H22)</f>
        <v>2550299</v>
      </c>
    </row>
    <row r="25" spans="1:8" ht="15" customHeight="1" thickTop="1" x14ac:dyDescent="0.25"/>
  </sheetData>
  <pageMargins left="0.25" right="0.25" top="0.85" bottom="0.75" header="0.08" footer="0.3"/>
  <pageSetup scale="6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6FE3-5B1D-4A0E-AD87-8CA91FB2A50D}">
  <sheetPr codeName="Sheet15">
    <tabColor rgb="FF0070C0"/>
    <pageSetUpPr fitToPage="1"/>
  </sheetPr>
  <dimension ref="A1:H38"/>
  <sheetViews>
    <sheetView zoomScaleNormal="100" workbookViewId="0">
      <selection activeCell="P26" sqref="P26"/>
    </sheetView>
  </sheetViews>
  <sheetFormatPr defaultRowHeight="15" customHeight="1" x14ac:dyDescent="0.25"/>
  <cols>
    <col min="1" max="1" width="15.5703125" style="267" customWidth="1"/>
    <col min="2" max="2" width="20.5703125" style="267" customWidth="1"/>
    <col min="3" max="3" width="12.42578125" style="267" bestFit="1" customWidth="1"/>
    <col min="4" max="4" width="36.5703125" style="267" bestFit="1" customWidth="1"/>
    <col min="5" max="5" width="22" style="267" customWidth="1"/>
    <col min="6" max="6" width="10.42578125" style="267" bestFit="1" customWidth="1"/>
    <col min="7" max="8" width="12.42578125" style="267" bestFit="1" customWidth="1"/>
    <col min="9" max="11" width="9.140625" style="267" customWidth="1"/>
    <col min="12" max="256" width="9.140625" style="267"/>
    <col min="257" max="267" width="9.140625" style="267" customWidth="1"/>
    <col min="268" max="512" width="9.140625" style="267"/>
    <col min="513" max="523" width="9.140625" style="267" customWidth="1"/>
    <col min="524" max="768" width="9.140625" style="267"/>
    <col min="769" max="779" width="9.140625" style="267" customWidth="1"/>
    <col min="780" max="1024" width="9.140625" style="267"/>
    <col min="1025" max="1035" width="9.140625" style="267" customWidth="1"/>
    <col min="1036" max="1280" width="9.140625" style="267"/>
    <col min="1281" max="1291" width="9.140625" style="267" customWidth="1"/>
    <col min="1292" max="1536" width="9.140625" style="267"/>
    <col min="1537" max="1547" width="9.140625" style="267" customWidth="1"/>
    <col min="1548" max="1792" width="9.140625" style="267"/>
    <col min="1793" max="1803" width="9.140625" style="267" customWidth="1"/>
    <col min="1804" max="2048" width="9.140625" style="267"/>
    <col min="2049" max="2059" width="9.140625" style="267" customWidth="1"/>
    <col min="2060" max="2304" width="9.140625" style="267"/>
    <col min="2305" max="2315" width="9.140625" style="267" customWidth="1"/>
    <col min="2316" max="2560" width="9.140625" style="267"/>
    <col min="2561" max="2571" width="9.140625" style="267" customWidth="1"/>
    <col min="2572" max="2816" width="9.140625" style="267"/>
    <col min="2817" max="2827" width="9.140625" style="267" customWidth="1"/>
    <col min="2828" max="3072" width="9.140625" style="267"/>
    <col min="3073" max="3083" width="9.140625" style="267" customWidth="1"/>
    <col min="3084" max="3328" width="9.140625" style="267"/>
    <col min="3329" max="3339" width="9.140625" style="267" customWidth="1"/>
    <col min="3340" max="3584" width="9.140625" style="267"/>
    <col min="3585" max="3595" width="9.140625" style="267" customWidth="1"/>
    <col min="3596" max="3840" width="9.140625" style="267"/>
    <col min="3841" max="3851" width="9.140625" style="267" customWidth="1"/>
    <col min="3852" max="4096" width="9.140625" style="267"/>
    <col min="4097" max="4107" width="9.140625" style="267" customWidth="1"/>
    <col min="4108" max="4352" width="9.140625" style="267"/>
    <col min="4353" max="4363" width="9.140625" style="267" customWidth="1"/>
    <col min="4364" max="4608" width="9.140625" style="267"/>
    <col min="4609" max="4619" width="9.140625" style="267" customWidth="1"/>
    <col min="4620" max="4864" width="9.140625" style="267"/>
    <col min="4865" max="4875" width="9.140625" style="267" customWidth="1"/>
    <col min="4876" max="5120" width="9.140625" style="267"/>
    <col min="5121" max="5131" width="9.140625" style="267" customWidth="1"/>
    <col min="5132" max="5376" width="9.140625" style="267"/>
    <col min="5377" max="5387" width="9.140625" style="267" customWidth="1"/>
    <col min="5388" max="5632" width="9.140625" style="267"/>
    <col min="5633" max="5643" width="9.140625" style="267" customWidth="1"/>
    <col min="5644" max="5888" width="9.140625" style="267"/>
    <col min="5889" max="5899" width="9.140625" style="267" customWidth="1"/>
    <col min="5900" max="6144" width="9.140625" style="267"/>
    <col min="6145" max="6155" width="9.140625" style="267" customWidth="1"/>
    <col min="6156" max="6400" width="9.140625" style="267"/>
    <col min="6401" max="6411" width="9.140625" style="267" customWidth="1"/>
    <col min="6412" max="6656" width="9.140625" style="267"/>
    <col min="6657" max="6667" width="9.140625" style="267" customWidth="1"/>
    <col min="6668" max="6912" width="9.140625" style="267"/>
    <col min="6913" max="6923" width="9.140625" style="267" customWidth="1"/>
    <col min="6924" max="7168" width="9.140625" style="267"/>
    <col min="7169" max="7179" width="9.140625" style="267" customWidth="1"/>
    <col min="7180" max="7424" width="9.140625" style="267"/>
    <col min="7425" max="7435" width="9.140625" style="267" customWidth="1"/>
    <col min="7436" max="7680" width="9.140625" style="267"/>
    <col min="7681" max="7691" width="9.140625" style="267" customWidth="1"/>
    <col min="7692" max="7936" width="9.140625" style="267"/>
    <col min="7937" max="7947" width="9.140625" style="267" customWidth="1"/>
    <col min="7948" max="8192" width="9.140625" style="267"/>
    <col min="8193" max="8203" width="9.140625" style="267" customWidth="1"/>
    <col min="8204" max="8448" width="9.140625" style="267"/>
    <col min="8449" max="8459" width="9.140625" style="267" customWidth="1"/>
    <col min="8460" max="8704" width="9.140625" style="267"/>
    <col min="8705" max="8715" width="9.140625" style="267" customWidth="1"/>
    <col min="8716" max="8960" width="9.140625" style="267"/>
    <col min="8961" max="8971" width="9.140625" style="267" customWidth="1"/>
    <col min="8972" max="9216" width="9.140625" style="267"/>
    <col min="9217" max="9227" width="9.140625" style="267" customWidth="1"/>
    <col min="9228" max="9472" width="9.140625" style="267"/>
    <col min="9473" max="9483" width="9.140625" style="267" customWidth="1"/>
    <col min="9484" max="9728" width="9.140625" style="267"/>
    <col min="9729" max="9739" width="9.140625" style="267" customWidth="1"/>
    <col min="9740" max="9984" width="9.140625" style="267"/>
    <col min="9985" max="9995" width="9.140625" style="267" customWidth="1"/>
    <col min="9996" max="10240" width="9.140625" style="267"/>
    <col min="10241" max="10251" width="9.140625" style="267" customWidth="1"/>
    <col min="10252" max="10496" width="9.140625" style="267"/>
    <col min="10497" max="10507" width="9.140625" style="267" customWidth="1"/>
    <col min="10508" max="10752" width="9.140625" style="267"/>
    <col min="10753" max="10763" width="9.140625" style="267" customWidth="1"/>
    <col min="10764" max="11008" width="9.140625" style="267"/>
    <col min="11009" max="11019" width="9.140625" style="267" customWidth="1"/>
    <col min="11020" max="11264" width="9.140625" style="267"/>
    <col min="11265" max="11275" width="9.140625" style="267" customWidth="1"/>
    <col min="11276" max="11520" width="9.140625" style="267"/>
    <col min="11521" max="11531" width="9.140625" style="267" customWidth="1"/>
    <col min="11532" max="11776" width="9.140625" style="267"/>
    <col min="11777" max="11787" width="9.140625" style="267" customWidth="1"/>
    <col min="11788" max="12032" width="9.140625" style="267"/>
    <col min="12033" max="12043" width="9.140625" style="267" customWidth="1"/>
    <col min="12044" max="12288" width="9.140625" style="267"/>
    <col min="12289" max="12299" width="9.140625" style="267" customWidth="1"/>
    <col min="12300" max="12544" width="9.140625" style="267"/>
    <col min="12545" max="12555" width="9.140625" style="267" customWidth="1"/>
    <col min="12556" max="12800" width="9.140625" style="267"/>
    <col min="12801" max="12811" width="9.140625" style="267" customWidth="1"/>
    <col min="12812" max="13056" width="9.140625" style="267"/>
    <col min="13057" max="13067" width="9.140625" style="267" customWidth="1"/>
    <col min="13068" max="13312" width="9.140625" style="267"/>
    <col min="13313" max="13323" width="9.140625" style="267" customWidth="1"/>
    <col min="13324" max="13568" width="9.140625" style="267"/>
    <col min="13569" max="13579" width="9.140625" style="267" customWidth="1"/>
    <col min="13580" max="13824" width="9.140625" style="267"/>
    <col min="13825" max="13835" width="9.140625" style="267" customWidth="1"/>
    <col min="13836" max="14080" width="9.140625" style="267"/>
    <col min="14081" max="14091" width="9.140625" style="267" customWidth="1"/>
    <col min="14092" max="14336" width="9.140625" style="267"/>
    <col min="14337" max="14347" width="9.140625" style="267" customWidth="1"/>
    <col min="14348" max="14592" width="9.140625" style="267"/>
    <col min="14593" max="14603" width="9.140625" style="267" customWidth="1"/>
    <col min="14604" max="14848" width="9.140625" style="267"/>
    <col min="14849" max="14859" width="9.140625" style="267" customWidth="1"/>
    <col min="14860" max="15104" width="9.140625" style="267"/>
    <col min="15105" max="15115" width="9.140625" style="267" customWidth="1"/>
    <col min="15116" max="15360" width="9.140625" style="267"/>
    <col min="15361" max="15371" width="9.140625" style="267" customWidth="1"/>
    <col min="15372" max="15616" width="9.140625" style="267"/>
    <col min="15617" max="15627" width="9.140625" style="267" customWidth="1"/>
    <col min="15628" max="15872" width="9.140625" style="267"/>
    <col min="15873" max="15883" width="9.140625" style="267" customWidth="1"/>
    <col min="15884" max="16128" width="9.140625" style="267"/>
    <col min="16129" max="16139" width="9.140625" style="267" customWidth="1"/>
    <col min="16140" max="16384" width="9.140625" style="267"/>
  </cols>
  <sheetData>
    <row r="1" spans="1:8" x14ac:dyDescent="0.25">
      <c r="A1" s="253" t="str">
        <f>'RECAP #9471.00'!B1</f>
        <v>DOC FDCF Bldg G Water Heater Replacement (29C20)</v>
      </c>
      <c r="B1" s="254"/>
      <c r="C1" s="255"/>
      <c r="D1" s="256"/>
      <c r="E1" s="256"/>
      <c r="F1" s="254"/>
      <c r="G1" s="254"/>
      <c r="H1" s="254"/>
    </row>
    <row r="2" spans="1:8" x14ac:dyDescent="0.25">
      <c r="A2" s="257" t="str">
        <f>'RECAP #9471.00'!B2</f>
        <v>Project # 9471.00</v>
      </c>
      <c r="B2" s="254"/>
      <c r="C2" s="258" t="s">
        <v>3</v>
      </c>
      <c r="D2" s="259"/>
      <c r="E2" s="259"/>
      <c r="F2" s="254"/>
      <c r="G2" s="254"/>
      <c r="H2" s="254"/>
    </row>
    <row r="3" spans="1:8" x14ac:dyDescent="0.25">
      <c r="A3" s="260" t="str">
        <f>'RECAP #9471.00'!B3</f>
        <v>Program code 947100</v>
      </c>
      <c r="B3" s="254"/>
      <c r="C3" s="258" t="s">
        <v>3</v>
      </c>
      <c r="D3" s="261" t="str">
        <f>'RECAP #9471.00'!E3</f>
        <v>Major Program 4E01</v>
      </c>
      <c r="E3" s="256"/>
      <c r="F3" s="254"/>
      <c r="G3" s="254"/>
      <c r="H3" s="254"/>
    </row>
    <row r="4" spans="1:8" ht="15.75" x14ac:dyDescent="0.25">
      <c r="A4" s="116" t="s">
        <v>44</v>
      </c>
      <c r="B4" s="262" t="s">
        <v>3</v>
      </c>
      <c r="C4" s="256"/>
      <c r="D4" s="256"/>
      <c r="E4" s="256"/>
      <c r="F4" s="254"/>
      <c r="G4" s="254"/>
      <c r="H4" s="254"/>
    </row>
    <row r="5" spans="1:8" x14ac:dyDescent="0.25">
      <c r="A5" s="249" t="s">
        <v>122</v>
      </c>
      <c r="B5" s="263"/>
      <c r="C5" s="264"/>
      <c r="D5" s="217"/>
      <c r="E5" s="254"/>
      <c r="F5" s="254"/>
      <c r="G5" s="254"/>
      <c r="H5" s="254"/>
    </row>
    <row r="6" spans="1:8" x14ac:dyDescent="0.25">
      <c r="A6" s="265" t="str">
        <f>'RECAP #9471.00'!B6</f>
        <v>Project Manager - Jennie E</v>
      </c>
      <c r="B6" s="263"/>
      <c r="C6" s="266"/>
      <c r="D6" s="217"/>
      <c r="E6" s="263"/>
      <c r="F6" s="217"/>
      <c r="G6" s="266"/>
      <c r="H6" s="266"/>
    </row>
    <row r="7" spans="1:8" ht="18" x14ac:dyDescent="0.25">
      <c r="A7" s="265"/>
      <c r="B7" s="268"/>
      <c r="C7" s="269"/>
      <c r="D7" s="268"/>
      <c r="E7" s="268"/>
      <c r="F7" s="270"/>
      <c r="G7" s="269"/>
      <c r="H7" s="269"/>
    </row>
    <row r="8" spans="1:8" ht="50.85" customHeight="1" thickBot="1" x14ac:dyDescent="0.3">
      <c r="A8" s="271" t="s">
        <v>4</v>
      </c>
      <c r="B8" s="272" t="s">
        <v>45</v>
      </c>
      <c r="C8" s="273" t="s">
        <v>5</v>
      </c>
      <c r="D8" s="271" t="s">
        <v>6</v>
      </c>
      <c r="E8" s="272" t="s">
        <v>46</v>
      </c>
      <c r="F8" s="274" t="s">
        <v>7</v>
      </c>
      <c r="G8" s="273" t="s">
        <v>5</v>
      </c>
      <c r="H8" s="275" t="s">
        <v>8</v>
      </c>
    </row>
    <row r="9" spans="1:8" s="389" customFormat="1" ht="12.75" customHeight="1" x14ac:dyDescent="0.25">
      <c r="A9" s="442"/>
      <c r="B9" s="441"/>
      <c r="C9" s="443"/>
      <c r="D9" s="444" t="s">
        <v>96</v>
      </c>
      <c r="E9" s="444" t="s">
        <v>423</v>
      </c>
      <c r="F9" s="445">
        <v>45881</v>
      </c>
      <c r="G9" s="421">
        <v>27500</v>
      </c>
      <c r="H9" s="421">
        <v>27500</v>
      </c>
    </row>
    <row r="10" spans="1:8" s="389" customFormat="1" ht="12.75" customHeight="1" x14ac:dyDescent="0.25">
      <c r="A10" s="442"/>
      <c r="B10" s="442"/>
      <c r="C10" s="446"/>
      <c r="D10" s="444" t="s">
        <v>862</v>
      </c>
      <c r="E10" s="442" t="s">
        <v>1045</v>
      </c>
      <c r="F10" s="442">
        <v>46223</v>
      </c>
      <c r="G10" s="486">
        <v>-2963</v>
      </c>
      <c r="H10" s="486">
        <v>-2963</v>
      </c>
    </row>
    <row r="11" spans="1:8" s="389" customFormat="1" ht="12.75" customHeight="1" x14ac:dyDescent="0.25">
      <c r="A11" s="448"/>
      <c r="B11" s="446"/>
      <c r="C11" s="449"/>
      <c r="D11" s="444"/>
      <c r="F11" s="442"/>
      <c r="G11" s="450"/>
      <c r="H11" s="451"/>
    </row>
    <row r="12" spans="1:8" s="389" customFormat="1" ht="12.75" customHeight="1" x14ac:dyDescent="0.25">
      <c r="A12" s="448"/>
      <c r="B12" s="446"/>
      <c r="C12" s="452"/>
      <c r="D12" s="444"/>
      <c r="F12" s="442"/>
      <c r="G12" s="450"/>
      <c r="H12" s="451"/>
    </row>
    <row r="13" spans="1:8" s="389" customFormat="1" ht="12.75" customHeight="1" x14ac:dyDescent="0.25">
      <c r="A13" s="390"/>
      <c r="B13" s="453"/>
      <c r="C13" s="452"/>
      <c r="D13" s="444"/>
      <c r="F13" s="442"/>
      <c r="G13" s="454"/>
      <c r="H13" s="451"/>
    </row>
    <row r="14" spans="1:8" s="389" customFormat="1" ht="12.75" customHeight="1" x14ac:dyDescent="0.25">
      <c r="A14" s="448"/>
      <c r="B14" s="455"/>
      <c r="C14" s="452"/>
      <c r="D14" s="446"/>
      <c r="E14" s="455"/>
      <c r="F14" s="442"/>
      <c r="G14" s="450"/>
      <c r="H14" s="451"/>
    </row>
    <row r="15" spans="1:8" s="389" customFormat="1" ht="12.75" customHeight="1" x14ac:dyDescent="0.25">
      <c r="A15" s="448"/>
      <c r="B15" s="455"/>
      <c r="C15" s="456"/>
      <c r="D15" s="457"/>
      <c r="E15" s="453"/>
      <c r="F15" s="458"/>
      <c r="G15" s="459"/>
      <c r="H15" s="459"/>
    </row>
    <row r="16" spans="1:8" s="389" customFormat="1" ht="12.75" customHeight="1" x14ac:dyDescent="0.25">
      <c r="A16" s="448"/>
      <c r="B16" s="455"/>
      <c r="C16" s="456" t="s">
        <v>3</v>
      </c>
      <c r="D16" s="457"/>
      <c r="E16" s="455"/>
      <c r="F16" s="458"/>
      <c r="G16" s="459"/>
      <c r="H16" s="459"/>
    </row>
    <row r="17" spans="1:8" s="389" customFormat="1" ht="12.75" customHeight="1" x14ac:dyDescent="0.25">
      <c r="A17" s="448"/>
      <c r="B17" s="455"/>
      <c r="C17" s="456"/>
      <c r="D17" s="457"/>
      <c r="E17" s="455"/>
      <c r="F17" s="458"/>
      <c r="G17" s="460"/>
      <c r="H17" s="456"/>
    </row>
    <row r="18" spans="1:8" s="389" customFormat="1" ht="12.75" customHeight="1" x14ac:dyDescent="0.25">
      <c r="A18" s="448"/>
      <c r="B18" s="461"/>
      <c r="C18" s="456"/>
      <c r="D18" s="457"/>
      <c r="E18" s="455"/>
      <c r="F18" s="458"/>
      <c r="G18" s="459"/>
      <c r="H18" s="459"/>
    </row>
    <row r="19" spans="1:8" s="389" customFormat="1" ht="12.75" customHeight="1" x14ac:dyDescent="0.25">
      <c r="A19" s="448"/>
      <c r="B19" s="455"/>
      <c r="C19" s="456"/>
      <c r="D19" s="457"/>
      <c r="E19" s="455"/>
      <c r="F19" s="458"/>
      <c r="G19" s="459"/>
      <c r="H19" s="459"/>
    </row>
    <row r="20" spans="1:8" s="389" customFormat="1" ht="12.75" customHeight="1" x14ac:dyDescent="0.25">
      <c r="A20" s="448"/>
      <c r="B20" s="455"/>
      <c r="C20" s="456"/>
      <c r="D20" s="457"/>
      <c r="E20" s="455"/>
      <c r="F20" s="458"/>
      <c r="G20" s="460"/>
      <c r="H20" s="456"/>
    </row>
    <row r="21" spans="1:8" s="389" customFormat="1" ht="12.75" customHeight="1" x14ac:dyDescent="0.25">
      <c r="A21" s="448"/>
      <c r="B21" s="455"/>
      <c r="C21" s="456"/>
      <c r="D21" s="457"/>
      <c r="E21" s="455"/>
      <c r="F21" s="458"/>
      <c r="G21" s="460"/>
      <c r="H21" s="456"/>
    </row>
    <row r="22" spans="1:8" s="389" customFormat="1" ht="12.75" customHeight="1" x14ac:dyDescent="0.25">
      <c r="A22" s="448"/>
      <c r="B22" s="455"/>
      <c r="C22" s="456"/>
      <c r="D22" s="457"/>
      <c r="E22" s="455"/>
      <c r="F22" s="448"/>
      <c r="G22" s="459"/>
      <c r="H22" s="459"/>
    </row>
    <row r="23" spans="1:8" s="389" customFormat="1" ht="12.75" customHeight="1" x14ac:dyDescent="0.25">
      <c r="A23" s="448"/>
      <c r="B23" s="455"/>
      <c r="C23" s="456"/>
      <c r="D23" s="457"/>
      <c r="E23" s="455"/>
      <c r="F23" s="448"/>
      <c r="G23" s="459"/>
      <c r="H23" s="459"/>
    </row>
    <row r="24" spans="1:8" s="389" customFormat="1" ht="12.75" customHeight="1" thickBot="1" x14ac:dyDescent="0.3">
      <c r="A24" s="462"/>
      <c r="B24" s="463" t="s">
        <v>9</v>
      </c>
      <c r="C24" s="464">
        <f>SUM(C9:C23)</f>
        <v>0</v>
      </c>
      <c r="D24" s="465" t="s">
        <v>10</v>
      </c>
      <c r="E24" s="466"/>
      <c r="F24" s="467"/>
      <c r="G24" s="396">
        <f>SUM(G9:G23)</f>
        <v>24537</v>
      </c>
      <c r="H24" s="396">
        <f>SUM(H9:H22)</f>
        <v>24537</v>
      </c>
    </row>
    <row r="25" spans="1:8" s="389" customFormat="1" ht="12.75" customHeight="1" thickTop="1" x14ac:dyDescent="0.25"/>
    <row r="26" spans="1:8" s="389" customFormat="1" ht="12.75" customHeight="1" x14ac:dyDescent="0.25"/>
    <row r="27" spans="1:8" s="389" customFormat="1" ht="12.75" customHeight="1" x14ac:dyDescent="0.25"/>
    <row r="28" spans="1:8" s="389" customFormat="1" ht="12.75" customHeight="1" x14ac:dyDescent="0.25"/>
    <row r="29" spans="1:8" s="389" customFormat="1" ht="12.75" customHeight="1" x14ac:dyDescent="0.25"/>
    <row r="30" spans="1:8" s="389" customFormat="1" ht="12.75" customHeight="1" x14ac:dyDescent="0.25"/>
    <row r="31" spans="1:8" s="389" customFormat="1" ht="12.75" customHeight="1" x14ac:dyDescent="0.25"/>
    <row r="32" spans="1:8"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sheetData>
  <pageMargins left="0.25" right="0.25" top="0.85" bottom="0.75" header="0.08" footer="0.3"/>
  <pageSetup scale="7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913D-B8FB-41C8-AED7-5E91057B5ECE}">
  <sheetPr codeName="Sheet16">
    <tabColor rgb="FF0070C0"/>
    <pageSetUpPr fitToPage="1"/>
  </sheetPr>
  <dimension ref="A1:I36"/>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44.5703125" style="267" customWidth="1"/>
    <col min="4" max="4" width="14.42578125" style="267" customWidth="1"/>
    <col min="5" max="5" width="13.5703125" style="267" customWidth="1"/>
    <col min="6" max="6" width="12.42578125" style="267" customWidth="1"/>
    <col min="7" max="7" width="10.5703125" style="267" customWidth="1"/>
    <col min="8" max="8" width="14.140625" style="267" customWidth="1"/>
    <col min="9" max="9" width="12.28515625"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#9471.00'!B1</f>
        <v>DOC FDCF Bldg G Water Heater Replacement (29C20)</v>
      </c>
      <c r="B1" s="116"/>
      <c r="C1" s="193"/>
      <c r="D1" s="193"/>
      <c r="E1" s="193"/>
      <c r="F1" s="194"/>
      <c r="G1" s="194"/>
      <c r="H1" s="195"/>
      <c r="I1" s="195"/>
    </row>
    <row r="2" spans="1:9" ht="15.75" x14ac:dyDescent="0.25">
      <c r="A2" s="134" t="str">
        <f>'RECAP #9471.00'!B2</f>
        <v>Project # 9471.00</v>
      </c>
      <c r="B2" s="196"/>
      <c r="C2" s="193"/>
      <c r="D2" s="193"/>
      <c r="E2" s="193"/>
      <c r="F2" s="194"/>
      <c r="G2" s="194"/>
      <c r="H2" s="195"/>
      <c r="I2" s="195"/>
    </row>
    <row r="3" spans="1:9" ht="15.75" x14ac:dyDescent="0.25">
      <c r="A3" s="197" t="str">
        <f>'RECAP #9471.00'!B3</f>
        <v>Program code 947100</v>
      </c>
      <c r="B3" s="196"/>
      <c r="C3" s="193"/>
      <c r="D3" s="198" t="str">
        <f>'RECAP #9471.00'!E3</f>
        <v>Major Program 4E01</v>
      </c>
      <c r="E3" s="193"/>
      <c r="F3" s="194"/>
      <c r="G3" s="194"/>
      <c r="H3" s="195"/>
      <c r="I3" s="195"/>
    </row>
    <row r="4" spans="1:9" ht="15.75" x14ac:dyDescent="0.25">
      <c r="A4" s="116" t="s">
        <v>153</v>
      </c>
      <c r="B4" s="134"/>
      <c r="C4" s="195"/>
      <c r="D4" s="199" t="s">
        <v>154</v>
      </c>
      <c r="E4" s="194"/>
      <c r="F4" s="194"/>
      <c r="G4" s="194"/>
      <c r="H4" s="195"/>
      <c r="I4" s="195"/>
    </row>
    <row r="5" spans="1:9" ht="15.75" x14ac:dyDescent="0.25">
      <c r="A5" s="200" t="s">
        <v>147</v>
      </c>
      <c r="B5" s="195"/>
      <c r="C5" s="201"/>
      <c r="D5" s="140" t="s">
        <v>155</v>
      </c>
      <c r="E5" s="145"/>
      <c r="F5" s="194"/>
      <c r="G5" s="194"/>
      <c r="H5" s="195"/>
      <c r="I5" s="195"/>
    </row>
    <row r="6" spans="1:9" ht="15.75" x14ac:dyDescent="0.25">
      <c r="A6" s="134" t="str">
        <f>'RECAP #9471.00'!B6</f>
        <v>Project Manager - Jennie E</v>
      </c>
      <c r="B6" s="134"/>
      <c r="C6" s="202"/>
      <c r="D6" s="300" t="s">
        <v>156</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2" t="s">
        <v>297</v>
      </c>
    </row>
    <row r="9" spans="1:9" s="389" customFormat="1" ht="12.75" customHeight="1" x14ac:dyDescent="0.25">
      <c r="A9" s="382" t="s">
        <v>159</v>
      </c>
      <c r="B9" s="383">
        <v>45883</v>
      </c>
      <c r="C9" s="391" t="s">
        <v>146</v>
      </c>
      <c r="D9" s="419">
        <v>24537</v>
      </c>
      <c r="E9" s="386">
        <f>D9</f>
        <v>24537</v>
      </c>
      <c r="F9" s="387"/>
      <c r="G9" s="387"/>
      <c r="H9" s="387">
        <f>E9</f>
        <v>24537</v>
      </c>
      <c r="I9" s="388"/>
    </row>
    <row r="10" spans="1:9" s="389" customFormat="1" ht="12.75" customHeight="1" x14ac:dyDescent="0.2">
      <c r="A10" s="223" t="s">
        <v>389</v>
      </c>
      <c r="B10" s="288">
        <v>46013</v>
      </c>
      <c r="C10" s="218" t="s">
        <v>396</v>
      </c>
      <c r="D10" s="386"/>
      <c r="E10" s="386">
        <f t="shared" ref="E10:E21" si="0">E9+D10</f>
        <v>24537</v>
      </c>
      <c r="F10" s="392">
        <v>1070.6500000000001</v>
      </c>
      <c r="G10" s="387">
        <f t="shared" ref="G10:G21" si="1">G9+F10</f>
        <v>1070.6500000000001</v>
      </c>
      <c r="H10" s="387">
        <f t="shared" ref="H10:H21" si="2">H9-F10+D10</f>
        <v>23466.35</v>
      </c>
      <c r="I10" s="397">
        <v>56.35</v>
      </c>
    </row>
    <row r="11" spans="1:9" s="389" customFormat="1" ht="12.75" customHeight="1" x14ac:dyDescent="0.2">
      <c r="A11" s="223" t="s">
        <v>399</v>
      </c>
      <c r="B11" s="383">
        <v>46020</v>
      </c>
      <c r="C11" s="391" t="s">
        <v>400</v>
      </c>
      <c r="D11" s="386"/>
      <c r="E11" s="386">
        <f t="shared" si="0"/>
        <v>24537</v>
      </c>
      <c r="F11" s="392">
        <v>7600</v>
      </c>
      <c r="G11" s="387">
        <f t="shared" si="1"/>
        <v>8670.65</v>
      </c>
      <c r="H11" s="387">
        <f t="shared" si="2"/>
        <v>15866.349999999999</v>
      </c>
      <c r="I11" s="397">
        <f>I10+400</f>
        <v>456.35</v>
      </c>
    </row>
    <row r="12" spans="1:9" s="389" customFormat="1" ht="12.75" customHeight="1" x14ac:dyDescent="0.2">
      <c r="A12" s="223" t="s">
        <v>409</v>
      </c>
      <c r="B12" s="209">
        <v>46031</v>
      </c>
      <c r="C12" s="218" t="s">
        <v>410</v>
      </c>
      <c r="D12" s="386"/>
      <c r="E12" s="386">
        <f t="shared" si="0"/>
        <v>24537</v>
      </c>
      <c r="F12" s="392">
        <v>0</v>
      </c>
      <c r="G12" s="387">
        <f t="shared" si="1"/>
        <v>8670.65</v>
      </c>
      <c r="H12" s="387">
        <f t="shared" si="2"/>
        <v>15866.349999999999</v>
      </c>
      <c r="I12" s="397">
        <f>456.35</f>
        <v>456.35</v>
      </c>
    </row>
    <row r="13" spans="1:9" s="389" customFormat="1" ht="12.75" customHeight="1" x14ac:dyDescent="0.2">
      <c r="A13" s="223" t="s">
        <v>466</v>
      </c>
      <c r="B13" s="383">
        <v>46052</v>
      </c>
      <c r="C13" s="391" t="s">
        <v>467</v>
      </c>
      <c r="D13" s="386"/>
      <c r="E13" s="386">
        <f t="shared" si="0"/>
        <v>24537</v>
      </c>
      <c r="F13" s="392">
        <v>4560</v>
      </c>
      <c r="G13" s="387">
        <f t="shared" si="1"/>
        <v>13230.65</v>
      </c>
      <c r="H13" s="387">
        <f t="shared" si="2"/>
        <v>11306.349999999999</v>
      </c>
      <c r="I13" s="397">
        <f>I12+240</f>
        <v>696.35</v>
      </c>
    </row>
    <row r="14" spans="1:9" s="389" customFormat="1" ht="12.75" customHeight="1" x14ac:dyDescent="0.2">
      <c r="A14" s="223" t="s">
        <v>159</v>
      </c>
      <c r="B14" s="383">
        <v>46056</v>
      </c>
      <c r="C14" s="391" t="s">
        <v>475</v>
      </c>
      <c r="D14" s="419">
        <v>0</v>
      </c>
      <c r="E14" s="386">
        <f t="shared" si="0"/>
        <v>24537</v>
      </c>
      <c r="F14" s="387"/>
      <c r="G14" s="387">
        <f t="shared" si="1"/>
        <v>13230.65</v>
      </c>
      <c r="H14" s="387">
        <f t="shared" si="2"/>
        <v>11306.349999999999</v>
      </c>
      <c r="I14" s="388"/>
    </row>
    <row r="15" spans="1:9" s="389" customFormat="1" ht="12.75" customHeight="1" x14ac:dyDescent="0.2">
      <c r="A15" s="223" t="s">
        <v>526</v>
      </c>
      <c r="B15" s="383">
        <v>46079</v>
      </c>
      <c r="C15" s="391" t="s">
        <v>527</v>
      </c>
      <c r="D15" s="419">
        <v>0</v>
      </c>
      <c r="E15" s="386">
        <f t="shared" si="0"/>
        <v>24537</v>
      </c>
      <c r="F15" s="392"/>
      <c r="G15" s="387">
        <f t="shared" si="1"/>
        <v>13230.65</v>
      </c>
      <c r="H15" s="387">
        <f t="shared" si="2"/>
        <v>11306.349999999999</v>
      </c>
      <c r="I15" s="388"/>
    </row>
    <row r="16" spans="1:9" s="389" customFormat="1" ht="12.75" customHeight="1" x14ac:dyDescent="0.2">
      <c r="A16" s="223" t="s">
        <v>577</v>
      </c>
      <c r="B16" s="383">
        <v>46101</v>
      </c>
      <c r="C16" s="391" t="s">
        <v>578</v>
      </c>
      <c r="D16" s="386"/>
      <c r="E16" s="386">
        <f t="shared" si="0"/>
        <v>24537</v>
      </c>
      <c r="F16" s="392">
        <v>2850</v>
      </c>
      <c r="G16" s="387">
        <f t="shared" si="1"/>
        <v>16080.65</v>
      </c>
      <c r="H16" s="387">
        <f t="shared" si="2"/>
        <v>8456.3499999999985</v>
      </c>
      <c r="I16" s="397">
        <f>I13+150</f>
        <v>846.35</v>
      </c>
    </row>
    <row r="17" spans="1:9" s="389" customFormat="1" ht="12.75" customHeight="1" x14ac:dyDescent="0.2">
      <c r="A17" s="223" t="s">
        <v>689</v>
      </c>
      <c r="B17" s="383">
        <v>46134</v>
      </c>
      <c r="C17" s="391" t="s">
        <v>690</v>
      </c>
      <c r="D17" s="386"/>
      <c r="E17" s="386">
        <f t="shared" si="0"/>
        <v>24537</v>
      </c>
      <c r="F17" s="392">
        <v>950</v>
      </c>
      <c r="G17" s="387">
        <f t="shared" si="1"/>
        <v>17030.650000000001</v>
      </c>
      <c r="H17" s="387">
        <f t="shared" si="2"/>
        <v>7506.3499999999985</v>
      </c>
      <c r="I17" s="397">
        <f>I16+50</f>
        <v>896.35</v>
      </c>
    </row>
    <row r="18" spans="1:9" s="389" customFormat="1" ht="12.75" customHeight="1" x14ac:dyDescent="0.2">
      <c r="A18" s="223" t="s">
        <v>800</v>
      </c>
      <c r="B18" s="383">
        <v>46168</v>
      </c>
      <c r="C18" s="391" t="s">
        <v>799</v>
      </c>
      <c r="D18" s="386"/>
      <c r="E18" s="386">
        <f t="shared" si="0"/>
        <v>24537</v>
      </c>
      <c r="F18" s="392">
        <f>6279.5</f>
        <v>6279.5</v>
      </c>
      <c r="G18" s="387">
        <f t="shared" si="1"/>
        <v>23310.15</v>
      </c>
      <c r="H18" s="387">
        <f t="shared" si="2"/>
        <v>1226.8499999999985</v>
      </c>
      <c r="I18" s="392">
        <f>I17+330.5</f>
        <v>1226.8499999999999</v>
      </c>
    </row>
    <row r="19" spans="1:9" s="389" customFormat="1" ht="12.75" customHeight="1" x14ac:dyDescent="0.2">
      <c r="A19" s="223" t="s">
        <v>933</v>
      </c>
      <c r="B19" s="383">
        <v>46198</v>
      </c>
      <c r="C19" s="391" t="s">
        <v>934</v>
      </c>
      <c r="D19" s="386"/>
      <c r="E19" s="386">
        <f t="shared" si="0"/>
        <v>24537</v>
      </c>
      <c r="F19" s="392">
        <v>0</v>
      </c>
      <c r="G19" s="387">
        <f t="shared" si="1"/>
        <v>23310.15</v>
      </c>
      <c r="H19" s="387">
        <f t="shared" si="2"/>
        <v>1226.8499999999985</v>
      </c>
      <c r="I19" s="392">
        <v>1226.8499999999999</v>
      </c>
    </row>
    <row r="20" spans="1:9" s="389" customFormat="1" ht="12.75" customHeight="1" x14ac:dyDescent="0.2">
      <c r="A20" s="223" t="s">
        <v>963</v>
      </c>
      <c r="B20" s="383">
        <v>46209</v>
      </c>
      <c r="C20" s="391" t="s">
        <v>964</v>
      </c>
      <c r="D20" s="386"/>
      <c r="E20" s="386">
        <f t="shared" si="0"/>
        <v>24537</v>
      </c>
      <c r="F20" s="392">
        <v>1226.8499999999999</v>
      </c>
      <c r="G20" s="387">
        <f t="shared" si="1"/>
        <v>24537</v>
      </c>
      <c r="H20" s="387">
        <f t="shared" si="2"/>
        <v>-1.3642420526593924E-12</v>
      </c>
      <c r="I20" s="392"/>
    </row>
    <row r="21" spans="1:9" s="389" customFormat="1" ht="12.75" customHeight="1" x14ac:dyDescent="0.25">
      <c r="A21" s="382"/>
      <c r="B21" s="383"/>
      <c r="C21" s="393"/>
      <c r="D21" s="386"/>
      <c r="E21" s="386">
        <f t="shared" si="0"/>
        <v>24537</v>
      </c>
      <c r="F21" s="387"/>
      <c r="G21" s="387">
        <f t="shared" si="1"/>
        <v>24537</v>
      </c>
      <c r="H21" s="387">
        <f t="shared" si="2"/>
        <v>-1.3642420526593924E-12</v>
      </c>
      <c r="I21" s="392"/>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24537</v>
      </c>
      <c r="E23" s="396"/>
      <c r="F23" s="396">
        <f>SUM(F10:F22)</f>
        <v>24537</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158</v>
      </c>
      <c r="D26" s="387">
        <f>'[3]#9471.00 MidState Plumbing'!$D$23</f>
        <v>124741</v>
      </c>
      <c r="E26" s="387"/>
      <c r="F26" s="387">
        <f>'[3]#9471.00 MidState Plumbing'!$F$23</f>
        <v>124741.00000000001</v>
      </c>
      <c r="G26" s="387"/>
      <c r="H26" s="387">
        <f>'[3]#9471.00 MidState Plumbing'!$H$23</f>
        <v>0</v>
      </c>
      <c r="I26" s="388"/>
    </row>
    <row r="27" spans="1:9" s="389" customFormat="1" ht="12.75" customHeight="1" thickBot="1" x14ac:dyDescent="0.3">
      <c r="A27" s="382"/>
      <c r="B27" s="391"/>
      <c r="C27" s="399" t="s">
        <v>157</v>
      </c>
      <c r="D27" s="396">
        <f>SUM(D23:D26)</f>
        <v>149278</v>
      </c>
      <c r="E27" s="398"/>
      <c r="F27" s="396">
        <f>SUM(F23:F26)</f>
        <v>149278</v>
      </c>
      <c r="G27" s="398"/>
      <c r="H27" s="396">
        <f>SUM(H23:H26)</f>
        <v>0</v>
      </c>
      <c r="I27" s="388"/>
    </row>
    <row r="28" spans="1:9" s="389" customFormat="1" ht="12.75" customHeight="1" thickTop="1" x14ac:dyDescent="0.25"/>
    <row r="29" spans="1:9" s="389" customFormat="1" ht="12.75" customHeight="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212D0-22A9-4365-803D-4A551A6C4F94}">
  <sheetPr codeName="Sheet17">
    <tabColor rgb="FF0070C0"/>
    <pageSetUpPr fitToPage="1"/>
  </sheetPr>
  <dimension ref="A1:J48"/>
  <sheetViews>
    <sheetView zoomScaleNormal="100" workbookViewId="0">
      <selection activeCell="P26" sqref="P26"/>
    </sheetView>
  </sheetViews>
  <sheetFormatPr defaultColWidth="11.42578125" defaultRowHeight="15" customHeight="1" x14ac:dyDescent="0.25"/>
  <cols>
    <col min="1" max="1" width="24.5703125" style="267" customWidth="1"/>
    <col min="2" max="3" width="9.42578125" style="267" customWidth="1"/>
    <col min="4" max="4" width="14" style="267" customWidth="1"/>
    <col min="5" max="5" width="21.7109375" style="267" customWidth="1"/>
    <col min="6" max="6" width="13.5703125" style="267" customWidth="1"/>
    <col min="7" max="7" width="12.42578125" style="267" customWidth="1"/>
    <col min="8" max="8" width="10.5703125" style="267" customWidth="1"/>
    <col min="9" max="9" width="12.42578125" style="267" customWidth="1"/>
    <col min="10" max="256" width="11.42578125" style="267"/>
    <col min="257" max="265" width="11.42578125" style="267" customWidth="1"/>
    <col min="266" max="512" width="11.42578125" style="267"/>
    <col min="513" max="521" width="11.42578125" style="267" customWidth="1"/>
    <col min="522" max="768" width="11.42578125" style="267"/>
    <col min="769" max="777" width="11.42578125" style="267" customWidth="1"/>
    <col min="778" max="1024" width="11.42578125" style="267"/>
    <col min="1025" max="1033" width="11.42578125" style="267" customWidth="1"/>
    <col min="1034" max="1280" width="11.42578125" style="267"/>
    <col min="1281" max="1289" width="11.42578125" style="267" customWidth="1"/>
    <col min="1290" max="1536" width="11.42578125" style="267"/>
    <col min="1537" max="1545" width="11.42578125" style="267" customWidth="1"/>
    <col min="1546" max="1792" width="11.42578125" style="267"/>
    <col min="1793" max="1801" width="11.42578125" style="267" customWidth="1"/>
    <col min="1802" max="2048" width="11.42578125" style="267"/>
    <col min="2049" max="2057" width="11.42578125" style="267" customWidth="1"/>
    <col min="2058" max="2304" width="11.42578125" style="267"/>
    <col min="2305" max="2313" width="11.42578125" style="267" customWidth="1"/>
    <col min="2314" max="2560" width="11.42578125" style="267"/>
    <col min="2561" max="2569" width="11.42578125" style="267" customWidth="1"/>
    <col min="2570" max="2816" width="11.42578125" style="267"/>
    <col min="2817" max="2825" width="11.42578125" style="267" customWidth="1"/>
    <col min="2826" max="3072" width="11.42578125" style="267"/>
    <col min="3073" max="3081" width="11.42578125" style="267" customWidth="1"/>
    <col min="3082" max="3328" width="11.42578125" style="267"/>
    <col min="3329" max="3337" width="11.42578125" style="267" customWidth="1"/>
    <col min="3338" max="3584" width="11.42578125" style="267"/>
    <col min="3585" max="3593" width="11.42578125" style="267" customWidth="1"/>
    <col min="3594" max="3840" width="11.42578125" style="267"/>
    <col min="3841" max="3849" width="11.42578125" style="267" customWidth="1"/>
    <col min="3850" max="4096" width="11.42578125" style="267"/>
    <col min="4097" max="4105" width="11.42578125" style="267" customWidth="1"/>
    <col min="4106" max="4352" width="11.42578125" style="267"/>
    <col min="4353" max="4361" width="11.42578125" style="267" customWidth="1"/>
    <col min="4362" max="4608" width="11.42578125" style="267"/>
    <col min="4609" max="4617" width="11.42578125" style="267" customWidth="1"/>
    <col min="4618" max="4864" width="11.42578125" style="267"/>
    <col min="4865" max="4873" width="11.42578125" style="267" customWidth="1"/>
    <col min="4874" max="5120" width="11.42578125" style="267"/>
    <col min="5121" max="5129" width="11.42578125" style="267" customWidth="1"/>
    <col min="5130" max="5376" width="11.42578125" style="267"/>
    <col min="5377" max="5385" width="11.42578125" style="267" customWidth="1"/>
    <col min="5386" max="5632" width="11.42578125" style="267"/>
    <col min="5633" max="5641" width="11.42578125" style="267" customWidth="1"/>
    <col min="5642" max="5888" width="11.42578125" style="267"/>
    <col min="5889" max="5897" width="11.42578125" style="267" customWidth="1"/>
    <col min="5898" max="6144" width="11.42578125" style="267"/>
    <col min="6145" max="6153" width="11.42578125" style="267" customWidth="1"/>
    <col min="6154" max="6400" width="11.42578125" style="267"/>
    <col min="6401" max="6409" width="11.42578125" style="267" customWidth="1"/>
    <col min="6410" max="6656" width="11.42578125" style="267"/>
    <col min="6657" max="6665" width="11.42578125" style="267" customWidth="1"/>
    <col min="6666" max="6912" width="11.42578125" style="267"/>
    <col min="6913" max="6921" width="11.42578125" style="267" customWidth="1"/>
    <col min="6922" max="7168" width="11.42578125" style="267"/>
    <col min="7169" max="7177" width="11.42578125" style="267" customWidth="1"/>
    <col min="7178" max="7424" width="11.42578125" style="267"/>
    <col min="7425" max="7433" width="11.42578125" style="267" customWidth="1"/>
    <col min="7434" max="7680" width="11.42578125" style="267"/>
    <col min="7681" max="7689" width="11.42578125" style="267" customWidth="1"/>
    <col min="7690" max="7936" width="11.42578125" style="267"/>
    <col min="7937" max="7945" width="11.42578125" style="267" customWidth="1"/>
    <col min="7946" max="8192" width="11.42578125" style="267"/>
    <col min="8193" max="8201" width="11.42578125" style="267" customWidth="1"/>
    <col min="8202" max="8448" width="11.42578125" style="267"/>
    <col min="8449" max="8457" width="11.42578125" style="267" customWidth="1"/>
    <col min="8458" max="8704" width="11.42578125" style="267"/>
    <col min="8705" max="8713" width="11.42578125" style="267" customWidth="1"/>
    <col min="8714" max="8960" width="11.42578125" style="267"/>
    <col min="8961" max="8969" width="11.42578125" style="267" customWidth="1"/>
    <col min="8970" max="9216" width="11.42578125" style="267"/>
    <col min="9217" max="9225" width="11.42578125" style="267" customWidth="1"/>
    <col min="9226" max="9472" width="11.42578125" style="267"/>
    <col min="9473" max="9481" width="11.42578125" style="267" customWidth="1"/>
    <col min="9482" max="9728" width="11.42578125" style="267"/>
    <col min="9729" max="9737" width="11.42578125" style="267" customWidth="1"/>
    <col min="9738" max="9984" width="11.42578125" style="267"/>
    <col min="9985" max="9993" width="11.42578125" style="267" customWidth="1"/>
    <col min="9994" max="10240" width="11.42578125" style="267"/>
    <col min="10241" max="10249" width="11.42578125" style="267" customWidth="1"/>
    <col min="10250" max="10496" width="11.42578125" style="267"/>
    <col min="10497" max="10505" width="11.42578125" style="267" customWidth="1"/>
    <col min="10506" max="10752" width="11.42578125" style="267"/>
    <col min="10753" max="10761" width="11.42578125" style="267" customWidth="1"/>
    <col min="10762" max="11008" width="11.42578125" style="267"/>
    <col min="11009" max="11017" width="11.42578125" style="267" customWidth="1"/>
    <col min="11018" max="11264" width="11.42578125" style="267"/>
    <col min="11265" max="11273" width="11.42578125" style="267" customWidth="1"/>
    <col min="11274" max="11520" width="11.42578125" style="267"/>
    <col min="11521" max="11529" width="11.42578125" style="267" customWidth="1"/>
    <col min="11530" max="11776" width="11.42578125" style="267"/>
    <col min="11777" max="11785" width="11.42578125" style="267" customWidth="1"/>
    <col min="11786" max="12032" width="11.42578125" style="267"/>
    <col min="12033" max="12041" width="11.42578125" style="267" customWidth="1"/>
    <col min="12042" max="12288" width="11.42578125" style="267"/>
    <col min="12289" max="12297" width="11.42578125" style="267" customWidth="1"/>
    <col min="12298" max="12544" width="11.42578125" style="267"/>
    <col min="12545" max="12553" width="11.42578125" style="267" customWidth="1"/>
    <col min="12554" max="12800" width="11.42578125" style="267"/>
    <col min="12801" max="12809" width="11.42578125" style="267" customWidth="1"/>
    <col min="12810" max="13056" width="11.42578125" style="267"/>
    <col min="13057" max="13065" width="11.42578125" style="267" customWidth="1"/>
    <col min="13066" max="13312" width="11.42578125" style="267"/>
    <col min="13313" max="13321" width="11.42578125" style="267" customWidth="1"/>
    <col min="13322" max="13568" width="11.42578125" style="267"/>
    <col min="13569" max="13577" width="11.42578125" style="267" customWidth="1"/>
    <col min="13578" max="13824" width="11.42578125" style="267"/>
    <col min="13825" max="13833" width="11.42578125" style="267" customWidth="1"/>
    <col min="13834" max="14080" width="11.42578125" style="267"/>
    <col min="14081" max="14089" width="11.42578125" style="267" customWidth="1"/>
    <col min="14090" max="14336" width="11.42578125" style="267"/>
    <col min="14337" max="14345" width="11.42578125" style="267" customWidth="1"/>
    <col min="14346" max="14592" width="11.42578125" style="267"/>
    <col min="14593" max="14601" width="11.42578125" style="267" customWidth="1"/>
    <col min="14602" max="14848" width="11.42578125" style="267"/>
    <col min="14849" max="14857" width="11.42578125" style="267" customWidth="1"/>
    <col min="14858" max="15104" width="11.42578125" style="267"/>
    <col min="15105" max="15113" width="11.42578125" style="267" customWidth="1"/>
    <col min="15114" max="15360" width="11.42578125" style="267"/>
    <col min="15361" max="15369" width="11.42578125" style="267" customWidth="1"/>
    <col min="15370" max="15616" width="11.42578125" style="267"/>
    <col min="15617" max="15625" width="11.42578125" style="267" customWidth="1"/>
    <col min="15626" max="15872" width="11.42578125" style="267"/>
    <col min="15873" max="15881" width="11.42578125" style="267" customWidth="1"/>
    <col min="15882" max="16128" width="11.42578125" style="267"/>
    <col min="16129" max="16137" width="11.42578125" style="267" customWidth="1"/>
    <col min="16138" max="16384" width="11.42578125" style="267"/>
  </cols>
  <sheetData>
    <row r="1" spans="1:10" ht="15.75" x14ac:dyDescent="0.25">
      <c r="A1" s="116" t="str">
        <f>'RECAP #9471.00'!B1</f>
        <v>DOC FDCF Bldg G Water Heater Replacement (29C20)</v>
      </c>
      <c r="B1" s="116"/>
      <c r="C1" s="116"/>
      <c r="D1" s="193"/>
      <c r="E1" s="193"/>
      <c r="F1" s="193"/>
      <c r="G1" s="194"/>
      <c r="H1" s="194"/>
      <c r="I1" s="195"/>
      <c r="J1" s="195"/>
    </row>
    <row r="2" spans="1:10" ht="15.75" x14ac:dyDescent="0.25">
      <c r="A2" s="134" t="str">
        <f>'RECAP #9471.00'!B2</f>
        <v>Project # 9471.00</v>
      </c>
      <c r="B2" s="196"/>
      <c r="C2" s="196"/>
      <c r="D2" s="193"/>
      <c r="E2" s="193"/>
      <c r="F2" s="193"/>
      <c r="G2" s="194"/>
      <c r="H2" s="194"/>
      <c r="I2" s="195"/>
      <c r="J2" s="195"/>
    </row>
    <row r="3" spans="1:10" ht="15.75" x14ac:dyDescent="0.25">
      <c r="A3" s="197" t="str">
        <f>'RECAP #9471.00'!B3</f>
        <v>Program code 947100</v>
      </c>
      <c r="B3" s="196"/>
      <c r="C3" s="196"/>
      <c r="D3" s="193"/>
      <c r="E3" s="198" t="str">
        <f>'RECAP #9471.00'!E3</f>
        <v>Major Program 4E01</v>
      </c>
      <c r="F3" s="193"/>
      <c r="G3" s="194"/>
      <c r="H3" s="194"/>
      <c r="I3" s="195"/>
      <c r="J3" s="195"/>
    </row>
    <row r="4" spans="1:10" ht="15.75" x14ac:dyDescent="0.25">
      <c r="A4" s="116" t="s">
        <v>41</v>
      </c>
      <c r="B4" s="134"/>
      <c r="C4" s="134"/>
      <c r="D4" s="195"/>
      <c r="E4" s="199" t="s">
        <v>55</v>
      </c>
      <c r="F4" s="194"/>
      <c r="G4" s="194"/>
      <c r="H4" s="194"/>
      <c r="I4" s="195"/>
      <c r="J4" s="195"/>
    </row>
    <row r="5" spans="1:10" ht="15.75" x14ac:dyDescent="0.25">
      <c r="A5" s="200" t="s">
        <v>66</v>
      </c>
      <c r="B5" s="195"/>
      <c r="C5" s="195"/>
      <c r="D5" s="201"/>
      <c r="E5" s="140"/>
      <c r="F5" s="145"/>
      <c r="G5" s="194"/>
      <c r="H5" s="194"/>
      <c r="I5" s="195"/>
      <c r="J5" s="195"/>
    </row>
    <row r="6" spans="1:10" ht="15.75" x14ac:dyDescent="0.25">
      <c r="A6" s="134" t="str">
        <f>'RECAP #9471.00'!B6</f>
        <v>Project Manager - Jennie E</v>
      </c>
      <c r="B6" s="134"/>
      <c r="C6" s="134"/>
      <c r="D6" s="202"/>
      <c r="E6" s="140" t="s">
        <v>138</v>
      </c>
      <c r="F6" s="145"/>
      <c r="G6" s="146"/>
      <c r="H6" s="194"/>
      <c r="I6" s="195"/>
      <c r="J6" s="195"/>
    </row>
    <row r="7" spans="1:10" ht="15.75" x14ac:dyDescent="0.25">
      <c r="A7" s="195"/>
      <c r="B7" s="203"/>
      <c r="C7" s="203"/>
      <c r="D7" s="203"/>
      <c r="E7" s="146" t="s">
        <v>3</v>
      </c>
      <c r="F7" s="146"/>
      <c r="G7" s="146"/>
      <c r="H7" s="194"/>
      <c r="I7" s="195"/>
      <c r="J7" s="195" t="s">
        <v>3</v>
      </c>
    </row>
    <row r="8" spans="1:10" ht="32.25" thickBot="1" x14ac:dyDescent="0.3">
      <c r="A8" s="204" t="s">
        <v>49</v>
      </c>
      <c r="B8" s="205" t="s">
        <v>4</v>
      </c>
      <c r="C8" s="206" t="s">
        <v>56</v>
      </c>
      <c r="D8" s="207" t="s">
        <v>57</v>
      </c>
      <c r="E8" s="192" t="s">
        <v>50</v>
      </c>
      <c r="F8" s="192" t="s">
        <v>51</v>
      </c>
      <c r="G8" s="192" t="s">
        <v>52</v>
      </c>
      <c r="H8" s="192" t="s">
        <v>53</v>
      </c>
      <c r="I8" s="192" t="s">
        <v>12</v>
      </c>
      <c r="J8" s="195" t="s">
        <v>3</v>
      </c>
    </row>
    <row r="9" spans="1:10" s="389" customFormat="1" ht="12.75" customHeight="1" x14ac:dyDescent="0.25">
      <c r="A9" s="432"/>
      <c r="B9" s="383"/>
      <c r="C9" s="383"/>
      <c r="D9" s="372" t="s">
        <v>95</v>
      </c>
      <c r="E9" s="419">
        <v>0</v>
      </c>
      <c r="F9" s="386">
        <f>E9</f>
        <v>0</v>
      </c>
      <c r="G9" s="387"/>
      <c r="H9" s="387"/>
      <c r="I9" s="387">
        <f>F9</f>
        <v>0</v>
      </c>
      <c r="J9" s="388"/>
    </row>
    <row r="10" spans="1:10" s="389" customFormat="1" ht="12.75" customHeight="1" x14ac:dyDescent="0.25">
      <c r="A10" s="441"/>
      <c r="B10" s="383"/>
      <c r="C10" s="383"/>
      <c r="D10" s="372"/>
      <c r="E10" s="386"/>
      <c r="F10" s="386">
        <f>F9+E10</f>
        <v>0</v>
      </c>
      <c r="G10" s="392"/>
      <c r="H10" s="387">
        <f t="shared" ref="H10:H21" si="0">H9+G10</f>
        <v>0</v>
      </c>
      <c r="I10" s="387">
        <f>I9-G10+E10</f>
        <v>0</v>
      </c>
      <c r="J10" s="388"/>
    </row>
    <row r="11" spans="1:10" s="389" customFormat="1" ht="12.75" customHeight="1" x14ac:dyDescent="0.25">
      <c r="A11" s="441"/>
      <c r="B11" s="383"/>
      <c r="C11" s="383"/>
      <c r="D11" s="372"/>
      <c r="E11" s="386"/>
      <c r="F11" s="386">
        <f t="shared" ref="F11:F21" si="1">F10+E11</f>
        <v>0</v>
      </c>
      <c r="G11" s="392"/>
      <c r="H11" s="387">
        <f t="shared" si="0"/>
        <v>0</v>
      </c>
      <c r="I11" s="387">
        <f t="shared" ref="I11:I21" si="2">I10-G11+E11</f>
        <v>0</v>
      </c>
      <c r="J11" s="388"/>
    </row>
    <row r="12" spans="1:10" s="389" customFormat="1" ht="12.75" customHeight="1" x14ac:dyDescent="0.25">
      <c r="A12" s="441"/>
      <c r="B12" s="383"/>
      <c r="C12" s="383"/>
      <c r="D12" s="372"/>
      <c r="E12" s="386"/>
      <c r="F12" s="386">
        <f t="shared" si="1"/>
        <v>0</v>
      </c>
      <c r="G12" s="392"/>
      <c r="H12" s="387">
        <f t="shared" si="0"/>
        <v>0</v>
      </c>
      <c r="I12" s="387">
        <f t="shared" si="2"/>
        <v>0</v>
      </c>
      <c r="J12" s="388"/>
    </row>
    <row r="13" spans="1:10" s="389" customFormat="1" ht="12.75" customHeight="1" x14ac:dyDescent="0.25">
      <c r="A13" s="441"/>
      <c r="B13" s="383"/>
      <c r="C13" s="383"/>
      <c r="D13" s="372"/>
      <c r="E13" s="386"/>
      <c r="F13" s="386">
        <f t="shared" si="1"/>
        <v>0</v>
      </c>
      <c r="G13" s="392"/>
      <c r="H13" s="387">
        <f t="shared" si="0"/>
        <v>0</v>
      </c>
      <c r="I13" s="387">
        <f t="shared" si="2"/>
        <v>0</v>
      </c>
      <c r="J13" s="388"/>
    </row>
    <row r="14" spans="1:10" s="389" customFormat="1" ht="12.75" customHeight="1" x14ac:dyDescent="0.25">
      <c r="A14" s="441"/>
      <c r="B14" s="383"/>
      <c r="C14" s="383"/>
      <c r="D14" s="372"/>
      <c r="E14" s="386"/>
      <c r="F14" s="386">
        <f t="shared" si="1"/>
        <v>0</v>
      </c>
      <c r="G14" s="387"/>
      <c r="H14" s="387">
        <f t="shared" si="0"/>
        <v>0</v>
      </c>
      <c r="I14" s="387">
        <f t="shared" si="2"/>
        <v>0</v>
      </c>
      <c r="J14" s="388"/>
    </row>
    <row r="15" spans="1:10" s="389" customFormat="1" ht="12.75" customHeight="1" x14ac:dyDescent="0.25">
      <c r="A15" s="441"/>
      <c r="B15" s="383"/>
      <c r="C15" s="383"/>
      <c r="D15" s="372"/>
      <c r="E15" s="386"/>
      <c r="F15" s="386">
        <f t="shared" si="1"/>
        <v>0</v>
      </c>
      <c r="G15" s="392"/>
      <c r="H15" s="387">
        <f t="shared" si="0"/>
        <v>0</v>
      </c>
      <c r="I15" s="387">
        <f t="shared" si="2"/>
        <v>0</v>
      </c>
      <c r="J15" s="388"/>
    </row>
    <row r="16" spans="1:10" s="389" customFormat="1" ht="12.75" customHeight="1" x14ac:dyDescent="0.25">
      <c r="A16" s="441"/>
      <c r="B16" s="383"/>
      <c r="C16" s="383"/>
      <c r="D16" s="372"/>
      <c r="E16" s="386"/>
      <c r="F16" s="386">
        <f t="shared" si="1"/>
        <v>0</v>
      </c>
      <c r="G16" s="392"/>
      <c r="H16" s="387">
        <f t="shared" si="0"/>
        <v>0</v>
      </c>
      <c r="I16" s="387">
        <f t="shared" si="2"/>
        <v>0</v>
      </c>
      <c r="J16" s="388"/>
    </row>
    <row r="17" spans="1:10" s="389" customFormat="1" ht="12.75" customHeight="1" x14ac:dyDescent="0.25">
      <c r="A17" s="441"/>
      <c r="B17" s="383"/>
      <c r="C17" s="383"/>
      <c r="D17" s="372"/>
      <c r="E17" s="386"/>
      <c r="F17" s="386">
        <f t="shared" si="1"/>
        <v>0</v>
      </c>
      <c r="G17" s="392"/>
      <c r="H17" s="387">
        <f t="shared" si="0"/>
        <v>0</v>
      </c>
      <c r="I17" s="387">
        <f t="shared" si="2"/>
        <v>0</v>
      </c>
      <c r="J17" s="388"/>
    </row>
    <row r="18" spans="1:10" s="389" customFormat="1" ht="12.75" customHeight="1" x14ac:dyDescent="0.25">
      <c r="A18" s="441"/>
      <c r="B18" s="383"/>
      <c r="C18" s="383"/>
      <c r="D18" s="372"/>
      <c r="E18" s="386"/>
      <c r="F18" s="386">
        <f t="shared" si="1"/>
        <v>0</v>
      </c>
      <c r="G18" s="392"/>
      <c r="H18" s="387">
        <f t="shared" si="0"/>
        <v>0</v>
      </c>
      <c r="I18" s="387">
        <f t="shared" si="2"/>
        <v>0</v>
      </c>
      <c r="J18" s="388"/>
    </row>
    <row r="19" spans="1:10" s="389" customFormat="1" ht="12.75" customHeight="1" x14ac:dyDescent="0.25">
      <c r="A19" s="441"/>
      <c r="B19" s="383"/>
      <c r="C19" s="383"/>
      <c r="D19" s="372"/>
      <c r="E19" s="386"/>
      <c r="F19" s="386">
        <f t="shared" si="1"/>
        <v>0</v>
      </c>
      <c r="G19" s="387"/>
      <c r="H19" s="387">
        <f t="shared" si="0"/>
        <v>0</v>
      </c>
      <c r="I19" s="387">
        <f t="shared" si="2"/>
        <v>0</v>
      </c>
      <c r="J19" s="388"/>
    </row>
    <row r="20" spans="1:10" s="389" customFormat="1" ht="12.75" customHeight="1" x14ac:dyDescent="0.25">
      <c r="A20" s="441"/>
      <c r="B20" s="383"/>
      <c r="C20" s="383"/>
      <c r="D20" s="372"/>
      <c r="E20" s="386"/>
      <c r="F20" s="386">
        <f t="shared" si="1"/>
        <v>0</v>
      </c>
      <c r="G20" s="387"/>
      <c r="H20" s="387">
        <f t="shared" si="0"/>
        <v>0</v>
      </c>
      <c r="I20" s="387">
        <f t="shared" si="2"/>
        <v>0</v>
      </c>
      <c r="J20" s="388"/>
    </row>
    <row r="21" spans="1:10" s="389" customFormat="1" ht="12.75" customHeight="1" x14ac:dyDescent="0.25">
      <c r="A21" s="441"/>
      <c r="B21" s="383"/>
      <c r="C21" s="383"/>
      <c r="D21" s="388"/>
      <c r="E21" s="386"/>
      <c r="F21" s="386">
        <f t="shared" si="1"/>
        <v>0</v>
      </c>
      <c r="G21" s="387"/>
      <c r="H21" s="387">
        <f t="shared" si="0"/>
        <v>0</v>
      </c>
      <c r="I21" s="387">
        <f t="shared" si="2"/>
        <v>0</v>
      </c>
      <c r="J21" s="388"/>
    </row>
    <row r="22" spans="1:10" s="389" customFormat="1" ht="12.75" customHeight="1" x14ac:dyDescent="0.25">
      <c r="A22" s="441"/>
      <c r="B22" s="391"/>
      <c r="C22" s="391"/>
      <c r="D22" s="372"/>
      <c r="E22" s="387"/>
      <c r="F22" s="387"/>
      <c r="G22" s="387"/>
      <c r="H22" s="387"/>
      <c r="I22" s="387"/>
      <c r="J22" s="388"/>
    </row>
    <row r="23" spans="1:10" s="389" customFormat="1" ht="12.75" customHeight="1" thickBot="1" x14ac:dyDescent="0.3">
      <c r="A23" s="441"/>
      <c r="B23" s="394"/>
      <c r="C23" s="394"/>
      <c r="D23" s="395" t="s">
        <v>54</v>
      </c>
      <c r="E23" s="396">
        <f>SUM(E9:E22)</f>
        <v>0</v>
      </c>
      <c r="F23" s="396"/>
      <c r="G23" s="396">
        <f>SUM(G9:G22)</f>
        <v>0</v>
      </c>
      <c r="H23" s="396"/>
      <c r="I23" s="396">
        <f>SUM(E23*G23)</f>
        <v>0</v>
      </c>
      <c r="J23" s="388"/>
    </row>
    <row r="24" spans="1:10" s="389" customFormat="1" ht="12.75" customHeight="1" thickTop="1" x14ac:dyDescent="0.25"/>
    <row r="25" spans="1:10" s="389" customFormat="1" ht="12.75" customHeight="1" x14ac:dyDescent="0.25"/>
    <row r="26" spans="1:10" s="389" customFormat="1" ht="12.75" customHeight="1" x14ac:dyDescent="0.25"/>
    <row r="27" spans="1:10" s="389" customFormat="1" ht="12.75" customHeight="1" x14ac:dyDescent="0.25"/>
    <row r="28" spans="1:10" s="389" customFormat="1" ht="12.75" customHeight="1" x14ac:dyDescent="0.25"/>
    <row r="29" spans="1:10" s="389" customFormat="1" ht="12.75" customHeight="1" x14ac:dyDescent="0.25"/>
    <row r="30" spans="1:10" s="389" customFormat="1" ht="12.75" customHeight="1" x14ac:dyDescent="0.25"/>
    <row r="31" spans="1:10" s="389" customFormat="1" ht="12.75" customHeight="1" x14ac:dyDescent="0.25"/>
    <row r="32" spans="1:10"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sheetData>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10E37-2C6A-4366-8AE3-5D282F60632E}">
  <sheetPr codeName="Sheet18">
    <tabColor indexed="30"/>
    <pageSetUpPr fitToPage="1"/>
  </sheetPr>
  <dimension ref="A1:H33"/>
  <sheetViews>
    <sheetView zoomScaleNormal="100" workbookViewId="0">
      <selection activeCell="P26" sqref="P26"/>
    </sheetView>
  </sheetViews>
  <sheetFormatPr defaultColWidth="11.42578125" defaultRowHeight="15" customHeight="1" x14ac:dyDescent="0.25"/>
  <cols>
    <col min="1" max="1" width="23" style="267" customWidth="1"/>
    <col min="2" max="2" width="11" style="267" customWidth="1"/>
    <col min="3" max="3" width="8.5703125" style="267" customWidth="1"/>
    <col min="4" max="4" width="11.42578125" style="267" customWidth="1"/>
    <col min="5" max="5" width="19.42578125" style="267" customWidth="1"/>
    <col min="6" max="6" width="28" style="267" bestFit="1" customWidth="1"/>
    <col min="7" max="7" width="12.42578125" style="267" customWidth="1"/>
    <col min="8" max="8" width="15.42578125" style="267" customWidth="1"/>
    <col min="9" max="256" width="11.42578125" style="267"/>
    <col min="257" max="259" width="11.42578125" style="267" customWidth="1"/>
    <col min="260" max="260" width="11.42578125" style="267"/>
    <col min="261" max="264" width="11.42578125" style="267" customWidth="1"/>
    <col min="265" max="512" width="11.42578125" style="267"/>
    <col min="513" max="515" width="11.42578125" style="267" customWidth="1"/>
    <col min="516" max="516" width="11.42578125" style="267"/>
    <col min="517" max="520" width="11.42578125" style="267" customWidth="1"/>
    <col min="521" max="768" width="11.42578125" style="267"/>
    <col min="769" max="771" width="11.42578125" style="267" customWidth="1"/>
    <col min="772" max="772" width="11.42578125" style="267"/>
    <col min="773" max="776" width="11.42578125" style="267" customWidth="1"/>
    <col min="777" max="1024" width="11.42578125" style="267"/>
    <col min="1025" max="1027" width="11.42578125" style="267" customWidth="1"/>
    <col min="1028" max="1028" width="11.42578125" style="267"/>
    <col min="1029" max="1032" width="11.42578125" style="267" customWidth="1"/>
    <col min="1033" max="1280" width="11.42578125" style="267"/>
    <col min="1281" max="1283" width="11.42578125" style="267" customWidth="1"/>
    <col min="1284" max="1284" width="11.42578125" style="267"/>
    <col min="1285" max="1288" width="11.42578125" style="267" customWidth="1"/>
    <col min="1289" max="1536" width="11.42578125" style="267"/>
    <col min="1537" max="1539" width="11.42578125" style="267" customWidth="1"/>
    <col min="1540" max="1540" width="11.42578125" style="267"/>
    <col min="1541" max="1544" width="11.42578125" style="267" customWidth="1"/>
    <col min="1545" max="1792" width="11.42578125" style="267"/>
    <col min="1793" max="1795" width="11.42578125" style="267" customWidth="1"/>
    <col min="1796" max="1796" width="11.42578125" style="267"/>
    <col min="1797" max="1800" width="11.42578125" style="267" customWidth="1"/>
    <col min="1801" max="2048" width="11.42578125" style="267"/>
    <col min="2049" max="2051" width="11.42578125" style="267" customWidth="1"/>
    <col min="2052" max="2052" width="11.42578125" style="267"/>
    <col min="2053" max="2056" width="11.42578125" style="267" customWidth="1"/>
    <col min="2057" max="2304" width="11.42578125" style="267"/>
    <col min="2305" max="2307" width="11.42578125" style="267" customWidth="1"/>
    <col min="2308" max="2308" width="11.42578125" style="267"/>
    <col min="2309" max="2312" width="11.42578125" style="267" customWidth="1"/>
    <col min="2313" max="2560" width="11.42578125" style="267"/>
    <col min="2561" max="2563" width="11.42578125" style="267" customWidth="1"/>
    <col min="2564" max="2564" width="11.42578125" style="267"/>
    <col min="2565" max="2568" width="11.42578125" style="267" customWidth="1"/>
    <col min="2569" max="2816" width="11.42578125" style="267"/>
    <col min="2817" max="2819" width="11.42578125" style="267" customWidth="1"/>
    <col min="2820" max="2820" width="11.42578125" style="267"/>
    <col min="2821" max="2824" width="11.42578125" style="267" customWidth="1"/>
    <col min="2825" max="3072" width="11.42578125" style="267"/>
    <col min="3073" max="3075" width="11.42578125" style="267" customWidth="1"/>
    <col min="3076" max="3076" width="11.42578125" style="267"/>
    <col min="3077" max="3080" width="11.42578125" style="267" customWidth="1"/>
    <col min="3081" max="3328" width="11.42578125" style="267"/>
    <col min="3329" max="3331" width="11.42578125" style="267" customWidth="1"/>
    <col min="3332" max="3332" width="11.42578125" style="267"/>
    <col min="3333" max="3336" width="11.42578125" style="267" customWidth="1"/>
    <col min="3337" max="3584" width="11.42578125" style="267"/>
    <col min="3585" max="3587" width="11.42578125" style="267" customWidth="1"/>
    <col min="3588" max="3588" width="11.42578125" style="267"/>
    <col min="3589" max="3592" width="11.42578125" style="267" customWidth="1"/>
    <col min="3593" max="3840" width="11.42578125" style="267"/>
    <col min="3841" max="3843" width="11.42578125" style="267" customWidth="1"/>
    <col min="3844" max="3844" width="11.42578125" style="267"/>
    <col min="3845" max="3848" width="11.42578125" style="267" customWidth="1"/>
    <col min="3849" max="4096" width="11.42578125" style="267"/>
    <col min="4097" max="4099" width="11.42578125" style="267" customWidth="1"/>
    <col min="4100" max="4100" width="11.42578125" style="267"/>
    <col min="4101" max="4104" width="11.42578125" style="267" customWidth="1"/>
    <col min="4105" max="4352" width="11.42578125" style="267"/>
    <col min="4353" max="4355" width="11.42578125" style="267" customWidth="1"/>
    <col min="4356" max="4356" width="11.42578125" style="267"/>
    <col min="4357" max="4360" width="11.42578125" style="267" customWidth="1"/>
    <col min="4361" max="4608" width="11.42578125" style="267"/>
    <col min="4609" max="4611" width="11.42578125" style="267" customWidth="1"/>
    <col min="4612" max="4612" width="11.42578125" style="267"/>
    <col min="4613" max="4616" width="11.42578125" style="267" customWidth="1"/>
    <col min="4617" max="4864" width="11.42578125" style="267"/>
    <col min="4865" max="4867" width="11.42578125" style="267" customWidth="1"/>
    <col min="4868" max="4868" width="11.42578125" style="267"/>
    <col min="4869" max="4872" width="11.42578125" style="267" customWidth="1"/>
    <col min="4873" max="5120" width="11.42578125" style="267"/>
    <col min="5121" max="5123" width="11.42578125" style="267" customWidth="1"/>
    <col min="5124" max="5124" width="11.42578125" style="267"/>
    <col min="5125" max="5128" width="11.42578125" style="267" customWidth="1"/>
    <col min="5129" max="5376" width="11.42578125" style="267"/>
    <col min="5377" max="5379" width="11.42578125" style="267" customWidth="1"/>
    <col min="5380" max="5380" width="11.42578125" style="267"/>
    <col min="5381" max="5384" width="11.42578125" style="267" customWidth="1"/>
    <col min="5385" max="5632" width="11.42578125" style="267"/>
    <col min="5633" max="5635" width="11.42578125" style="267" customWidth="1"/>
    <col min="5636" max="5636" width="11.42578125" style="267"/>
    <col min="5637" max="5640" width="11.42578125" style="267" customWidth="1"/>
    <col min="5641" max="5888" width="11.42578125" style="267"/>
    <col min="5889" max="5891" width="11.42578125" style="267" customWidth="1"/>
    <col min="5892" max="5892" width="11.42578125" style="267"/>
    <col min="5893" max="5896" width="11.42578125" style="267" customWidth="1"/>
    <col min="5897" max="6144" width="11.42578125" style="267"/>
    <col min="6145" max="6147" width="11.42578125" style="267" customWidth="1"/>
    <col min="6148" max="6148" width="11.42578125" style="267"/>
    <col min="6149" max="6152" width="11.42578125" style="267" customWidth="1"/>
    <col min="6153" max="6400" width="11.42578125" style="267"/>
    <col min="6401" max="6403" width="11.42578125" style="267" customWidth="1"/>
    <col min="6404" max="6404" width="11.42578125" style="267"/>
    <col min="6405" max="6408" width="11.42578125" style="267" customWidth="1"/>
    <col min="6409" max="6656" width="11.42578125" style="267"/>
    <col min="6657" max="6659" width="11.42578125" style="267" customWidth="1"/>
    <col min="6660" max="6660" width="11.42578125" style="267"/>
    <col min="6661" max="6664" width="11.42578125" style="267" customWidth="1"/>
    <col min="6665" max="6912" width="11.42578125" style="267"/>
    <col min="6913" max="6915" width="11.42578125" style="267" customWidth="1"/>
    <col min="6916" max="6916" width="11.42578125" style="267"/>
    <col min="6917" max="6920" width="11.42578125" style="267" customWidth="1"/>
    <col min="6921" max="7168" width="11.42578125" style="267"/>
    <col min="7169" max="7171" width="11.42578125" style="267" customWidth="1"/>
    <col min="7172" max="7172" width="11.42578125" style="267"/>
    <col min="7173" max="7176" width="11.42578125" style="267" customWidth="1"/>
    <col min="7177" max="7424" width="11.42578125" style="267"/>
    <col min="7425" max="7427" width="11.42578125" style="267" customWidth="1"/>
    <col min="7428" max="7428" width="11.42578125" style="267"/>
    <col min="7429" max="7432" width="11.42578125" style="267" customWidth="1"/>
    <col min="7433" max="7680" width="11.42578125" style="267"/>
    <col min="7681" max="7683" width="11.42578125" style="267" customWidth="1"/>
    <col min="7684" max="7684" width="11.42578125" style="267"/>
    <col min="7685" max="7688" width="11.42578125" style="267" customWidth="1"/>
    <col min="7689" max="7936" width="11.42578125" style="267"/>
    <col min="7937" max="7939" width="11.42578125" style="267" customWidth="1"/>
    <col min="7940" max="7940" width="11.42578125" style="267"/>
    <col min="7941" max="7944" width="11.42578125" style="267" customWidth="1"/>
    <col min="7945" max="8192" width="11.42578125" style="267"/>
    <col min="8193" max="8195" width="11.42578125" style="267" customWidth="1"/>
    <col min="8196" max="8196" width="11.42578125" style="267"/>
    <col min="8197" max="8200" width="11.42578125" style="267" customWidth="1"/>
    <col min="8201" max="8448" width="11.42578125" style="267"/>
    <col min="8449" max="8451" width="11.42578125" style="267" customWidth="1"/>
    <col min="8452" max="8452" width="11.42578125" style="267"/>
    <col min="8453" max="8456" width="11.42578125" style="267" customWidth="1"/>
    <col min="8457" max="8704" width="11.42578125" style="267"/>
    <col min="8705" max="8707" width="11.42578125" style="267" customWidth="1"/>
    <col min="8708" max="8708" width="11.42578125" style="267"/>
    <col min="8709" max="8712" width="11.42578125" style="267" customWidth="1"/>
    <col min="8713" max="8960" width="11.42578125" style="267"/>
    <col min="8961" max="8963" width="11.42578125" style="267" customWidth="1"/>
    <col min="8964" max="8964" width="11.42578125" style="267"/>
    <col min="8965" max="8968" width="11.42578125" style="267" customWidth="1"/>
    <col min="8969" max="9216" width="11.42578125" style="267"/>
    <col min="9217" max="9219" width="11.42578125" style="267" customWidth="1"/>
    <col min="9220" max="9220" width="11.42578125" style="267"/>
    <col min="9221" max="9224" width="11.42578125" style="267" customWidth="1"/>
    <col min="9225" max="9472" width="11.42578125" style="267"/>
    <col min="9473" max="9475" width="11.42578125" style="267" customWidth="1"/>
    <col min="9476" max="9476" width="11.42578125" style="267"/>
    <col min="9477" max="9480" width="11.42578125" style="267" customWidth="1"/>
    <col min="9481" max="9728" width="11.42578125" style="267"/>
    <col min="9729" max="9731" width="11.42578125" style="267" customWidth="1"/>
    <col min="9732" max="9732" width="11.42578125" style="267"/>
    <col min="9733" max="9736" width="11.42578125" style="267" customWidth="1"/>
    <col min="9737" max="9984" width="11.42578125" style="267"/>
    <col min="9985" max="9987" width="11.42578125" style="267" customWidth="1"/>
    <col min="9988" max="9988" width="11.42578125" style="267"/>
    <col min="9989" max="9992" width="11.42578125" style="267" customWidth="1"/>
    <col min="9993" max="10240" width="11.42578125" style="267"/>
    <col min="10241" max="10243" width="11.42578125" style="267" customWidth="1"/>
    <col min="10244" max="10244" width="11.42578125" style="267"/>
    <col min="10245" max="10248" width="11.42578125" style="267" customWidth="1"/>
    <col min="10249" max="10496" width="11.42578125" style="267"/>
    <col min="10497" max="10499" width="11.42578125" style="267" customWidth="1"/>
    <col min="10500" max="10500" width="11.42578125" style="267"/>
    <col min="10501" max="10504" width="11.42578125" style="267" customWidth="1"/>
    <col min="10505" max="10752" width="11.42578125" style="267"/>
    <col min="10753" max="10755" width="11.42578125" style="267" customWidth="1"/>
    <col min="10756" max="10756" width="11.42578125" style="267"/>
    <col min="10757" max="10760" width="11.42578125" style="267" customWidth="1"/>
    <col min="10761" max="11008" width="11.42578125" style="267"/>
    <col min="11009" max="11011" width="11.42578125" style="267" customWidth="1"/>
    <col min="11012" max="11012" width="11.42578125" style="267"/>
    <col min="11013" max="11016" width="11.42578125" style="267" customWidth="1"/>
    <col min="11017" max="11264" width="11.42578125" style="267"/>
    <col min="11265" max="11267" width="11.42578125" style="267" customWidth="1"/>
    <col min="11268" max="11268" width="11.42578125" style="267"/>
    <col min="11269" max="11272" width="11.42578125" style="267" customWidth="1"/>
    <col min="11273" max="11520" width="11.42578125" style="267"/>
    <col min="11521" max="11523" width="11.42578125" style="267" customWidth="1"/>
    <col min="11524" max="11524" width="11.42578125" style="267"/>
    <col min="11525" max="11528" width="11.42578125" style="267" customWidth="1"/>
    <col min="11529" max="11776" width="11.42578125" style="267"/>
    <col min="11777" max="11779" width="11.42578125" style="267" customWidth="1"/>
    <col min="11780" max="11780" width="11.42578125" style="267"/>
    <col min="11781" max="11784" width="11.42578125" style="267" customWidth="1"/>
    <col min="11785" max="12032" width="11.42578125" style="267"/>
    <col min="12033" max="12035" width="11.42578125" style="267" customWidth="1"/>
    <col min="12036" max="12036" width="11.42578125" style="267"/>
    <col min="12037" max="12040" width="11.42578125" style="267" customWidth="1"/>
    <col min="12041" max="12288" width="11.42578125" style="267"/>
    <col min="12289" max="12291" width="11.42578125" style="267" customWidth="1"/>
    <col min="12292" max="12292" width="11.42578125" style="267"/>
    <col min="12293" max="12296" width="11.42578125" style="267" customWidth="1"/>
    <col min="12297" max="12544" width="11.42578125" style="267"/>
    <col min="12545" max="12547" width="11.42578125" style="267" customWidth="1"/>
    <col min="12548" max="12548" width="11.42578125" style="267"/>
    <col min="12549" max="12552" width="11.42578125" style="267" customWidth="1"/>
    <col min="12553" max="12800" width="11.42578125" style="267"/>
    <col min="12801" max="12803" width="11.42578125" style="267" customWidth="1"/>
    <col min="12804" max="12804" width="11.42578125" style="267"/>
    <col min="12805" max="12808" width="11.42578125" style="267" customWidth="1"/>
    <col min="12809" max="13056" width="11.42578125" style="267"/>
    <col min="13057" max="13059" width="11.42578125" style="267" customWidth="1"/>
    <col min="13060" max="13060" width="11.42578125" style="267"/>
    <col min="13061" max="13064" width="11.42578125" style="267" customWidth="1"/>
    <col min="13065" max="13312" width="11.42578125" style="267"/>
    <col min="13313" max="13315" width="11.42578125" style="267" customWidth="1"/>
    <col min="13316" max="13316" width="11.42578125" style="267"/>
    <col min="13317" max="13320" width="11.42578125" style="267" customWidth="1"/>
    <col min="13321" max="13568" width="11.42578125" style="267"/>
    <col min="13569" max="13571" width="11.42578125" style="267" customWidth="1"/>
    <col min="13572" max="13572" width="11.42578125" style="267"/>
    <col min="13573" max="13576" width="11.42578125" style="267" customWidth="1"/>
    <col min="13577" max="13824" width="11.42578125" style="267"/>
    <col min="13825" max="13827" width="11.42578125" style="267" customWidth="1"/>
    <col min="13828" max="13828" width="11.42578125" style="267"/>
    <col min="13829" max="13832" width="11.42578125" style="267" customWidth="1"/>
    <col min="13833" max="14080" width="11.42578125" style="267"/>
    <col min="14081" max="14083" width="11.42578125" style="267" customWidth="1"/>
    <col min="14084" max="14084" width="11.42578125" style="267"/>
    <col min="14085" max="14088" width="11.42578125" style="267" customWidth="1"/>
    <col min="14089" max="14336" width="11.42578125" style="267"/>
    <col min="14337" max="14339" width="11.42578125" style="267" customWidth="1"/>
    <col min="14340" max="14340" width="11.42578125" style="267"/>
    <col min="14341" max="14344" width="11.42578125" style="267" customWidth="1"/>
    <col min="14345" max="14592" width="11.42578125" style="267"/>
    <col min="14593" max="14595" width="11.42578125" style="267" customWidth="1"/>
    <col min="14596" max="14596" width="11.42578125" style="267"/>
    <col min="14597" max="14600" width="11.42578125" style="267" customWidth="1"/>
    <col min="14601" max="14848" width="11.42578125" style="267"/>
    <col min="14849" max="14851" width="11.42578125" style="267" customWidth="1"/>
    <col min="14852" max="14852" width="11.42578125" style="267"/>
    <col min="14853" max="14856" width="11.42578125" style="267" customWidth="1"/>
    <col min="14857" max="15104" width="11.42578125" style="267"/>
    <col min="15105" max="15107" width="11.42578125" style="267" customWidth="1"/>
    <col min="15108" max="15108" width="11.42578125" style="267"/>
    <col min="15109" max="15112" width="11.42578125" style="267" customWidth="1"/>
    <col min="15113" max="15360" width="11.42578125" style="267"/>
    <col min="15361" max="15363" width="11.42578125" style="267" customWidth="1"/>
    <col min="15364" max="15364" width="11.42578125" style="267"/>
    <col min="15365" max="15368" width="11.42578125" style="267" customWidth="1"/>
    <col min="15369" max="15616" width="11.42578125" style="267"/>
    <col min="15617" max="15619" width="11.42578125" style="267" customWidth="1"/>
    <col min="15620" max="15620" width="11.42578125" style="267"/>
    <col min="15621" max="15624" width="11.42578125" style="267" customWidth="1"/>
    <col min="15625" max="15872" width="11.42578125" style="267"/>
    <col min="15873" max="15875" width="11.42578125" style="267" customWidth="1"/>
    <col min="15876" max="15876" width="11.42578125" style="267"/>
    <col min="15877" max="15880" width="11.42578125" style="267" customWidth="1"/>
    <col min="15881" max="16128" width="11.42578125" style="267"/>
    <col min="16129" max="16131" width="11.42578125" style="267" customWidth="1"/>
    <col min="16132" max="16132" width="11.42578125" style="267"/>
    <col min="16133" max="16136" width="11.42578125" style="267" customWidth="1"/>
    <col min="16137" max="16384" width="11.42578125" style="267"/>
  </cols>
  <sheetData>
    <row r="1" spans="1:8" ht="15.75" x14ac:dyDescent="0.25">
      <c r="A1" s="116" t="str">
        <f>'#9471.00 PM TIME'!A1</f>
        <v>DOC FDCF Bldg G Water Heater Replacement (29C20)</v>
      </c>
      <c r="B1" s="116"/>
      <c r="C1" s="116"/>
      <c r="D1" s="116"/>
      <c r="E1" s="193"/>
      <c r="F1" s="193"/>
      <c r="G1" s="193"/>
      <c r="H1" s="194"/>
    </row>
    <row r="2" spans="1:8" ht="15.75" x14ac:dyDescent="0.25">
      <c r="A2" s="134" t="str">
        <f>'RECAP #9471.00'!B2</f>
        <v>Project # 9471.00</v>
      </c>
      <c r="B2" s="196"/>
      <c r="C2" s="196"/>
      <c r="D2" s="196"/>
      <c r="E2" s="193"/>
      <c r="F2" s="193"/>
      <c r="G2" s="193"/>
      <c r="H2" s="194"/>
    </row>
    <row r="3" spans="1:8" ht="15.75" x14ac:dyDescent="0.25">
      <c r="A3" s="197" t="str">
        <f>'RECAP #9471.00'!B3</f>
        <v>Program code 947100</v>
      </c>
      <c r="B3" s="196"/>
      <c r="C3" s="196"/>
      <c r="D3" s="196"/>
      <c r="E3" s="198" t="str">
        <f>'RECAP #9471.00'!E3</f>
        <v>Major Program 4E01</v>
      </c>
      <c r="F3" s="196"/>
      <c r="G3" s="193"/>
      <c r="H3" s="194"/>
    </row>
    <row r="4" spans="1:8" ht="15.75" x14ac:dyDescent="0.25">
      <c r="A4" s="225" t="s">
        <v>14</v>
      </c>
      <c r="B4" s="134"/>
      <c r="C4" s="134"/>
      <c r="D4" s="134"/>
      <c r="E4" s="199"/>
      <c r="F4" s="196"/>
      <c r="G4" s="194"/>
      <c r="H4" s="194"/>
    </row>
    <row r="5" spans="1:8" ht="15.75" x14ac:dyDescent="0.25">
      <c r="A5" s="200" t="s">
        <v>66</v>
      </c>
      <c r="B5" s="195"/>
      <c r="C5" s="195"/>
      <c r="D5" s="195"/>
      <c r="E5" s="170" t="s">
        <v>58</v>
      </c>
      <c r="F5" s="196"/>
      <c r="G5" s="145"/>
      <c r="H5" s="194"/>
    </row>
    <row r="6" spans="1:8" ht="15.75" x14ac:dyDescent="0.25">
      <c r="A6" s="134" t="str">
        <f>'RECAP #9471.00'!B6</f>
        <v>Project Manager - Jennie E</v>
      </c>
      <c r="B6" s="134"/>
      <c r="C6" s="134"/>
      <c r="D6" s="134"/>
      <c r="E6" s="198" t="s">
        <v>681</v>
      </c>
      <c r="F6" s="195"/>
      <c r="G6" s="145"/>
      <c r="H6" s="194"/>
    </row>
    <row r="7" spans="1:8" ht="15.75" x14ac:dyDescent="0.25">
      <c r="A7" s="196"/>
      <c r="B7" s="203"/>
      <c r="C7" s="203"/>
      <c r="D7" s="203"/>
      <c r="E7" s="203"/>
      <c r="F7" s="196"/>
      <c r="G7" s="194"/>
      <c r="H7" s="194"/>
    </row>
    <row r="8" spans="1:8" ht="32.25" thickBot="1" x14ac:dyDescent="0.3">
      <c r="A8" s="204" t="s">
        <v>59</v>
      </c>
      <c r="B8" s="205" t="s">
        <v>4</v>
      </c>
      <c r="C8" s="206" t="s">
        <v>56</v>
      </c>
      <c r="D8" s="206" t="s">
        <v>57</v>
      </c>
      <c r="E8" s="226" t="s">
        <v>11</v>
      </c>
      <c r="F8" s="192" t="s">
        <v>60</v>
      </c>
      <c r="G8" s="192" t="s">
        <v>52</v>
      </c>
      <c r="H8" s="192" t="s">
        <v>53</v>
      </c>
    </row>
    <row r="9" spans="1:8" s="389" customFormat="1" ht="12.75" customHeight="1" x14ac:dyDescent="0.25">
      <c r="A9" s="393"/>
      <c r="B9" s="383"/>
      <c r="C9" s="382"/>
      <c r="D9" s="382"/>
      <c r="E9" s="435"/>
      <c r="F9" s="433"/>
      <c r="G9" s="434"/>
      <c r="H9" s="434">
        <f>G9</f>
        <v>0</v>
      </c>
    </row>
    <row r="10" spans="1:8" s="389" customFormat="1" ht="12.75" customHeight="1" x14ac:dyDescent="0.25">
      <c r="A10" s="432"/>
      <c r="B10" s="383"/>
      <c r="C10" s="372"/>
      <c r="D10" s="372"/>
      <c r="E10" s="388"/>
      <c r="F10" s="431"/>
      <c r="G10" s="434"/>
      <c r="H10" s="434">
        <f>H9+G10</f>
        <v>0</v>
      </c>
    </row>
    <row r="11" spans="1:8" s="389" customFormat="1" ht="12.75" customHeight="1" x14ac:dyDescent="0.25">
      <c r="A11" s="432"/>
      <c r="B11" s="383"/>
      <c r="C11" s="383"/>
      <c r="D11" s="383"/>
      <c r="E11" s="388"/>
      <c r="F11" s="431"/>
      <c r="G11" s="434"/>
      <c r="H11" s="434">
        <f t="shared" ref="H11:H20" si="0">H10+G11</f>
        <v>0</v>
      </c>
    </row>
    <row r="12" spans="1:8" s="389" customFormat="1" ht="12.75" customHeight="1" x14ac:dyDescent="0.25">
      <c r="A12" s="432" t="s">
        <v>3</v>
      </c>
      <c r="B12" s="383" t="s">
        <v>3</v>
      </c>
      <c r="C12" s="383"/>
      <c r="D12" s="383"/>
      <c r="E12" s="388" t="s">
        <v>3</v>
      </c>
      <c r="F12" s="431"/>
      <c r="G12" s="434"/>
      <c r="H12" s="434">
        <f t="shared" si="0"/>
        <v>0</v>
      </c>
    </row>
    <row r="13" spans="1:8" s="389" customFormat="1" ht="12.75" customHeight="1" x14ac:dyDescent="0.25">
      <c r="A13" s="432" t="s">
        <v>3</v>
      </c>
      <c r="B13" s="383" t="s">
        <v>3</v>
      </c>
      <c r="C13" s="383"/>
      <c r="D13" s="383"/>
      <c r="E13" s="388" t="s">
        <v>3</v>
      </c>
      <c r="F13" s="431"/>
      <c r="G13" s="434"/>
      <c r="H13" s="434">
        <f t="shared" si="0"/>
        <v>0</v>
      </c>
    </row>
    <row r="14" spans="1:8" s="389" customFormat="1" ht="12.75" customHeight="1" x14ac:dyDescent="0.25">
      <c r="A14" s="432"/>
      <c r="B14" s="383"/>
      <c r="C14" s="383"/>
      <c r="D14" s="383"/>
      <c r="E14" s="388"/>
      <c r="F14" s="431"/>
      <c r="G14" s="434"/>
      <c r="H14" s="434">
        <f t="shared" si="0"/>
        <v>0</v>
      </c>
    </row>
    <row r="15" spans="1:8" s="389" customFormat="1" ht="12.75" customHeight="1" x14ac:dyDescent="0.25">
      <c r="A15" s="432"/>
      <c r="B15" s="383"/>
      <c r="C15" s="383"/>
      <c r="D15" s="383"/>
      <c r="E15" s="397"/>
      <c r="F15" s="431"/>
      <c r="G15" s="434"/>
      <c r="H15" s="434">
        <f t="shared" si="0"/>
        <v>0</v>
      </c>
    </row>
    <row r="16" spans="1:8" s="389" customFormat="1" ht="12.75" customHeight="1" x14ac:dyDescent="0.25">
      <c r="A16" s="432"/>
      <c r="B16" s="383"/>
      <c r="C16" s="383"/>
      <c r="D16" s="383"/>
      <c r="E16" s="388"/>
      <c r="F16" s="431"/>
      <c r="G16" s="434"/>
      <c r="H16" s="434">
        <f t="shared" si="0"/>
        <v>0</v>
      </c>
    </row>
    <row r="17" spans="1:8" s="389" customFormat="1" ht="12.75" customHeight="1" x14ac:dyDescent="0.25">
      <c r="A17" s="382"/>
      <c r="B17" s="383"/>
      <c r="C17" s="383"/>
      <c r="D17" s="383"/>
      <c r="E17" s="388"/>
      <c r="F17" s="431"/>
      <c r="G17" s="434"/>
      <c r="H17" s="434">
        <f t="shared" si="0"/>
        <v>0</v>
      </c>
    </row>
    <row r="18" spans="1:8" s="389" customFormat="1" ht="12.75" customHeight="1" x14ac:dyDescent="0.25">
      <c r="A18" s="382"/>
      <c r="B18" s="383"/>
      <c r="C18" s="383"/>
      <c r="D18" s="383"/>
      <c r="E18" s="388"/>
      <c r="F18" s="431"/>
      <c r="G18" s="434"/>
      <c r="H18" s="434">
        <f t="shared" si="0"/>
        <v>0</v>
      </c>
    </row>
    <row r="19" spans="1:8" s="389" customFormat="1" ht="12.75" customHeight="1" x14ac:dyDescent="0.25">
      <c r="A19" s="382"/>
      <c r="B19" s="383"/>
      <c r="C19" s="383"/>
      <c r="D19" s="383"/>
      <c r="E19" s="388"/>
      <c r="F19" s="431"/>
      <c r="G19" s="434"/>
      <c r="H19" s="434">
        <f t="shared" si="0"/>
        <v>0</v>
      </c>
    </row>
    <row r="20" spans="1:8" s="389" customFormat="1" ht="12.75" customHeight="1" x14ac:dyDescent="0.25">
      <c r="A20" s="382"/>
      <c r="B20" s="383"/>
      <c r="C20" s="383"/>
      <c r="D20" s="383"/>
      <c r="E20" s="388"/>
      <c r="F20" s="431"/>
      <c r="G20" s="434"/>
      <c r="H20" s="434">
        <f t="shared" si="0"/>
        <v>0</v>
      </c>
    </row>
    <row r="21" spans="1:8" s="389" customFormat="1" ht="12.75" customHeight="1" x14ac:dyDescent="0.25">
      <c r="A21" s="382"/>
      <c r="B21" s="372"/>
      <c r="C21" s="372"/>
      <c r="D21" s="372"/>
      <c r="E21" s="388"/>
      <c r="F21" s="434"/>
      <c r="G21" s="388"/>
      <c r="H21" s="434"/>
    </row>
    <row r="22" spans="1:8" s="389" customFormat="1" ht="12.75" customHeight="1" thickBot="1" x14ac:dyDescent="0.3">
      <c r="A22" s="437"/>
      <c r="B22" s="399"/>
      <c r="C22" s="399"/>
      <c r="D22" s="399"/>
      <c r="E22" s="438" t="s">
        <v>54</v>
      </c>
      <c r="F22" s="439"/>
      <c r="G22" s="396">
        <f>SUM(G9:G21)</f>
        <v>0</v>
      </c>
      <c r="H22" s="439"/>
    </row>
    <row r="23" spans="1:8" s="389" customFormat="1" ht="12.75" customHeight="1" thickTop="1" x14ac:dyDescent="0.25"/>
    <row r="24" spans="1:8" s="389" customFormat="1" ht="12.75" customHeight="1" x14ac:dyDescent="0.25"/>
    <row r="25" spans="1:8" s="389" customFormat="1" ht="12.75" customHeight="1" x14ac:dyDescent="0.25"/>
    <row r="26" spans="1:8" s="389" customFormat="1" ht="12.75" customHeight="1" x14ac:dyDescent="0.25"/>
    <row r="27" spans="1:8" s="389" customFormat="1" ht="12.75" customHeight="1" x14ac:dyDescent="0.25"/>
    <row r="28" spans="1:8" s="389" customFormat="1" ht="12.75" customHeight="1" x14ac:dyDescent="0.25"/>
    <row r="29" spans="1:8" s="389" customFormat="1" ht="12.75" customHeight="1" x14ac:dyDescent="0.25"/>
    <row r="30" spans="1:8" s="389" customFormat="1" ht="12.75" customHeight="1" x14ac:dyDescent="0.25"/>
    <row r="31" spans="1:8" s="389" customFormat="1" ht="12.75" customHeight="1" x14ac:dyDescent="0.25"/>
    <row r="32" spans="1:8" s="389" customFormat="1" ht="12.75" customHeight="1" x14ac:dyDescent="0.25"/>
    <row r="33" s="389"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0F55-8E88-403A-BAC1-8D4BB29C8207}">
  <sheetPr codeName="Sheet19">
    <pageSetUpPr fitToPage="1"/>
  </sheetPr>
  <dimension ref="A1:G51"/>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590</v>
      </c>
      <c r="C1" s="86"/>
      <c r="D1" s="6"/>
      <c r="E1" s="6"/>
      <c r="F1" s="6"/>
      <c r="G1" s="6"/>
    </row>
    <row r="2" spans="1:7" ht="15.75" x14ac:dyDescent="0.25">
      <c r="A2" s="84"/>
      <c r="B2" s="88" t="s">
        <v>591</v>
      </c>
      <c r="C2" s="87"/>
      <c r="D2" s="6"/>
      <c r="E2" s="6"/>
      <c r="F2" s="6"/>
      <c r="G2" s="6"/>
    </row>
    <row r="3" spans="1:7" ht="15.75" x14ac:dyDescent="0.25">
      <c r="A3" s="84"/>
      <c r="B3" s="89" t="s">
        <v>592</v>
      </c>
      <c r="C3" s="87"/>
      <c r="D3" s="6"/>
      <c r="E3" s="90" t="s">
        <v>294</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593</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'#9476.01 Funds Rec''d'!H24</f>
        <v>270000</v>
      </c>
      <c r="D8" s="102"/>
      <c r="E8" s="102"/>
      <c r="F8" s="102"/>
      <c r="G8" s="103"/>
    </row>
    <row r="9" spans="1:7" ht="12.75" customHeight="1" x14ac:dyDescent="0.25">
      <c r="A9" s="84"/>
      <c r="B9" s="87"/>
      <c r="C9" s="104"/>
      <c r="D9" s="105"/>
      <c r="E9" s="105"/>
      <c r="F9" s="105"/>
      <c r="G9" s="103"/>
    </row>
    <row r="10" spans="1:7" ht="12.75" customHeight="1" x14ac:dyDescent="0.25">
      <c r="A10" s="84"/>
      <c r="B10" s="87" t="s">
        <v>141</v>
      </c>
      <c r="C10" s="104"/>
      <c r="D10" s="102">
        <f>'#9476.01 McGough Construction'!D23</f>
        <v>42023.48</v>
      </c>
      <c r="E10" s="102">
        <f>'#9476.01 McGough Construction'!F23</f>
        <v>3029.3999999999996</v>
      </c>
      <c r="F10" s="102">
        <f>'#9476.01 McGough Construction'!H23</f>
        <v>38994.080000000002</v>
      </c>
      <c r="G10" s="103"/>
    </row>
    <row r="11" spans="1:7" ht="12.75" customHeight="1" x14ac:dyDescent="0.25">
      <c r="A11" s="84"/>
      <c r="B11" s="87" t="s">
        <v>41</v>
      </c>
      <c r="C11" s="104"/>
      <c r="D11" s="102">
        <f>'#9476.01 PM TIME'!E23</f>
        <v>8000</v>
      </c>
      <c r="E11" s="102">
        <f>'#9476.01 PM TIME'!G23</f>
        <v>1249.29</v>
      </c>
      <c r="F11" s="102">
        <f>'#9476.01 PM TIME'!I23</f>
        <v>6750.71</v>
      </c>
      <c r="G11" s="103"/>
    </row>
    <row r="12" spans="1:7" ht="12.75" customHeight="1" x14ac:dyDescent="0.25">
      <c r="A12" s="84"/>
      <c r="B12" s="87" t="s">
        <v>42</v>
      </c>
      <c r="C12" s="105"/>
      <c r="D12" s="106">
        <f>'#9476.01 Misc'!G22</f>
        <v>318.17</v>
      </c>
      <c r="E12" s="106">
        <f>'#9476.01 Misc'!G22</f>
        <v>318.17</v>
      </c>
      <c r="F12" s="102">
        <f>D12-E12</f>
        <v>0</v>
      </c>
      <c r="G12" s="103"/>
    </row>
    <row r="13" spans="1:7" ht="12.75" customHeight="1" x14ac:dyDescent="0.25">
      <c r="A13" s="84"/>
      <c r="B13" s="87" t="s">
        <v>701</v>
      </c>
      <c r="C13" s="105"/>
      <c r="D13" s="106">
        <f>'#9476.01 HGM Associates'!D23</f>
        <v>12655</v>
      </c>
      <c r="E13" s="106">
        <f>'#9476.01 HGM Associates'!F23</f>
        <v>0</v>
      </c>
      <c r="F13" s="102">
        <f>'#9476.01 HGM Associates'!H23</f>
        <v>12655</v>
      </c>
      <c r="G13" s="103"/>
    </row>
    <row r="14" spans="1:7" ht="12.75" customHeight="1" x14ac:dyDescent="0.25">
      <c r="A14" s="84"/>
      <c r="B14" s="87"/>
      <c r="C14" s="105"/>
      <c r="D14" s="106"/>
      <c r="E14" s="106"/>
      <c r="F14" s="102"/>
      <c r="G14" s="103"/>
    </row>
    <row r="15" spans="1:7" ht="24" customHeight="1" thickBot="1" x14ac:dyDescent="0.3">
      <c r="A15" s="107"/>
      <c r="B15" s="108" t="s">
        <v>43</v>
      </c>
      <c r="C15" s="109">
        <f>SUM(C8:C14)</f>
        <v>270000</v>
      </c>
      <c r="D15" s="109">
        <f>SUM(D8:D14)</f>
        <v>62996.65</v>
      </c>
      <c r="E15" s="109">
        <f>SUM(E8:E14)</f>
        <v>4596.8599999999997</v>
      </c>
      <c r="F15" s="109">
        <f>SUM(D15-E15)</f>
        <v>58399.79</v>
      </c>
      <c r="G15" s="109">
        <f>C8-D15</f>
        <v>207003.35</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36CD6-D1BF-45F0-8CBC-1B2D4343D8CC}">
  <sheetPr codeName="Sheet20">
    <pageSetUpPr fitToPage="1"/>
  </sheetPr>
  <dimension ref="A1:H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#9476.01'!B1</f>
        <v>HHS STS New Garage Building - Phase  2</v>
      </c>
      <c r="B1" s="7"/>
      <c r="C1" s="2"/>
      <c r="D1" s="3"/>
      <c r="E1" s="3"/>
      <c r="F1" s="7"/>
      <c r="G1" s="7"/>
      <c r="H1" s="7"/>
    </row>
    <row r="2" spans="1:8" x14ac:dyDescent="0.25">
      <c r="A2" s="112" t="str">
        <f>'RECAP #9476.01'!B2</f>
        <v>Project # 9476.01</v>
      </c>
      <c r="B2" s="7"/>
      <c r="C2" s="113" t="s">
        <v>3</v>
      </c>
      <c r="D2" s="1"/>
      <c r="E2" s="1"/>
      <c r="F2" s="7"/>
      <c r="G2" s="7"/>
      <c r="H2" s="7"/>
    </row>
    <row r="3" spans="1:8" x14ac:dyDescent="0.25">
      <c r="A3" s="114" t="str">
        <f>'RECAP #9476.01'!B3</f>
        <v>Program code 947601</v>
      </c>
      <c r="B3" s="7"/>
      <c r="C3" s="113" t="s">
        <v>3</v>
      </c>
      <c r="D3" s="115" t="str">
        <f>'RECAP #9476.01'!E3</f>
        <v>Major Program 4B02</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#9476.01'!B6</f>
        <v xml:space="preserve">Project Manager - Jennifer K. </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457</v>
      </c>
      <c r="E9" s="334" t="s">
        <v>631</v>
      </c>
      <c r="F9" s="127">
        <v>46125</v>
      </c>
      <c r="G9" s="380">
        <v>270000</v>
      </c>
      <c r="H9" s="380">
        <v>270000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270000</v>
      </c>
      <c r="H24" s="131">
        <f>SUM(H9:H22)</f>
        <v>270000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 xml:space="preserve">&amp;LAcct Codes 0506-335-DA26
&amp;C&amp;Z&amp;F&amp;R
&amp;P/&amp;N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2AD51-17C6-441A-B5C4-3DC442E13989}">
  <sheetPr codeName="Sheet21">
    <pageSetUpPr fitToPage="1"/>
  </sheetPr>
  <dimension ref="A1:I140"/>
  <sheetViews>
    <sheetView zoomScaleNormal="100" workbookViewId="0">
      <selection activeCell="L29" sqref="L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#9476.01'!B1</f>
        <v>HHS STS New Garage Building - Phase  2</v>
      </c>
      <c r="B1" s="86"/>
      <c r="C1" s="6"/>
      <c r="D1" s="6"/>
      <c r="E1" s="6"/>
      <c r="F1" s="132"/>
      <c r="G1" s="132"/>
      <c r="H1" s="133"/>
      <c r="I1" s="133"/>
    </row>
    <row r="2" spans="1:9" ht="15.75" x14ac:dyDescent="0.25">
      <c r="A2" s="88" t="str">
        <f>'RECAP #9476.01'!B2</f>
        <v>Project # 9476.01</v>
      </c>
      <c r="B2" s="87"/>
      <c r="C2" s="6"/>
      <c r="D2" s="6"/>
      <c r="E2" s="6"/>
      <c r="F2" s="132"/>
      <c r="G2" s="132"/>
      <c r="H2" s="133"/>
      <c r="I2" s="133"/>
    </row>
    <row r="3" spans="1:9" ht="15.75" x14ac:dyDescent="0.25">
      <c r="A3" s="89" t="str">
        <f>'RECAP #9476.01'!B3</f>
        <v>Program code 947601</v>
      </c>
      <c r="B3" s="87"/>
      <c r="C3" s="6"/>
      <c r="D3" s="90" t="str">
        <f>'RECAP #9476.01'!E3</f>
        <v>Major Program 4B02</v>
      </c>
      <c r="E3" s="6"/>
      <c r="F3" s="132"/>
      <c r="G3" s="132"/>
      <c r="H3" s="133"/>
      <c r="I3" s="133"/>
    </row>
    <row r="4" spans="1:9" ht="15.75" x14ac:dyDescent="0.25">
      <c r="A4" s="116" t="s">
        <v>141</v>
      </c>
      <c r="B4" s="134"/>
      <c r="C4" s="135"/>
      <c r="D4" s="136" t="s">
        <v>142</v>
      </c>
      <c r="E4" s="132"/>
      <c r="F4" s="132"/>
      <c r="G4" s="132"/>
      <c r="H4" s="133"/>
      <c r="I4" s="133"/>
    </row>
    <row r="5" spans="1:9" ht="15.75" x14ac:dyDescent="0.25">
      <c r="A5" s="137" t="s">
        <v>147</v>
      </c>
      <c r="B5" s="138"/>
      <c r="C5" s="139"/>
      <c r="D5" s="140" t="s">
        <v>143</v>
      </c>
      <c r="E5" s="141"/>
      <c r="F5" s="142"/>
      <c r="G5" s="142"/>
      <c r="H5" s="138"/>
      <c r="I5" s="133"/>
    </row>
    <row r="6" spans="1:9" ht="15.75" x14ac:dyDescent="0.25">
      <c r="A6" s="93" t="str">
        <f>'RECAP #9476.01'!B6</f>
        <v xml:space="preserve">Project Manager - Jennifer K. </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680</v>
      </c>
      <c r="B9" s="318">
        <v>46133</v>
      </c>
      <c r="C9" s="324" t="s">
        <v>146</v>
      </c>
      <c r="D9" s="186">
        <v>42023.48</v>
      </c>
      <c r="E9" s="320">
        <f>D9</f>
        <v>42023.48</v>
      </c>
      <c r="F9" s="321"/>
      <c r="G9" s="321"/>
      <c r="H9" s="321">
        <f>E9</f>
        <v>42023.48</v>
      </c>
      <c r="I9" s="322"/>
    </row>
    <row r="10" spans="1:9" s="308" customFormat="1" ht="12.75" customHeight="1" x14ac:dyDescent="0.25">
      <c r="A10" s="317" t="s">
        <v>764</v>
      </c>
      <c r="B10" s="323">
        <v>46161</v>
      </c>
      <c r="C10" s="324" t="s">
        <v>765</v>
      </c>
      <c r="D10" s="320"/>
      <c r="E10" s="320">
        <f t="shared" ref="E10:E21" si="0">E9+D10</f>
        <v>42023.48</v>
      </c>
      <c r="F10" s="325">
        <v>1176.1199999999999</v>
      </c>
      <c r="G10" s="321">
        <f t="shared" ref="G10:G21" si="1">G9+F10</f>
        <v>1176.1199999999999</v>
      </c>
      <c r="H10" s="321">
        <f t="shared" ref="H10:H21" si="2">H9-F10+D10</f>
        <v>40847.360000000001</v>
      </c>
      <c r="I10" s="322"/>
    </row>
    <row r="11" spans="1:9" s="308" customFormat="1" ht="12.75" customHeight="1" x14ac:dyDescent="0.25">
      <c r="A11" s="317" t="s">
        <v>965</v>
      </c>
      <c r="B11" s="318">
        <v>46209</v>
      </c>
      <c r="C11" s="324" t="s">
        <v>966</v>
      </c>
      <c r="D11" s="320"/>
      <c r="E11" s="320">
        <f t="shared" si="0"/>
        <v>42023.48</v>
      </c>
      <c r="F11" s="325">
        <v>1853.28</v>
      </c>
      <c r="G11" s="321">
        <f t="shared" si="1"/>
        <v>3029.3999999999996</v>
      </c>
      <c r="H11" s="321">
        <f t="shared" si="2"/>
        <v>38994.080000000002</v>
      </c>
      <c r="I11" s="322"/>
    </row>
    <row r="12" spans="1:9" s="308" customFormat="1" ht="12.75" customHeight="1" x14ac:dyDescent="0.25">
      <c r="A12" s="317"/>
      <c r="B12" s="318"/>
      <c r="C12" s="324"/>
      <c r="D12" s="320"/>
      <c r="E12" s="320">
        <f t="shared" si="0"/>
        <v>42023.48</v>
      </c>
      <c r="F12" s="326"/>
      <c r="G12" s="321">
        <f t="shared" si="1"/>
        <v>3029.3999999999996</v>
      </c>
      <c r="H12" s="321">
        <f t="shared" si="2"/>
        <v>38994.080000000002</v>
      </c>
      <c r="I12" s="322"/>
    </row>
    <row r="13" spans="1:9" s="308" customFormat="1" ht="12.75" customHeight="1" x14ac:dyDescent="0.25">
      <c r="A13" s="317"/>
      <c r="B13" s="318"/>
      <c r="C13" s="324"/>
      <c r="D13" s="320"/>
      <c r="E13" s="320">
        <f t="shared" si="0"/>
        <v>42023.48</v>
      </c>
      <c r="F13" s="326"/>
      <c r="G13" s="321">
        <f t="shared" si="1"/>
        <v>3029.3999999999996</v>
      </c>
      <c r="H13" s="321">
        <f t="shared" si="2"/>
        <v>38994.080000000002</v>
      </c>
      <c r="I13" s="322"/>
    </row>
    <row r="14" spans="1:9" s="308" customFormat="1" ht="12.75" customHeight="1" x14ac:dyDescent="0.25">
      <c r="A14" s="317"/>
      <c r="B14" s="318"/>
      <c r="C14" s="324"/>
      <c r="D14" s="320"/>
      <c r="E14" s="320">
        <f t="shared" si="0"/>
        <v>42023.48</v>
      </c>
      <c r="F14" s="321"/>
      <c r="G14" s="321">
        <f t="shared" si="1"/>
        <v>3029.3999999999996</v>
      </c>
      <c r="H14" s="321">
        <f t="shared" si="2"/>
        <v>38994.080000000002</v>
      </c>
      <c r="I14" s="322"/>
    </row>
    <row r="15" spans="1:9" s="308" customFormat="1" ht="12.75" customHeight="1" x14ac:dyDescent="0.25">
      <c r="A15" s="317"/>
      <c r="B15" s="318"/>
      <c r="C15" s="324"/>
      <c r="D15" s="320"/>
      <c r="E15" s="320">
        <f t="shared" si="0"/>
        <v>42023.48</v>
      </c>
      <c r="F15" s="326"/>
      <c r="G15" s="321">
        <f t="shared" si="1"/>
        <v>3029.3999999999996</v>
      </c>
      <c r="H15" s="321">
        <f t="shared" si="2"/>
        <v>38994.080000000002</v>
      </c>
      <c r="I15" s="322"/>
    </row>
    <row r="16" spans="1:9" s="308" customFormat="1" ht="12.75" customHeight="1" x14ac:dyDescent="0.25">
      <c r="A16" s="317"/>
      <c r="B16" s="318"/>
      <c r="C16" s="324"/>
      <c r="D16" s="320"/>
      <c r="E16" s="320">
        <f t="shared" si="0"/>
        <v>42023.48</v>
      </c>
      <c r="F16" s="326"/>
      <c r="G16" s="321">
        <f t="shared" si="1"/>
        <v>3029.3999999999996</v>
      </c>
      <c r="H16" s="321">
        <f t="shared" si="2"/>
        <v>38994.080000000002</v>
      </c>
      <c r="I16" s="322"/>
    </row>
    <row r="17" spans="1:9" s="308" customFormat="1" ht="12.75" customHeight="1" x14ac:dyDescent="0.25">
      <c r="A17" s="317"/>
      <c r="B17" s="318"/>
      <c r="C17" s="324"/>
      <c r="D17" s="320"/>
      <c r="E17" s="320">
        <f t="shared" si="0"/>
        <v>42023.48</v>
      </c>
      <c r="F17" s="326"/>
      <c r="G17" s="321">
        <f t="shared" si="1"/>
        <v>3029.3999999999996</v>
      </c>
      <c r="H17" s="321">
        <f t="shared" si="2"/>
        <v>38994.080000000002</v>
      </c>
      <c r="I17" s="322"/>
    </row>
    <row r="18" spans="1:9" s="308" customFormat="1" ht="12.75" customHeight="1" x14ac:dyDescent="0.25">
      <c r="A18" s="317"/>
      <c r="B18" s="318"/>
      <c r="C18" s="324"/>
      <c r="D18" s="320"/>
      <c r="E18" s="320">
        <f t="shared" si="0"/>
        <v>42023.48</v>
      </c>
      <c r="F18" s="326"/>
      <c r="G18" s="321">
        <f t="shared" si="1"/>
        <v>3029.3999999999996</v>
      </c>
      <c r="H18" s="321">
        <f t="shared" si="2"/>
        <v>38994.080000000002</v>
      </c>
      <c r="I18" s="322"/>
    </row>
    <row r="19" spans="1:9" s="308" customFormat="1" ht="12.75" customHeight="1" x14ac:dyDescent="0.25">
      <c r="A19" s="317"/>
      <c r="B19" s="318"/>
      <c r="C19" s="324"/>
      <c r="D19" s="320"/>
      <c r="E19" s="320">
        <f t="shared" si="0"/>
        <v>42023.48</v>
      </c>
      <c r="F19" s="321"/>
      <c r="G19" s="321">
        <f t="shared" si="1"/>
        <v>3029.3999999999996</v>
      </c>
      <c r="H19" s="321">
        <f t="shared" si="2"/>
        <v>38994.080000000002</v>
      </c>
      <c r="I19" s="322"/>
    </row>
    <row r="20" spans="1:9" s="308" customFormat="1" ht="12.75" customHeight="1" x14ac:dyDescent="0.25">
      <c r="A20" s="317"/>
      <c r="B20" s="318"/>
      <c r="C20" s="324"/>
      <c r="D20" s="320"/>
      <c r="E20" s="320">
        <f t="shared" si="0"/>
        <v>42023.48</v>
      </c>
      <c r="F20" s="321"/>
      <c r="G20" s="321">
        <f t="shared" si="1"/>
        <v>3029.3999999999996</v>
      </c>
      <c r="H20" s="321">
        <f t="shared" si="2"/>
        <v>38994.080000000002</v>
      </c>
      <c r="I20" s="322"/>
    </row>
    <row r="21" spans="1:9" s="308" customFormat="1" ht="12.75" customHeight="1" x14ac:dyDescent="0.25">
      <c r="A21" s="317"/>
      <c r="B21" s="318"/>
      <c r="C21" s="327"/>
      <c r="D21" s="320"/>
      <c r="E21" s="320">
        <f t="shared" si="0"/>
        <v>42023.48</v>
      </c>
      <c r="F21" s="321"/>
      <c r="G21" s="321">
        <f t="shared" si="1"/>
        <v>3029.3999999999996</v>
      </c>
      <c r="H21" s="321">
        <f t="shared" si="2"/>
        <v>38994.080000000002</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42023.48</v>
      </c>
      <c r="E23" s="184"/>
      <c r="F23" s="184">
        <f>SUM(F9:F22)</f>
        <v>3029.3999999999996</v>
      </c>
      <c r="G23" s="184"/>
      <c r="H23" s="184">
        <f>D23-F23</f>
        <v>38994.080000000002</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40743.480000000003</v>
      </c>
      <c r="E26" s="321"/>
      <c r="F26" s="321">
        <f>1176.12+1853.28</f>
        <v>3029.3999999999996</v>
      </c>
      <c r="G26" s="321"/>
      <c r="H26" s="321">
        <f>D26-F26</f>
        <v>37714.080000000002</v>
      </c>
      <c r="I26" s="322"/>
    </row>
    <row r="27" spans="1:9" s="308" customFormat="1" ht="12.75" customHeight="1" x14ac:dyDescent="0.25">
      <c r="A27" s="317"/>
      <c r="B27" s="324"/>
      <c r="C27" s="328" t="s">
        <v>253</v>
      </c>
      <c r="D27" s="321">
        <v>1280</v>
      </c>
      <c r="E27" s="185"/>
      <c r="F27" s="185"/>
      <c r="G27" s="185"/>
      <c r="H27" s="321">
        <f>D27-F27</f>
        <v>1280</v>
      </c>
      <c r="I27" s="322"/>
    </row>
    <row r="28" spans="1:9" s="308" customFormat="1" ht="12.75" customHeight="1" thickBot="1" x14ac:dyDescent="0.3">
      <c r="A28" s="317"/>
      <c r="B28" s="324"/>
      <c r="C28" s="359" t="s">
        <v>157</v>
      </c>
      <c r="D28" s="360">
        <f>SUM(D25:D27)</f>
        <v>42023.48</v>
      </c>
      <c r="E28" s="326"/>
      <c r="F28" s="360">
        <f>SUM(F25:F27)</f>
        <v>3029.3999999999996</v>
      </c>
      <c r="G28" s="326"/>
      <c r="H28" s="360">
        <f>SUM(H25:H27)</f>
        <v>38994.080000000002</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sheetData>
  <conditionalFormatting sqref="I9:I25">
    <cfRule type="cellIs" dxfId="31"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F1705-BC45-4AED-9E88-D66A411E4601}">
  <sheetPr codeName="Sheet22">
    <pageSetUpPr fitToPage="1"/>
  </sheetPr>
  <dimension ref="A1:J182"/>
  <sheetViews>
    <sheetView zoomScaleNormal="100" workbookViewId="0">
      <selection activeCell="I28" sqref="I28"/>
    </sheetView>
  </sheetViews>
  <sheetFormatPr defaultColWidth="11.42578125" defaultRowHeight="15" customHeight="1" x14ac:dyDescent="0.25"/>
  <cols>
    <col min="1" max="1" width="24.5703125" customWidth="1"/>
    <col min="2" max="3" width="9.42578125" customWidth="1"/>
    <col min="4" max="4" width="41.28515625" customWidth="1"/>
    <col min="5" max="5" width="11.285156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#9476.01'!B1</f>
        <v>HHS STS New Garage Building - Phase  2</v>
      </c>
      <c r="B1" s="86"/>
      <c r="C1" s="86"/>
      <c r="D1" s="6"/>
      <c r="E1" s="6"/>
      <c r="F1" s="6"/>
      <c r="G1" s="132"/>
      <c r="H1" s="132"/>
      <c r="I1" s="133"/>
      <c r="J1" s="133"/>
    </row>
    <row r="2" spans="1:10" ht="15.75" x14ac:dyDescent="0.25">
      <c r="A2" s="88" t="str">
        <f>'RECAP #9476.01'!B2</f>
        <v>Project # 9476.01</v>
      </c>
      <c r="B2" s="87"/>
      <c r="C2" s="87"/>
      <c r="D2" s="6"/>
      <c r="E2" s="6"/>
      <c r="F2" s="6"/>
      <c r="G2" s="132"/>
      <c r="H2" s="132"/>
      <c r="I2" s="133"/>
      <c r="J2" s="133"/>
    </row>
    <row r="3" spans="1:10" ht="15.75" x14ac:dyDescent="0.25">
      <c r="A3" s="89" t="str">
        <f>'RECAP #9476.01'!B3</f>
        <v>Program code 947601</v>
      </c>
      <c r="B3" s="87"/>
      <c r="C3" s="87"/>
      <c r="D3" s="6"/>
      <c r="E3" s="90" t="str">
        <f>'RECAP #9476.01'!E3</f>
        <v>Major Program 4B02</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#9476.01'!B6</f>
        <v xml:space="preserve">Project Manager - Jennifer K. </v>
      </c>
      <c r="B6" s="93"/>
      <c r="C6" s="93"/>
      <c r="D6" s="143"/>
      <c r="E6" s="140" t="s">
        <v>596</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8000</v>
      </c>
      <c r="F9" s="320">
        <f>E9</f>
        <v>8000</v>
      </c>
      <c r="G9" s="321"/>
      <c r="H9" s="321"/>
      <c r="I9" s="321">
        <f>F9</f>
        <v>8000</v>
      </c>
      <c r="J9" s="322"/>
    </row>
    <row r="10" spans="1:10" s="308" customFormat="1" ht="12.75" customHeight="1" x14ac:dyDescent="0.2">
      <c r="A10" s="171" t="s">
        <v>752</v>
      </c>
      <c r="B10" s="153">
        <v>46149</v>
      </c>
      <c r="C10" s="155" t="s">
        <v>274</v>
      </c>
      <c r="D10" s="181" t="s">
        <v>753</v>
      </c>
      <c r="E10" s="320"/>
      <c r="F10" s="320">
        <f>F9+E10</f>
        <v>8000</v>
      </c>
      <c r="G10" s="325">
        <v>55.91</v>
      </c>
      <c r="H10" s="321">
        <f t="shared" ref="H10:H21" si="0">H9+G10</f>
        <v>55.91</v>
      </c>
      <c r="I10" s="321">
        <f>I9-G10+E10</f>
        <v>7944.09</v>
      </c>
      <c r="J10" s="322"/>
    </row>
    <row r="11" spans="1:10" s="308" customFormat="1" ht="12.75" customHeight="1" x14ac:dyDescent="0.2">
      <c r="A11" s="171" t="s">
        <v>752</v>
      </c>
      <c r="B11" s="153">
        <v>46149</v>
      </c>
      <c r="C11" s="401">
        <v>9500</v>
      </c>
      <c r="D11" s="126" t="s">
        <v>754</v>
      </c>
      <c r="E11" s="320"/>
      <c r="F11" s="320">
        <f t="shared" ref="F11:F21" si="1">F10+E11</f>
        <v>8000</v>
      </c>
      <c r="G11" s="325">
        <v>578.9</v>
      </c>
      <c r="H11" s="321">
        <f t="shared" si="0"/>
        <v>634.80999999999995</v>
      </c>
      <c r="I11" s="321">
        <f t="shared" ref="I11:I21" si="2">I10-G11+E11</f>
        <v>7365.1900000000005</v>
      </c>
      <c r="J11" s="322"/>
    </row>
    <row r="12" spans="1:10" s="308" customFormat="1" ht="12.75" customHeight="1" x14ac:dyDescent="0.2">
      <c r="A12" s="171" t="s">
        <v>844</v>
      </c>
      <c r="B12" s="153">
        <v>46181</v>
      </c>
      <c r="C12" s="155" t="s">
        <v>274</v>
      </c>
      <c r="D12" s="181" t="s">
        <v>845</v>
      </c>
      <c r="E12" s="320"/>
      <c r="F12" s="320">
        <f t="shared" si="1"/>
        <v>8000</v>
      </c>
      <c r="G12" s="325">
        <v>26.17</v>
      </c>
      <c r="H12" s="321">
        <f t="shared" si="0"/>
        <v>660.9799999999999</v>
      </c>
      <c r="I12" s="321">
        <f t="shared" si="2"/>
        <v>7339.02</v>
      </c>
      <c r="J12" s="322"/>
    </row>
    <row r="13" spans="1:10" s="308" customFormat="1" ht="12.75" customHeight="1" x14ac:dyDescent="0.2">
      <c r="A13" s="171" t="s">
        <v>844</v>
      </c>
      <c r="B13" s="153">
        <v>46181</v>
      </c>
      <c r="C13" s="401">
        <v>9500</v>
      </c>
      <c r="D13" s="126" t="s">
        <v>846</v>
      </c>
      <c r="E13" s="320"/>
      <c r="F13" s="320">
        <f t="shared" si="1"/>
        <v>8000</v>
      </c>
      <c r="G13" s="325">
        <v>318.7</v>
      </c>
      <c r="H13" s="321">
        <f t="shared" si="0"/>
        <v>979.67999999999984</v>
      </c>
      <c r="I13" s="321">
        <f t="shared" si="2"/>
        <v>7020.3200000000006</v>
      </c>
      <c r="J13" s="322"/>
    </row>
    <row r="14" spans="1:10" s="308" customFormat="1" ht="12.75" customHeight="1" x14ac:dyDescent="0.2">
      <c r="A14" s="171" t="s">
        <v>989</v>
      </c>
      <c r="B14" s="153">
        <v>46211</v>
      </c>
      <c r="C14" s="155" t="s">
        <v>274</v>
      </c>
      <c r="D14" s="181" t="s">
        <v>992</v>
      </c>
      <c r="E14" s="320"/>
      <c r="F14" s="320">
        <f t="shared" si="1"/>
        <v>8000</v>
      </c>
      <c r="G14" s="325">
        <v>20.95</v>
      </c>
      <c r="H14" s="321">
        <f t="shared" si="0"/>
        <v>1000.6299999999999</v>
      </c>
      <c r="I14" s="321">
        <f t="shared" si="2"/>
        <v>6999.3700000000008</v>
      </c>
      <c r="J14" s="322"/>
    </row>
    <row r="15" spans="1:10" s="308" customFormat="1" ht="12.75" customHeight="1" x14ac:dyDescent="0.2">
      <c r="A15" s="171" t="s">
        <v>989</v>
      </c>
      <c r="B15" s="153">
        <v>46211</v>
      </c>
      <c r="C15" s="401">
        <v>9500</v>
      </c>
      <c r="D15" s="126" t="s">
        <v>993</v>
      </c>
      <c r="E15" s="320"/>
      <c r="F15" s="320">
        <f t="shared" si="1"/>
        <v>8000</v>
      </c>
      <c r="G15" s="325">
        <v>240.7</v>
      </c>
      <c r="H15" s="321">
        <f t="shared" si="0"/>
        <v>1241.33</v>
      </c>
      <c r="I15" s="321">
        <f t="shared" si="2"/>
        <v>6758.670000000001</v>
      </c>
      <c r="J15" s="322"/>
    </row>
    <row r="16" spans="1:10" s="308" customFormat="1" ht="12.75" customHeight="1" x14ac:dyDescent="0.2">
      <c r="A16" s="171" t="s">
        <v>1036</v>
      </c>
      <c r="B16" s="153">
        <v>46218</v>
      </c>
      <c r="C16" s="155" t="s">
        <v>274</v>
      </c>
      <c r="D16" s="181" t="s">
        <v>1037</v>
      </c>
      <c r="E16" s="320"/>
      <c r="F16" s="320">
        <f t="shared" si="1"/>
        <v>8000</v>
      </c>
      <c r="G16" s="325">
        <v>7.96</v>
      </c>
      <c r="H16" s="321">
        <f t="shared" si="0"/>
        <v>1249.29</v>
      </c>
      <c r="I16" s="321">
        <f t="shared" si="2"/>
        <v>6750.7100000000009</v>
      </c>
      <c r="J16" s="322"/>
    </row>
    <row r="17" spans="1:10" s="308" customFormat="1" ht="12.75" customHeight="1" x14ac:dyDescent="0.25">
      <c r="A17" s="332"/>
      <c r="B17" s="318"/>
      <c r="C17" s="318"/>
      <c r="D17" s="328"/>
      <c r="E17" s="320"/>
      <c r="F17" s="320">
        <f t="shared" si="1"/>
        <v>8000</v>
      </c>
      <c r="G17" s="326"/>
      <c r="H17" s="321">
        <f t="shared" si="0"/>
        <v>1249.29</v>
      </c>
      <c r="I17" s="321">
        <f t="shared" si="2"/>
        <v>6750.7100000000009</v>
      </c>
      <c r="J17" s="322"/>
    </row>
    <row r="18" spans="1:10" s="308" customFormat="1" ht="12.75" customHeight="1" x14ac:dyDescent="0.25">
      <c r="A18" s="332"/>
      <c r="B18" s="318"/>
      <c r="C18" s="318"/>
      <c r="D18" s="328"/>
      <c r="E18" s="320"/>
      <c r="F18" s="320">
        <f t="shared" si="1"/>
        <v>8000</v>
      </c>
      <c r="G18" s="326"/>
      <c r="H18" s="321">
        <f t="shared" si="0"/>
        <v>1249.29</v>
      </c>
      <c r="I18" s="321">
        <f t="shared" si="2"/>
        <v>6750.7100000000009</v>
      </c>
      <c r="J18" s="322"/>
    </row>
    <row r="19" spans="1:10" s="308" customFormat="1" ht="12.75" customHeight="1" x14ac:dyDescent="0.25">
      <c r="A19" s="332"/>
      <c r="B19" s="318"/>
      <c r="C19" s="318"/>
      <c r="D19" s="328"/>
      <c r="E19" s="320"/>
      <c r="F19" s="320">
        <f t="shared" si="1"/>
        <v>8000</v>
      </c>
      <c r="G19" s="321"/>
      <c r="H19" s="321">
        <f t="shared" si="0"/>
        <v>1249.29</v>
      </c>
      <c r="I19" s="321">
        <f t="shared" si="2"/>
        <v>6750.7100000000009</v>
      </c>
      <c r="J19" s="322"/>
    </row>
    <row r="20" spans="1:10" s="308" customFormat="1" ht="12.75" customHeight="1" x14ac:dyDescent="0.25">
      <c r="A20" s="332"/>
      <c r="B20" s="318"/>
      <c r="C20" s="318"/>
      <c r="D20" s="328"/>
      <c r="E20" s="320"/>
      <c r="F20" s="320">
        <f t="shared" si="1"/>
        <v>8000</v>
      </c>
      <c r="G20" s="321"/>
      <c r="H20" s="321">
        <f t="shared" si="0"/>
        <v>1249.29</v>
      </c>
      <c r="I20" s="321">
        <f t="shared" si="2"/>
        <v>6750.7100000000009</v>
      </c>
      <c r="J20" s="322"/>
    </row>
    <row r="21" spans="1:10" s="308" customFormat="1" ht="12.75" customHeight="1" x14ac:dyDescent="0.25">
      <c r="A21" s="332"/>
      <c r="B21" s="318"/>
      <c r="C21" s="318"/>
      <c r="D21" s="363"/>
      <c r="E21" s="320"/>
      <c r="F21" s="320">
        <f t="shared" si="1"/>
        <v>8000</v>
      </c>
      <c r="G21" s="321"/>
      <c r="H21" s="321">
        <f t="shared" si="0"/>
        <v>1249.29</v>
      </c>
      <c r="I21" s="321">
        <f t="shared" si="2"/>
        <v>6750.7100000000009</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8000</v>
      </c>
      <c r="F23" s="184"/>
      <c r="G23" s="184">
        <f>SUM(G9:G22)</f>
        <v>1249.29</v>
      </c>
      <c r="H23" s="184"/>
      <c r="I23" s="184">
        <f>SUM(E23-G23)</f>
        <v>6750.71</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5"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E85EE-C75B-4D1B-8B2A-204E2E5B6E24}">
  <sheetPr codeName="Sheet23">
    <pageSetUpPr fitToPage="1"/>
  </sheetPr>
  <dimension ref="A1:H23"/>
  <sheetViews>
    <sheetView zoomScaleNormal="100" workbookViewId="0">
      <selection activeCell="G9" sqref="G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28515625" customWidth="1"/>
    <col min="6" max="6" width="15.285156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'#9476.01 PM TIME'!A1</f>
        <v>HHS STS New Garage Building - Phase  2</v>
      </c>
      <c r="B1" s="86"/>
      <c r="C1" s="86"/>
      <c r="D1" s="86"/>
      <c r="E1" s="6"/>
      <c r="F1" s="6"/>
      <c r="G1" s="6"/>
      <c r="H1" s="132"/>
    </row>
    <row r="2" spans="1:8" ht="15.75" x14ac:dyDescent="0.25">
      <c r="A2" s="88" t="str">
        <f>'RECAP #9476.01'!B2</f>
        <v>Project # 9476.01</v>
      </c>
      <c r="B2" s="87"/>
      <c r="C2" s="87"/>
      <c r="D2" s="87"/>
      <c r="E2" s="6"/>
      <c r="F2" s="6"/>
      <c r="G2" s="6"/>
      <c r="H2" s="132"/>
    </row>
    <row r="3" spans="1:8" ht="15.75" x14ac:dyDescent="0.25">
      <c r="A3" s="89" t="str">
        <f>'RECAP #9476.01'!B3</f>
        <v>Program code 947601</v>
      </c>
      <c r="B3" s="87"/>
      <c r="C3" s="87"/>
      <c r="D3" s="87"/>
      <c r="E3" s="90" t="str">
        <f>'RECAP #9476.01'!E3</f>
        <v>Major Program 4B02</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#9476.01'!B6</f>
        <v xml:space="preserve">Project Manager - Jennifer K. </v>
      </c>
      <c r="B6" s="93"/>
      <c r="C6" s="93"/>
      <c r="D6" s="93"/>
      <c r="E6" s="90" t="s">
        <v>682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t="s">
        <v>961</v>
      </c>
      <c r="B9" s="153">
        <v>46202</v>
      </c>
      <c r="C9" s="361" t="s">
        <v>209</v>
      </c>
      <c r="D9" s="361" t="s">
        <v>372</v>
      </c>
      <c r="E9" s="363" t="s">
        <v>522</v>
      </c>
      <c r="F9" s="172" t="s">
        <v>960</v>
      </c>
      <c r="G9" s="325">
        <v>318.17</v>
      </c>
      <c r="H9" s="162">
        <f>G9</f>
        <v>318.17</v>
      </c>
    </row>
    <row r="10" spans="1:8" x14ac:dyDescent="0.25">
      <c r="A10" s="165"/>
      <c r="B10" s="153"/>
      <c r="C10" s="160"/>
      <c r="D10" s="160"/>
      <c r="E10" s="141"/>
      <c r="F10" s="106"/>
      <c r="G10" s="162"/>
      <c r="H10" s="162">
        <f>H9+G10</f>
        <v>318.17</v>
      </c>
    </row>
    <row r="11" spans="1:8" x14ac:dyDescent="0.25">
      <c r="A11" s="165"/>
      <c r="B11" s="153"/>
      <c r="C11" s="153"/>
      <c r="D11" s="153"/>
      <c r="E11" s="141"/>
      <c r="F11" s="106"/>
      <c r="G11" s="162"/>
      <c r="H11" s="162">
        <f t="shared" ref="H11:H20" si="0">H10+G11</f>
        <v>318.17</v>
      </c>
    </row>
    <row r="12" spans="1:8" x14ac:dyDescent="0.25">
      <c r="A12" s="165" t="s">
        <v>3</v>
      </c>
      <c r="B12" s="153" t="s">
        <v>3</v>
      </c>
      <c r="C12" s="153"/>
      <c r="D12" s="153"/>
      <c r="E12" s="141" t="s">
        <v>3</v>
      </c>
      <c r="F12" s="106"/>
      <c r="G12" s="162"/>
      <c r="H12" s="162">
        <f t="shared" si="0"/>
        <v>318.17</v>
      </c>
    </row>
    <row r="13" spans="1:8" x14ac:dyDescent="0.25">
      <c r="A13" s="165" t="s">
        <v>3</v>
      </c>
      <c r="B13" s="153" t="s">
        <v>3</v>
      </c>
      <c r="C13" s="153"/>
      <c r="D13" s="153"/>
      <c r="E13" s="141" t="s">
        <v>3</v>
      </c>
      <c r="F13" s="106"/>
      <c r="G13" s="162"/>
      <c r="H13" s="162">
        <f t="shared" si="0"/>
        <v>318.17</v>
      </c>
    </row>
    <row r="14" spans="1:8" x14ac:dyDescent="0.25">
      <c r="A14" s="165"/>
      <c r="B14" s="153"/>
      <c r="C14" s="153"/>
      <c r="D14" s="153"/>
      <c r="E14" s="141"/>
      <c r="F14" s="106"/>
      <c r="G14" s="162"/>
      <c r="H14" s="162">
        <f t="shared" si="0"/>
        <v>318.17</v>
      </c>
    </row>
    <row r="15" spans="1:8" x14ac:dyDescent="0.25">
      <c r="A15" s="165"/>
      <c r="B15" s="153"/>
      <c r="C15" s="153"/>
      <c r="D15" s="153"/>
      <c r="E15" s="173"/>
      <c r="F15" s="106"/>
      <c r="G15" s="162"/>
      <c r="H15" s="162">
        <f t="shared" si="0"/>
        <v>318.17</v>
      </c>
    </row>
    <row r="16" spans="1:8" x14ac:dyDescent="0.25">
      <c r="A16" s="165"/>
      <c r="B16" s="153"/>
      <c r="C16" s="153"/>
      <c r="D16" s="153"/>
      <c r="E16" s="141"/>
      <c r="F16" s="106"/>
      <c r="G16" s="162"/>
      <c r="H16" s="162">
        <f t="shared" si="0"/>
        <v>318.17</v>
      </c>
    </row>
    <row r="17" spans="1:8" x14ac:dyDescent="0.25">
      <c r="A17" s="152"/>
      <c r="B17" s="153"/>
      <c r="C17" s="153"/>
      <c r="D17" s="153"/>
      <c r="E17" s="141"/>
      <c r="F17" s="106"/>
      <c r="G17" s="162"/>
      <c r="H17" s="162">
        <f t="shared" si="0"/>
        <v>318.17</v>
      </c>
    </row>
    <row r="18" spans="1:8" x14ac:dyDescent="0.25">
      <c r="A18" s="152"/>
      <c r="B18" s="153"/>
      <c r="C18" s="153"/>
      <c r="D18" s="153"/>
      <c r="E18" s="141"/>
      <c r="F18" s="106"/>
      <c r="G18" s="162"/>
      <c r="H18" s="162">
        <f t="shared" si="0"/>
        <v>318.17</v>
      </c>
    </row>
    <row r="19" spans="1:8" x14ac:dyDescent="0.25">
      <c r="A19" s="152"/>
      <c r="B19" s="153"/>
      <c r="C19" s="153"/>
      <c r="D19" s="153"/>
      <c r="E19" s="141"/>
      <c r="F19" s="106"/>
      <c r="G19" s="162"/>
      <c r="H19" s="162">
        <f t="shared" si="0"/>
        <v>318.17</v>
      </c>
    </row>
    <row r="20" spans="1:8" x14ac:dyDescent="0.25">
      <c r="A20" s="152"/>
      <c r="B20" s="153"/>
      <c r="C20" s="153"/>
      <c r="D20" s="153"/>
      <c r="E20" s="141"/>
      <c r="F20" s="106"/>
      <c r="G20" s="162"/>
      <c r="H20" s="162">
        <f t="shared" si="0"/>
        <v>318.17</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318.17</v>
      </c>
      <c r="H22" s="177"/>
    </row>
    <row r="23"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BCABC-0A30-4A9E-943A-B26C3F12CEDE}">
  <sheetPr>
    <pageSetUpPr fitToPage="1"/>
  </sheetPr>
  <dimension ref="A1:I140"/>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#9476.01'!B1</f>
        <v>HHS STS New Garage Building - Phase  2</v>
      </c>
      <c r="B1" s="86"/>
      <c r="C1" s="6"/>
      <c r="D1" s="6"/>
      <c r="E1" s="6"/>
      <c r="F1" s="132"/>
      <c r="G1" s="132"/>
      <c r="H1" s="133"/>
      <c r="I1" s="133"/>
    </row>
    <row r="2" spans="1:9" ht="15.75" x14ac:dyDescent="0.25">
      <c r="A2" s="88" t="str">
        <f>'RECAP #9476.01'!B2</f>
        <v>Project # 9476.01</v>
      </c>
      <c r="B2" s="87"/>
      <c r="C2" s="6"/>
      <c r="D2" s="6"/>
      <c r="E2" s="6"/>
      <c r="F2" s="132"/>
      <c r="G2" s="132"/>
      <c r="H2" s="133"/>
      <c r="I2" s="133"/>
    </row>
    <row r="3" spans="1:9" ht="15.75" x14ac:dyDescent="0.25">
      <c r="A3" s="89" t="str">
        <f>'RECAP #9476.01'!B3</f>
        <v>Program code 947601</v>
      </c>
      <c r="B3" s="87"/>
      <c r="C3" s="6"/>
      <c r="D3" s="90" t="str">
        <f>'RECAP #9476.01'!E3</f>
        <v>Major Program 4B02</v>
      </c>
      <c r="E3" s="6"/>
      <c r="F3" s="132"/>
      <c r="G3" s="132"/>
      <c r="H3" s="133"/>
      <c r="I3" s="133"/>
    </row>
    <row r="4" spans="1:9" ht="15.75" x14ac:dyDescent="0.25">
      <c r="A4" s="116" t="s">
        <v>701</v>
      </c>
      <c r="B4" s="134"/>
      <c r="C4" s="135"/>
      <c r="D4" s="136" t="s">
        <v>702</v>
      </c>
      <c r="E4" s="132"/>
      <c r="F4" s="132"/>
      <c r="G4" s="132"/>
      <c r="H4" s="133"/>
      <c r="I4" s="133"/>
    </row>
    <row r="5" spans="1:9" ht="15.75" x14ac:dyDescent="0.25">
      <c r="A5" s="137" t="s">
        <v>182</v>
      </c>
      <c r="B5" s="138"/>
      <c r="C5" s="139"/>
      <c r="D5" s="140" t="s">
        <v>703</v>
      </c>
      <c r="E5" s="141"/>
      <c r="F5" s="142"/>
      <c r="G5" s="142"/>
      <c r="H5" s="138"/>
      <c r="I5" s="133"/>
    </row>
    <row r="6" spans="1:9" ht="15.75" x14ac:dyDescent="0.25">
      <c r="A6" s="93" t="str">
        <f>'RECAP #9476.01'!B6</f>
        <v xml:space="preserve">Project Manager - Jennifer K. </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704</v>
      </c>
      <c r="B9" s="318">
        <v>46139</v>
      </c>
      <c r="C9" s="324" t="s">
        <v>146</v>
      </c>
      <c r="D9" s="186">
        <v>12655</v>
      </c>
      <c r="E9" s="320">
        <f>D9</f>
        <v>12655</v>
      </c>
      <c r="F9" s="321"/>
      <c r="G9" s="321"/>
      <c r="H9" s="321">
        <f>E9</f>
        <v>12655</v>
      </c>
      <c r="I9" s="322"/>
    </row>
    <row r="10" spans="1:9" s="308" customFormat="1" ht="12.75" customHeight="1" x14ac:dyDescent="0.25">
      <c r="A10" s="317"/>
      <c r="B10" s="323"/>
      <c r="C10" s="324"/>
      <c r="D10" s="320"/>
      <c r="E10" s="320">
        <f t="shared" ref="E10:E21" si="0">E9+D10</f>
        <v>12655</v>
      </c>
      <c r="F10" s="326"/>
      <c r="G10" s="321">
        <f t="shared" ref="G10:G21" si="1">G9+F10</f>
        <v>0</v>
      </c>
      <c r="H10" s="321">
        <f t="shared" ref="H10:H21" si="2">H9-F10+D10</f>
        <v>12655</v>
      </c>
      <c r="I10" s="322"/>
    </row>
    <row r="11" spans="1:9" s="308" customFormat="1" ht="12.75" customHeight="1" x14ac:dyDescent="0.25">
      <c r="A11" s="317"/>
      <c r="B11" s="318"/>
      <c r="C11" s="324"/>
      <c r="D11" s="320"/>
      <c r="E11" s="320">
        <f t="shared" si="0"/>
        <v>12655</v>
      </c>
      <c r="F11" s="326"/>
      <c r="G11" s="321">
        <f t="shared" si="1"/>
        <v>0</v>
      </c>
      <c r="H11" s="321">
        <f t="shared" si="2"/>
        <v>12655</v>
      </c>
      <c r="I11" s="322"/>
    </row>
    <row r="12" spans="1:9" s="308" customFormat="1" ht="12.75" customHeight="1" x14ac:dyDescent="0.25">
      <c r="A12" s="317"/>
      <c r="B12" s="318"/>
      <c r="C12" s="324"/>
      <c r="D12" s="320"/>
      <c r="E12" s="320">
        <f t="shared" si="0"/>
        <v>12655</v>
      </c>
      <c r="F12" s="326"/>
      <c r="G12" s="321">
        <f t="shared" si="1"/>
        <v>0</v>
      </c>
      <c r="H12" s="321">
        <f t="shared" si="2"/>
        <v>12655</v>
      </c>
      <c r="I12" s="322"/>
    </row>
    <row r="13" spans="1:9" s="308" customFormat="1" ht="12.75" customHeight="1" x14ac:dyDescent="0.25">
      <c r="A13" s="317"/>
      <c r="B13" s="318"/>
      <c r="C13" s="324"/>
      <c r="D13" s="320"/>
      <c r="E13" s="320">
        <f t="shared" si="0"/>
        <v>12655</v>
      </c>
      <c r="F13" s="326"/>
      <c r="G13" s="321">
        <f t="shared" si="1"/>
        <v>0</v>
      </c>
      <c r="H13" s="321">
        <f t="shared" si="2"/>
        <v>12655</v>
      </c>
      <c r="I13" s="322"/>
    </row>
    <row r="14" spans="1:9" s="308" customFormat="1" ht="12.75" customHeight="1" x14ac:dyDescent="0.25">
      <c r="A14" s="317"/>
      <c r="B14" s="318"/>
      <c r="C14" s="324"/>
      <c r="D14" s="320"/>
      <c r="E14" s="320">
        <f t="shared" si="0"/>
        <v>12655</v>
      </c>
      <c r="F14" s="321"/>
      <c r="G14" s="321">
        <f t="shared" si="1"/>
        <v>0</v>
      </c>
      <c r="H14" s="321">
        <f t="shared" si="2"/>
        <v>12655</v>
      </c>
      <c r="I14" s="322"/>
    </row>
    <row r="15" spans="1:9" s="308" customFormat="1" ht="12.75" customHeight="1" x14ac:dyDescent="0.25">
      <c r="A15" s="317"/>
      <c r="B15" s="318"/>
      <c r="C15" s="324"/>
      <c r="D15" s="320"/>
      <c r="E15" s="320">
        <f t="shared" si="0"/>
        <v>12655</v>
      </c>
      <c r="F15" s="326"/>
      <c r="G15" s="321">
        <f t="shared" si="1"/>
        <v>0</v>
      </c>
      <c r="H15" s="321">
        <f t="shared" si="2"/>
        <v>12655</v>
      </c>
      <c r="I15" s="322"/>
    </row>
    <row r="16" spans="1:9" s="308" customFormat="1" ht="12.75" customHeight="1" x14ac:dyDescent="0.25">
      <c r="A16" s="317"/>
      <c r="B16" s="318"/>
      <c r="C16" s="324"/>
      <c r="D16" s="320"/>
      <c r="E16" s="320">
        <f t="shared" si="0"/>
        <v>12655</v>
      </c>
      <c r="F16" s="326"/>
      <c r="G16" s="321">
        <f t="shared" si="1"/>
        <v>0</v>
      </c>
      <c r="H16" s="321">
        <f t="shared" si="2"/>
        <v>12655</v>
      </c>
      <c r="I16" s="322"/>
    </row>
    <row r="17" spans="1:9" s="308" customFormat="1" ht="12.75" customHeight="1" x14ac:dyDescent="0.25">
      <c r="A17" s="317"/>
      <c r="B17" s="318"/>
      <c r="C17" s="324"/>
      <c r="D17" s="320"/>
      <c r="E17" s="320">
        <f t="shared" si="0"/>
        <v>12655</v>
      </c>
      <c r="F17" s="326"/>
      <c r="G17" s="321">
        <f t="shared" si="1"/>
        <v>0</v>
      </c>
      <c r="H17" s="321">
        <f t="shared" si="2"/>
        <v>12655</v>
      </c>
      <c r="I17" s="322"/>
    </row>
    <row r="18" spans="1:9" s="308" customFormat="1" ht="12.75" customHeight="1" x14ac:dyDescent="0.25">
      <c r="A18" s="317"/>
      <c r="B18" s="318"/>
      <c r="C18" s="324"/>
      <c r="D18" s="320"/>
      <c r="E18" s="320">
        <f t="shared" si="0"/>
        <v>12655</v>
      </c>
      <c r="F18" s="326"/>
      <c r="G18" s="321">
        <f t="shared" si="1"/>
        <v>0</v>
      </c>
      <c r="H18" s="321">
        <f t="shared" si="2"/>
        <v>12655</v>
      </c>
      <c r="I18" s="322"/>
    </row>
    <row r="19" spans="1:9" s="308" customFormat="1" ht="12.75" customHeight="1" x14ac:dyDescent="0.25">
      <c r="A19" s="317"/>
      <c r="B19" s="318"/>
      <c r="C19" s="324"/>
      <c r="D19" s="320"/>
      <c r="E19" s="320">
        <f t="shared" si="0"/>
        <v>12655</v>
      </c>
      <c r="F19" s="321"/>
      <c r="G19" s="321">
        <f t="shared" si="1"/>
        <v>0</v>
      </c>
      <c r="H19" s="321">
        <f t="shared" si="2"/>
        <v>12655</v>
      </c>
      <c r="I19" s="322"/>
    </row>
    <row r="20" spans="1:9" s="308" customFormat="1" ht="12.75" customHeight="1" x14ac:dyDescent="0.25">
      <c r="A20" s="317"/>
      <c r="B20" s="318"/>
      <c r="C20" s="324"/>
      <c r="D20" s="320"/>
      <c r="E20" s="320">
        <f t="shared" si="0"/>
        <v>12655</v>
      </c>
      <c r="F20" s="321"/>
      <c r="G20" s="321">
        <f t="shared" si="1"/>
        <v>0</v>
      </c>
      <c r="H20" s="321">
        <f t="shared" si="2"/>
        <v>12655</v>
      </c>
      <c r="I20" s="322"/>
    </row>
    <row r="21" spans="1:9" s="308" customFormat="1" ht="12.75" customHeight="1" x14ac:dyDescent="0.25">
      <c r="A21" s="317"/>
      <c r="B21" s="318"/>
      <c r="C21" s="327"/>
      <c r="D21" s="320"/>
      <c r="E21" s="320">
        <f t="shared" si="0"/>
        <v>12655</v>
      </c>
      <c r="F21" s="321"/>
      <c r="G21" s="321">
        <f t="shared" si="1"/>
        <v>0</v>
      </c>
      <c r="H21" s="321">
        <f t="shared" si="2"/>
        <v>12655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12655</v>
      </c>
      <c r="E23" s="184"/>
      <c r="F23" s="184">
        <f>SUM(F9:F22)</f>
        <v>0</v>
      </c>
      <c r="G23" s="184"/>
      <c r="H23" s="184">
        <f>D23-F23</f>
        <v>12655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448</v>
      </c>
      <c r="D26" s="321">
        <v>1790</v>
      </c>
      <c r="E26" s="321"/>
      <c r="F26" s="321"/>
      <c r="G26" s="321"/>
      <c r="H26" s="321">
        <f>D26-F26</f>
        <v>1790</v>
      </c>
      <c r="I26" s="322"/>
    </row>
    <row r="27" spans="1:9" s="308" customFormat="1" ht="12.75" customHeight="1" x14ac:dyDescent="0.25">
      <c r="A27" s="317"/>
      <c r="B27" s="324"/>
      <c r="C27" s="328" t="s">
        <v>619</v>
      </c>
      <c r="D27" s="321">
        <v>10865</v>
      </c>
      <c r="E27" s="185"/>
      <c r="F27" s="185"/>
      <c r="G27" s="185"/>
      <c r="H27" s="321">
        <f>D27-F27</f>
        <v>10865</v>
      </c>
      <c r="I27" s="322"/>
    </row>
    <row r="28" spans="1:9" s="308" customFormat="1" ht="12.75" customHeight="1" thickBot="1" x14ac:dyDescent="0.3">
      <c r="A28" s="317"/>
      <c r="B28" s="324"/>
      <c r="C28" s="359" t="s">
        <v>157</v>
      </c>
      <c r="D28" s="360">
        <f>SUM(D25:D27)</f>
        <v>12655</v>
      </c>
      <c r="E28" s="326"/>
      <c r="F28" s="360">
        <f>SUM(F25:F27)</f>
        <v>0</v>
      </c>
      <c r="G28" s="326"/>
      <c r="H28" s="360">
        <f>SUM(H25:H27)</f>
        <v>12655</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sheetData>
  <conditionalFormatting sqref="I9:I25">
    <cfRule type="cellIs" dxfId="30"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714B2-A607-4093-A847-D0B326385831}">
  <sheetPr>
    <pageSetUpPr fitToPage="1"/>
  </sheetPr>
  <dimension ref="A1:I140"/>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#9239.04'!B1</f>
        <v>DOC-NCF-IPI Homes for Iowa Facility Project Phase II Fencing</v>
      </c>
      <c r="B1" s="86"/>
      <c r="C1" s="6"/>
      <c r="D1" s="6"/>
      <c r="E1" s="6"/>
      <c r="F1" s="132"/>
      <c r="G1" s="132"/>
      <c r="H1" s="133"/>
      <c r="I1" s="133"/>
    </row>
    <row r="2" spans="1:9" ht="15.75" x14ac:dyDescent="0.25">
      <c r="A2" s="88" t="str">
        <f>'RECAP #9239.04'!B2</f>
        <v>Project # 9239.04</v>
      </c>
      <c r="B2" s="87"/>
      <c r="C2" s="6"/>
      <c r="D2" s="6"/>
      <c r="E2" s="6"/>
      <c r="F2" s="132"/>
      <c r="G2" s="132"/>
      <c r="H2" s="133"/>
      <c r="I2" s="133"/>
    </row>
    <row r="3" spans="1:9" ht="15.75" x14ac:dyDescent="0.25">
      <c r="A3" s="89" t="str">
        <f>'RECAP #9239.04'!B3</f>
        <v>Program code 923904</v>
      </c>
      <c r="B3" s="87"/>
      <c r="C3" s="6"/>
      <c r="D3" s="90" t="str">
        <f>'RECAP #9239.04'!E3</f>
        <v>Major Program 4B01</v>
      </c>
      <c r="E3" s="6"/>
      <c r="F3" s="132"/>
      <c r="G3" s="132"/>
      <c r="H3" s="133"/>
      <c r="I3" s="133"/>
    </row>
    <row r="4" spans="1:9" ht="15.75" x14ac:dyDescent="0.25">
      <c r="A4" s="116" t="s">
        <v>237</v>
      </c>
      <c r="B4" s="134"/>
      <c r="C4" s="135"/>
      <c r="D4" s="136" t="s">
        <v>238</v>
      </c>
      <c r="E4" s="132"/>
      <c r="F4" s="132"/>
      <c r="G4" s="132"/>
      <c r="H4" s="133"/>
      <c r="I4" s="133"/>
    </row>
    <row r="5" spans="1:9" ht="15.75" x14ac:dyDescent="0.25">
      <c r="A5" s="137" t="s">
        <v>147</v>
      </c>
      <c r="B5" s="138"/>
      <c r="C5" s="139"/>
      <c r="D5" s="140" t="s">
        <v>239</v>
      </c>
      <c r="E5" s="141"/>
      <c r="F5" s="142"/>
      <c r="G5" s="142"/>
      <c r="H5" s="138"/>
      <c r="I5" s="133"/>
    </row>
    <row r="6" spans="1:9" ht="15.75" x14ac:dyDescent="0.25">
      <c r="A6" s="93" t="str">
        <f>'RECAP #9239.04'!B6</f>
        <v>Project Manager - Brad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768</v>
      </c>
      <c r="B9" s="318">
        <v>46162</v>
      </c>
      <c r="C9" s="324" t="s">
        <v>146</v>
      </c>
      <c r="D9" s="186">
        <v>24303.119999999999</v>
      </c>
      <c r="E9" s="320">
        <f>D9</f>
        <v>24303.119999999999</v>
      </c>
      <c r="F9" s="321"/>
      <c r="G9" s="321"/>
      <c r="H9" s="321">
        <f>E9</f>
        <v>24303.119999999999</v>
      </c>
      <c r="I9" s="322"/>
    </row>
    <row r="10" spans="1:9" s="308" customFormat="1" ht="12.75" customHeight="1" x14ac:dyDescent="0.25">
      <c r="A10" s="317" t="s">
        <v>981</v>
      </c>
      <c r="B10" s="323">
        <v>46210</v>
      </c>
      <c r="C10" s="324" t="s">
        <v>982</v>
      </c>
      <c r="D10" s="320"/>
      <c r="E10" s="320">
        <f t="shared" ref="E10:E21" si="0">E9+D10</f>
        <v>24303.119999999999</v>
      </c>
      <c r="F10" s="325">
        <v>6069.68</v>
      </c>
      <c r="G10" s="321">
        <f t="shared" ref="G10:G21" si="1">G9+F10</f>
        <v>6069.68</v>
      </c>
      <c r="H10" s="321">
        <f t="shared" ref="H10:H21" si="2">H9-F10+D10</f>
        <v>18233.439999999999</v>
      </c>
      <c r="I10" s="322"/>
    </row>
    <row r="11" spans="1:9" s="308" customFormat="1" ht="12.75" customHeight="1" x14ac:dyDescent="0.25">
      <c r="A11" s="317"/>
      <c r="B11" s="318"/>
      <c r="C11" s="324"/>
      <c r="D11" s="320"/>
      <c r="E11" s="320">
        <f t="shared" si="0"/>
        <v>24303.119999999999</v>
      </c>
      <c r="F11" s="326"/>
      <c r="G11" s="321">
        <f t="shared" si="1"/>
        <v>6069.68</v>
      </c>
      <c r="H11" s="321">
        <f t="shared" si="2"/>
        <v>18233.439999999999</v>
      </c>
      <c r="I11" s="322"/>
    </row>
    <row r="12" spans="1:9" s="308" customFormat="1" ht="12.75" customHeight="1" x14ac:dyDescent="0.25">
      <c r="A12" s="317"/>
      <c r="B12" s="318"/>
      <c r="C12" s="324"/>
      <c r="D12" s="320"/>
      <c r="E12" s="320">
        <f t="shared" si="0"/>
        <v>24303.119999999999</v>
      </c>
      <c r="F12" s="326"/>
      <c r="G12" s="321">
        <f t="shared" si="1"/>
        <v>6069.68</v>
      </c>
      <c r="H12" s="321">
        <f t="shared" si="2"/>
        <v>18233.439999999999</v>
      </c>
      <c r="I12" s="322"/>
    </row>
    <row r="13" spans="1:9" s="308" customFormat="1" ht="12.75" customHeight="1" x14ac:dyDescent="0.25">
      <c r="A13" s="317"/>
      <c r="B13" s="318"/>
      <c r="C13" s="324"/>
      <c r="D13" s="320"/>
      <c r="E13" s="320">
        <f t="shared" si="0"/>
        <v>24303.119999999999</v>
      </c>
      <c r="F13" s="326"/>
      <c r="G13" s="321">
        <f t="shared" si="1"/>
        <v>6069.68</v>
      </c>
      <c r="H13" s="321">
        <f t="shared" si="2"/>
        <v>18233.439999999999</v>
      </c>
      <c r="I13" s="322"/>
    </row>
    <row r="14" spans="1:9" s="308" customFormat="1" ht="12.75" customHeight="1" x14ac:dyDescent="0.25">
      <c r="A14" s="317"/>
      <c r="B14" s="318"/>
      <c r="C14" s="324"/>
      <c r="D14" s="320"/>
      <c r="E14" s="320">
        <f t="shared" si="0"/>
        <v>24303.119999999999</v>
      </c>
      <c r="F14" s="321"/>
      <c r="G14" s="321">
        <f t="shared" si="1"/>
        <v>6069.68</v>
      </c>
      <c r="H14" s="321">
        <f t="shared" si="2"/>
        <v>18233.439999999999</v>
      </c>
      <c r="I14" s="322"/>
    </row>
    <row r="15" spans="1:9" s="308" customFormat="1" ht="12.75" customHeight="1" x14ac:dyDescent="0.25">
      <c r="A15" s="317"/>
      <c r="B15" s="318"/>
      <c r="C15" s="324"/>
      <c r="D15" s="320"/>
      <c r="E15" s="320">
        <f t="shared" si="0"/>
        <v>24303.119999999999</v>
      </c>
      <c r="F15" s="326"/>
      <c r="G15" s="321">
        <f t="shared" si="1"/>
        <v>6069.68</v>
      </c>
      <c r="H15" s="321">
        <f t="shared" si="2"/>
        <v>18233.439999999999</v>
      </c>
      <c r="I15" s="322"/>
    </row>
    <row r="16" spans="1:9" s="308" customFormat="1" ht="12.75" customHeight="1" x14ac:dyDescent="0.25">
      <c r="A16" s="317"/>
      <c r="B16" s="318"/>
      <c r="C16" s="324"/>
      <c r="D16" s="320"/>
      <c r="E16" s="320">
        <f t="shared" si="0"/>
        <v>24303.119999999999</v>
      </c>
      <c r="F16" s="326"/>
      <c r="G16" s="321">
        <f t="shared" si="1"/>
        <v>6069.68</v>
      </c>
      <c r="H16" s="321">
        <f t="shared" si="2"/>
        <v>18233.439999999999</v>
      </c>
      <c r="I16" s="322"/>
    </row>
    <row r="17" spans="1:9" s="308" customFormat="1" ht="12.75" customHeight="1" x14ac:dyDescent="0.25">
      <c r="A17" s="317"/>
      <c r="B17" s="318"/>
      <c r="C17" s="324"/>
      <c r="D17" s="320"/>
      <c r="E17" s="320">
        <f t="shared" si="0"/>
        <v>24303.119999999999</v>
      </c>
      <c r="F17" s="326"/>
      <c r="G17" s="321">
        <f t="shared" si="1"/>
        <v>6069.68</v>
      </c>
      <c r="H17" s="321">
        <f t="shared" si="2"/>
        <v>18233.439999999999</v>
      </c>
      <c r="I17" s="322"/>
    </row>
    <row r="18" spans="1:9" s="308" customFormat="1" ht="12.75" customHeight="1" x14ac:dyDescent="0.25">
      <c r="A18" s="317"/>
      <c r="B18" s="318"/>
      <c r="C18" s="324"/>
      <c r="D18" s="320"/>
      <c r="E18" s="320">
        <f t="shared" si="0"/>
        <v>24303.119999999999</v>
      </c>
      <c r="F18" s="326"/>
      <c r="G18" s="321">
        <f t="shared" si="1"/>
        <v>6069.68</v>
      </c>
      <c r="H18" s="321">
        <f t="shared" si="2"/>
        <v>18233.439999999999</v>
      </c>
      <c r="I18" s="322"/>
    </row>
    <row r="19" spans="1:9" s="308" customFormat="1" ht="12.75" customHeight="1" x14ac:dyDescent="0.25">
      <c r="A19" s="317"/>
      <c r="B19" s="318"/>
      <c r="C19" s="324"/>
      <c r="D19" s="320"/>
      <c r="E19" s="320">
        <f t="shared" si="0"/>
        <v>24303.119999999999</v>
      </c>
      <c r="F19" s="321"/>
      <c r="G19" s="321">
        <f t="shared" si="1"/>
        <v>6069.68</v>
      </c>
      <c r="H19" s="321">
        <f t="shared" si="2"/>
        <v>18233.439999999999</v>
      </c>
      <c r="I19" s="322"/>
    </row>
    <row r="20" spans="1:9" s="308" customFormat="1" ht="12.75" customHeight="1" x14ac:dyDescent="0.25">
      <c r="A20" s="317"/>
      <c r="B20" s="318"/>
      <c r="C20" s="324"/>
      <c r="D20" s="320"/>
      <c r="E20" s="320">
        <f t="shared" si="0"/>
        <v>24303.119999999999</v>
      </c>
      <c r="F20" s="321"/>
      <c r="G20" s="321">
        <f t="shared" si="1"/>
        <v>6069.68</v>
      </c>
      <c r="H20" s="321">
        <f t="shared" si="2"/>
        <v>18233.439999999999</v>
      </c>
      <c r="I20" s="322"/>
    </row>
    <row r="21" spans="1:9" s="308" customFormat="1" ht="12.75" customHeight="1" x14ac:dyDescent="0.25">
      <c r="A21" s="317"/>
      <c r="B21" s="318"/>
      <c r="C21" s="327"/>
      <c r="D21" s="320"/>
      <c r="E21" s="320">
        <f t="shared" si="0"/>
        <v>24303.119999999999</v>
      </c>
      <c r="F21" s="321"/>
      <c r="G21" s="321">
        <f t="shared" si="1"/>
        <v>6069.68</v>
      </c>
      <c r="H21" s="321">
        <f t="shared" si="2"/>
        <v>18233.439999999999</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24303.119999999999</v>
      </c>
      <c r="E23" s="184"/>
      <c r="F23" s="184">
        <f>SUM(F9:F22)</f>
        <v>6069.68</v>
      </c>
      <c r="G23" s="184"/>
      <c r="H23" s="184">
        <f>D23-F23</f>
        <v>18233.439999999999</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24003.119999999999</v>
      </c>
      <c r="E26" s="321"/>
      <c r="F26" s="321">
        <f>6069.68</f>
        <v>6069.68</v>
      </c>
      <c r="G26" s="321"/>
      <c r="H26" s="321">
        <f>D26-F26</f>
        <v>17933.439999999999</v>
      </c>
      <c r="I26" s="322"/>
    </row>
    <row r="27" spans="1:9" s="308" customFormat="1" ht="12.75" customHeight="1" x14ac:dyDescent="0.25">
      <c r="A27" s="317"/>
      <c r="B27" s="324"/>
      <c r="C27" s="328" t="s">
        <v>253</v>
      </c>
      <c r="D27" s="321">
        <v>300</v>
      </c>
      <c r="E27" s="185"/>
      <c r="F27" s="185"/>
      <c r="G27" s="185"/>
      <c r="H27" s="321">
        <f>D27-F27</f>
        <v>300</v>
      </c>
      <c r="I27" s="322"/>
    </row>
    <row r="28" spans="1:9" s="308" customFormat="1" ht="12.75" customHeight="1" thickBot="1" x14ac:dyDescent="0.3">
      <c r="A28" s="317"/>
      <c r="B28" s="324"/>
      <c r="C28" s="359" t="s">
        <v>157</v>
      </c>
      <c r="D28" s="360">
        <f>SUM(D25:D27)</f>
        <v>24303.119999999999</v>
      </c>
      <c r="E28" s="326"/>
      <c r="F28" s="360">
        <f>SUM(F25:F27)</f>
        <v>6069.68</v>
      </c>
      <c r="G28" s="326"/>
      <c r="H28" s="360">
        <f>SUM(H25:H27)</f>
        <v>18233.439999999999</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sheetData>
  <conditionalFormatting sqref="I9:I25">
    <cfRule type="cellIs" dxfId="40"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1C58-35E3-4CAF-9A02-2BD0A4E894A0}">
  <sheetPr codeName="Sheet24">
    <tabColor rgb="FF0070C0"/>
    <pageSetUpPr fitToPage="1"/>
  </sheetPr>
  <dimension ref="A1:G22"/>
  <sheetViews>
    <sheetView zoomScaleNormal="100" workbookViewId="0">
      <selection activeCell="E5" sqref="E5:F5"/>
    </sheetView>
  </sheetViews>
  <sheetFormatPr defaultColWidth="11.42578125" defaultRowHeight="15" customHeight="1" x14ac:dyDescent="0.25"/>
  <cols>
    <col min="1" max="1" width="3.5703125" style="267" customWidth="1"/>
    <col min="2" max="2" width="25" style="267" customWidth="1"/>
    <col min="3" max="3" width="21.5703125" style="267" customWidth="1"/>
    <col min="4" max="4" width="17" style="267" customWidth="1"/>
    <col min="5" max="5" width="13.42578125" style="267" bestFit="1" customWidth="1"/>
    <col min="6" max="6" width="16.42578125" style="267" customWidth="1"/>
    <col min="7" max="7" width="16.42578125" style="267" bestFit="1" customWidth="1"/>
    <col min="8" max="256" width="11.42578125" style="267"/>
    <col min="257" max="263" width="11.42578125" style="267" customWidth="1"/>
    <col min="264" max="512" width="11.42578125" style="267"/>
    <col min="513" max="519" width="11.42578125" style="267" customWidth="1"/>
    <col min="520" max="768" width="11.42578125" style="267"/>
    <col min="769" max="775" width="11.42578125" style="267" customWidth="1"/>
    <col min="776" max="1024" width="11.42578125" style="267"/>
    <col min="1025" max="1031" width="11.42578125" style="267" customWidth="1"/>
    <col min="1032" max="1280" width="11.42578125" style="267"/>
    <col min="1281" max="1287" width="11.42578125" style="267" customWidth="1"/>
    <col min="1288" max="1536" width="11.42578125" style="267"/>
    <col min="1537" max="1543" width="11.42578125" style="267" customWidth="1"/>
    <col min="1544" max="1792" width="11.42578125" style="267"/>
    <col min="1793" max="1799" width="11.42578125" style="267" customWidth="1"/>
    <col min="1800" max="2048" width="11.42578125" style="267"/>
    <col min="2049" max="2055" width="11.42578125" style="267" customWidth="1"/>
    <col min="2056" max="2304" width="11.42578125" style="267"/>
    <col min="2305" max="2311" width="11.42578125" style="267" customWidth="1"/>
    <col min="2312" max="2560" width="11.42578125" style="267"/>
    <col min="2561" max="2567" width="11.42578125" style="267" customWidth="1"/>
    <col min="2568" max="2816" width="11.42578125" style="267"/>
    <col min="2817" max="2823" width="11.42578125" style="267" customWidth="1"/>
    <col min="2824" max="3072" width="11.42578125" style="267"/>
    <col min="3073" max="3079" width="11.42578125" style="267" customWidth="1"/>
    <col min="3080" max="3328" width="11.42578125" style="267"/>
    <col min="3329" max="3335" width="11.42578125" style="267" customWidth="1"/>
    <col min="3336" max="3584" width="11.42578125" style="267"/>
    <col min="3585" max="3591" width="11.42578125" style="267" customWidth="1"/>
    <col min="3592" max="3840" width="11.42578125" style="267"/>
    <col min="3841" max="3847" width="11.42578125" style="267" customWidth="1"/>
    <col min="3848" max="4096" width="11.42578125" style="267"/>
    <col min="4097" max="4103" width="11.42578125" style="267" customWidth="1"/>
    <col min="4104" max="4352" width="11.42578125" style="267"/>
    <col min="4353" max="4359" width="11.42578125" style="267" customWidth="1"/>
    <col min="4360" max="4608" width="11.42578125" style="267"/>
    <col min="4609" max="4615" width="11.42578125" style="267" customWidth="1"/>
    <col min="4616" max="4864" width="11.42578125" style="267"/>
    <col min="4865" max="4871" width="11.42578125" style="267" customWidth="1"/>
    <col min="4872" max="5120" width="11.42578125" style="267"/>
    <col min="5121" max="5127" width="11.42578125" style="267" customWidth="1"/>
    <col min="5128" max="5376" width="11.42578125" style="267"/>
    <col min="5377" max="5383" width="11.42578125" style="267" customWidth="1"/>
    <col min="5384" max="5632" width="11.42578125" style="267"/>
    <col min="5633" max="5639" width="11.42578125" style="267" customWidth="1"/>
    <col min="5640" max="5888" width="11.42578125" style="267"/>
    <col min="5889" max="5895" width="11.42578125" style="267" customWidth="1"/>
    <col min="5896" max="6144" width="11.42578125" style="267"/>
    <col min="6145" max="6151" width="11.42578125" style="267" customWidth="1"/>
    <col min="6152" max="6400" width="11.42578125" style="267"/>
    <col min="6401" max="6407" width="11.42578125" style="267" customWidth="1"/>
    <col min="6408" max="6656" width="11.42578125" style="267"/>
    <col min="6657" max="6663" width="11.42578125" style="267" customWidth="1"/>
    <col min="6664" max="6912" width="11.42578125" style="267"/>
    <col min="6913" max="6919" width="11.42578125" style="267" customWidth="1"/>
    <col min="6920" max="7168" width="11.42578125" style="267"/>
    <col min="7169" max="7175" width="11.42578125" style="267" customWidth="1"/>
    <col min="7176" max="7424" width="11.42578125" style="267"/>
    <col min="7425" max="7431" width="11.42578125" style="267" customWidth="1"/>
    <col min="7432" max="7680" width="11.42578125" style="267"/>
    <col min="7681" max="7687" width="11.42578125" style="267" customWidth="1"/>
    <col min="7688" max="7936" width="11.42578125" style="267"/>
    <col min="7937" max="7943" width="11.42578125" style="267" customWidth="1"/>
    <col min="7944" max="8192" width="11.42578125" style="267"/>
    <col min="8193" max="8199" width="11.42578125" style="267" customWidth="1"/>
    <col min="8200" max="8448" width="11.42578125" style="267"/>
    <col min="8449" max="8455" width="11.42578125" style="267" customWidth="1"/>
    <col min="8456" max="8704" width="11.42578125" style="267"/>
    <col min="8705" max="8711" width="11.42578125" style="267" customWidth="1"/>
    <col min="8712" max="8960" width="11.42578125" style="267"/>
    <col min="8961" max="8967" width="11.42578125" style="267" customWidth="1"/>
    <col min="8968" max="9216" width="11.42578125" style="267"/>
    <col min="9217" max="9223" width="11.42578125" style="267" customWidth="1"/>
    <col min="9224" max="9472" width="11.42578125" style="267"/>
    <col min="9473" max="9479" width="11.42578125" style="267" customWidth="1"/>
    <col min="9480" max="9728" width="11.42578125" style="267"/>
    <col min="9729" max="9735" width="11.42578125" style="267" customWidth="1"/>
    <col min="9736" max="9984" width="11.42578125" style="267"/>
    <col min="9985" max="9991" width="11.42578125" style="267" customWidth="1"/>
    <col min="9992" max="10240" width="11.42578125" style="267"/>
    <col min="10241" max="10247" width="11.42578125" style="267" customWidth="1"/>
    <col min="10248" max="10496" width="11.42578125" style="267"/>
    <col min="10497" max="10503" width="11.42578125" style="267" customWidth="1"/>
    <col min="10504" max="10752" width="11.42578125" style="267"/>
    <col min="10753" max="10759" width="11.42578125" style="267" customWidth="1"/>
    <col min="10760" max="11008" width="11.42578125" style="267"/>
    <col min="11009" max="11015" width="11.42578125" style="267" customWidth="1"/>
    <col min="11016" max="11264" width="11.42578125" style="267"/>
    <col min="11265" max="11271" width="11.42578125" style="267" customWidth="1"/>
    <col min="11272" max="11520" width="11.42578125" style="267"/>
    <col min="11521" max="11527" width="11.42578125" style="267" customWidth="1"/>
    <col min="11528" max="11776" width="11.42578125" style="267"/>
    <col min="11777" max="11783" width="11.42578125" style="267" customWidth="1"/>
    <col min="11784" max="12032" width="11.42578125" style="267"/>
    <col min="12033" max="12039" width="11.42578125" style="267" customWidth="1"/>
    <col min="12040" max="12288" width="11.42578125" style="267"/>
    <col min="12289" max="12295" width="11.42578125" style="267" customWidth="1"/>
    <col min="12296" max="12544" width="11.42578125" style="267"/>
    <col min="12545" max="12551" width="11.42578125" style="267" customWidth="1"/>
    <col min="12552" max="12800" width="11.42578125" style="267"/>
    <col min="12801" max="12807" width="11.42578125" style="267" customWidth="1"/>
    <col min="12808" max="13056" width="11.42578125" style="267"/>
    <col min="13057" max="13063" width="11.42578125" style="267" customWidth="1"/>
    <col min="13064" max="13312" width="11.42578125" style="267"/>
    <col min="13313" max="13319" width="11.42578125" style="267" customWidth="1"/>
    <col min="13320" max="13568" width="11.42578125" style="267"/>
    <col min="13569" max="13575" width="11.42578125" style="267" customWidth="1"/>
    <col min="13576" max="13824" width="11.42578125" style="267"/>
    <col min="13825" max="13831" width="11.42578125" style="267" customWidth="1"/>
    <col min="13832" max="14080" width="11.42578125" style="267"/>
    <col min="14081" max="14087" width="11.42578125" style="267" customWidth="1"/>
    <col min="14088" max="14336" width="11.42578125" style="267"/>
    <col min="14337" max="14343" width="11.42578125" style="267" customWidth="1"/>
    <col min="14344" max="14592" width="11.42578125" style="267"/>
    <col min="14593" max="14599" width="11.42578125" style="267" customWidth="1"/>
    <col min="14600" max="14848" width="11.42578125" style="267"/>
    <col min="14849" max="14855" width="11.42578125" style="267" customWidth="1"/>
    <col min="14856" max="15104" width="11.42578125" style="267"/>
    <col min="15105" max="15111" width="11.42578125" style="267" customWidth="1"/>
    <col min="15112" max="15360" width="11.42578125" style="267"/>
    <col min="15361" max="15367" width="11.42578125" style="267" customWidth="1"/>
    <col min="15368" max="15616" width="11.42578125" style="267"/>
    <col min="15617" max="15623" width="11.42578125" style="267" customWidth="1"/>
    <col min="15624" max="15872" width="11.42578125" style="267"/>
    <col min="15873" max="15879" width="11.42578125" style="267" customWidth="1"/>
    <col min="15880" max="16128" width="11.42578125" style="267"/>
    <col min="16129" max="16135" width="11.42578125" style="267" customWidth="1"/>
    <col min="16136" max="16384" width="11.42578125" style="267"/>
  </cols>
  <sheetData>
    <row r="1" spans="1:7" ht="15.75" x14ac:dyDescent="0.25">
      <c r="A1" s="234"/>
      <c r="B1" s="116" t="s">
        <v>810</v>
      </c>
      <c r="C1" s="116"/>
      <c r="D1" s="193"/>
      <c r="E1" s="193"/>
      <c r="F1" s="193"/>
      <c r="G1" s="193"/>
    </row>
    <row r="2" spans="1:7" ht="15.75" x14ac:dyDescent="0.25">
      <c r="A2" s="234"/>
      <c r="B2" s="134" t="s">
        <v>68</v>
      </c>
      <c r="C2" s="196"/>
      <c r="D2" s="193"/>
      <c r="E2" s="193"/>
      <c r="F2" s="193"/>
      <c r="G2" s="193"/>
    </row>
    <row r="3" spans="1:7" ht="15.75" x14ac:dyDescent="0.25">
      <c r="A3" s="234"/>
      <c r="B3" s="197" t="s">
        <v>69</v>
      </c>
      <c r="C3" s="196"/>
      <c r="D3" s="193"/>
      <c r="E3" s="198" t="s">
        <v>71</v>
      </c>
      <c r="F3" s="193"/>
      <c r="G3" s="193"/>
    </row>
    <row r="4" spans="1:7" ht="15.75" x14ac:dyDescent="0.25">
      <c r="A4" s="234"/>
      <c r="B4" s="194" t="s">
        <v>36</v>
      </c>
      <c r="C4" s="235" t="s">
        <v>3</v>
      </c>
      <c r="D4" s="193"/>
      <c r="E4" s="193"/>
      <c r="F4" s="193"/>
      <c r="G4" s="193"/>
    </row>
    <row r="5" spans="1:7" ht="15.75" x14ac:dyDescent="0.25">
      <c r="A5" s="234"/>
      <c r="B5" s="134" t="s">
        <v>63</v>
      </c>
      <c r="C5" s="196"/>
      <c r="D5" s="193"/>
      <c r="E5" s="237" t="s">
        <v>1053</v>
      </c>
      <c r="F5" s="489">
        <v>46182</v>
      </c>
      <c r="G5" s="193"/>
    </row>
    <row r="6" spans="1:7" ht="15.75" x14ac:dyDescent="0.25">
      <c r="A6" s="234"/>
      <c r="B6" s="134" t="s">
        <v>70</v>
      </c>
      <c r="C6" s="236"/>
      <c r="D6" s="237" t="s">
        <v>3</v>
      </c>
      <c r="E6" s="193"/>
      <c r="F6" s="193"/>
      <c r="G6" s="193"/>
    </row>
    <row r="7" spans="1:7" ht="34.5" customHeight="1" thickBot="1" x14ac:dyDescent="0.3">
      <c r="A7" s="234"/>
      <c r="B7" s="238" t="s">
        <v>3</v>
      </c>
      <c r="C7" s="239" t="s">
        <v>0</v>
      </c>
      <c r="D7" s="240" t="s">
        <v>1</v>
      </c>
      <c r="E7" s="241" t="s">
        <v>2</v>
      </c>
      <c r="F7" s="242" t="s">
        <v>37</v>
      </c>
      <c r="G7" s="242" t="s">
        <v>38</v>
      </c>
    </row>
    <row r="8" spans="1:7" ht="28.35" customHeight="1" x14ac:dyDescent="0.25">
      <c r="A8" s="234"/>
      <c r="B8" s="196" t="s">
        <v>39</v>
      </c>
      <c r="C8" s="243">
        <f>'#9480.01 Funds Rec''d '!H24</f>
        <v>242065.68</v>
      </c>
      <c r="D8" s="244"/>
      <c r="E8" s="244"/>
      <c r="F8" s="244"/>
      <c r="G8" s="245"/>
    </row>
    <row r="9" spans="1:7" s="389" customFormat="1" ht="12.75" customHeight="1" x14ac:dyDescent="0.25">
      <c r="A9" s="381"/>
      <c r="B9" s="426"/>
      <c r="C9" s="427"/>
      <c r="D9" s="428"/>
      <c r="E9" s="428"/>
      <c r="F9" s="428"/>
      <c r="G9" s="429"/>
    </row>
    <row r="10" spans="1:7" s="389" customFormat="1" ht="12.75" customHeight="1" x14ac:dyDescent="0.25">
      <c r="A10" s="381" t="s">
        <v>325</v>
      </c>
      <c r="B10" s="426" t="s">
        <v>160</v>
      </c>
      <c r="C10" s="427"/>
      <c r="D10" s="430">
        <f>'#9480.01 TB Rigid Edge Exterior'!D23</f>
        <v>96143.6</v>
      </c>
      <c r="E10" s="430">
        <f>'#9480.01 TB Rigid Edge Exterior'!F23</f>
        <v>96143.6</v>
      </c>
      <c r="F10" s="430">
        <f>'#9480.01 TB Rigid Edge Exterior'!H23</f>
        <v>0</v>
      </c>
      <c r="G10" s="429"/>
    </row>
    <row r="11" spans="1:7" s="389" customFormat="1" ht="12.75" customHeight="1" x14ac:dyDescent="0.25">
      <c r="A11" s="381" t="s">
        <v>325</v>
      </c>
      <c r="B11" s="426" t="s">
        <v>41</v>
      </c>
      <c r="C11" s="427"/>
      <c r="D11" s="430">
        <f>'#9480.01 PM TIME '!E31</f>
        <v>10005.969999999999</v>
      </c>
      <c r="E11" s="430">
        <f>'#9480.01 PM TIME '!G31</f>
        <v>10005.970000000003</v>
      </c>
      <c r="F11" s="430">
        <f>'#9480.01 PM TIME '!I31</f>
        <v>0</v>
      </c>
      <c r="G11" s="429"/>
    </row>
    <row r="12" spans="1:7" s="389" customFormat="1" ht="12.75" customHeight="1" x14ac:dyDescent="0.25">
      <c r="A12" s="381" t="s">
        <v>325</v>
      </c>
      <c r="B12" s="426" t="s">
        <v>42</v>
      </c>
      <c r="C12" s="428"/>
      <c r="D12" s="431">
        <f>'#9480.01 Misc '!G22</f>
        <v>0</v>
      </c>
      <c r="E12" s="431">
        <f>'#9480.01 Misc '!G22</f>
        <v>0</v>
      </c>
      <c r="F12" s="430">
        <f>D12-E12</f>
        <v>0</v>
      </c>
      <c r="G12" s="429"/>
    </row>
    <row r="13" spans="1:7" s="389" customFormat="1" ht="12.75" customHeight="1" x14ac:dyDescent="0.25">
      <c r="A13" s="381" t="s">
        <v>325</v>
      </c>
      <c r="B13" s="426" t="s">
        <v>181</v>
      </c>
      <c r="C13" s="428"/>
      <c r="D13" s="431">
        <f>'#9480.01 Genesis Architectural'!D23</f>
        <v>16700</v>
      </c>
      <c r="E13" s="431">
        <f>'#9480.01 Genesis Architectural'!F23</f>
        <v>16700</v>
      </c>
      <c r="F13" s="430">
        <f>'#9480.01 Genesis Architectural'!H23</f>
        <v>0</v>
      </c>
      <c r="G13" s="429"/>
    </row>
    <row r="14" spans="1:7" s="389" customFormat="1" ht="12.75" customHeight="1" x14ac:dyDescent="0.25">
      <c r="A14" s="381" t="s">
        <v>325</v>
      </c>
      <c r="B14" s="426" t="s">
        <v>141</v>
      </c>
      <c r="C14" s="428"/>
      <c r="D14" s="431">
        <f>'#9480.01 McGough Construction'!D23</f>
        <v>30122</v>
      </c>
      <c r="E14" s="431">
        <f>'#9480.01 McGough Construction'!F23</f>
        <v>30122.000000000004</v>
      </c>
      <c r="F14" s="430">
        <f>'#9480.01 McGough Construction'!H23</f>
        <v>0</v>
      </c>
      <c r="G14" s="429"/>
    </row>
    <row r="15" spans="1:7" s="389" customFormat="1" ht="12.75" customHeight="1" x14ac:dyDescent="0.25">
      <c r="A15" s="381" t="s">
        <v>325</v>
      </c>
      <c r="B15" s="426" t="s">
        <v>242</v>
      </c>
      <c r="C15" s="428"/>
      <c r="D15" s="431">
        <f>'#9480.01 Hilsabeck Schacht'!D23</f>
        <v>29700</v>
      </c>
      <c r="E15" s="431">
        <f>'#9480.01 Hilsabeck Schacht'!F23</f>
        <v>29700</v>
      </c>
      <c r="F15" s="430">
        <f>'#9480.01 Hilsabeck Schacht'!H23</f>
        <v>0</v>
      </c>
      <c r="G15" s="429"/>
    </row>
    <row r="16" spans="1:7" s="389" customFormat="1" ht="12.75" customHeight="1" x14ac:dyDescent="0.25">
      <c r="A16" s="381" t="s">
        <v>325</v>
      </c>
      <c r="B16" s="426" t="s">
        <v>245</v>
      </c>
      <c r="C16" s="428"/>
      <c r="D16" s="431">
        <f>'#9480.01 MTS Contracting'!D23</f>
        <v>3518.1099999999997</v>
      </c>
      <c r="E16" s="431">
        <f>'#9480.01 MTS Contracting'!F23</f>
        <v>3518.11</v>
      </c>
      <c r="F16" s="430">
        <f>'#9480.01 MTS Contracting'!H23</f>
        <v>0</v>
      </c>
      <c r="G16" s="429"/>
    </row>
    <row r="17" spans="1:7" s="389" customFormat="1" ht="12.75" customHeight="1" x14ac:dyDescent="0.25">
      <c r="A17" s="381" t="s">
        <v>325</v>
      </c>
      <c r="B17" s="426" t="s">
        <v>256</v>
      </c>
      <c r="C17" s="428"/>
      <c r="D17" s="431">
        <f>'#9480.01 Kinzler Construction'!D23</f>
        <v>55876</v>
      </c>
      <c r="E17" s="431">
        <f>'#9480.01 Kinzler Construction'!F23</f>
        <v>55876</v>
      </c>
      <c r="F17" s="430">
        <f>'#9480.01 Kinzler Construction'!H23</f>
        <v>0</v>
      </c>
      <c r="G17" s="429"/>
    </row>
    <row r="18" spans="1:7" s="389" customFormat="1" ht="12.75" customHeight="1" x14ac:dyDescent="0.25">
      <c r="A18" s="381"/>
      <c r="B18" s="426"/>
      <c r="C18" s="428"/>
      <c r="D18" s="431"/>
      <c r="E18" s="431"/>
      <c r="F18" s="430"/>
      <c r="G18" s="429"/>
    </row>
    <row r="19" spans="1:7" ht="24" customHeight="1" thickBot="1" x14ac:dyDescent="0.3">
      <c r="A19" s="249"/>
      <c r="B19" s="250" t="s">
        <v>43</v>
      </c>
      <c r="C19" s="251">
        <f>SUM(C8:C18)</f>
        <v>242065.68</v>
      </c>
      <c r="D19" s="251">
        <f>SUM(D8:D18)</f>
        <v>242065.68</v>
      </c>
      <c r="E19" s="251">
        <f>SUM(E8:E18)</f>
        <v>242065.68</v>
      </c>
      <c r="F19" s="251">
        <f>SUM(D19-E19)</f>
        <v>0</v>
      </c>
      <c r="G19" s="251">
        <f>C8-D19</f>
        <v>0</v>
      </c>
    </row>
    <row r="20" spans="1:7" ht="15" customHeight="1" thickTop="1" x14ac:dyDescent="0.25"/>
    <row r="22" spans="1:7" ht="15" customHeight="1" x14ac:dyDescent="0.25">
      <c r="B22" s="425"/>
    </row>
  </sheetData>
  <pageMargins left="0.25" right="0.25" top="0.85" bottom="0.75" header="0.08" footer="0.3"/>
  <pageSetup scale="89" orientation="portrait" r:id="rId1"/>
  <headerFooter alignWithMargins="0">
    <oddHeader>&amp;CDepartment of Administrative Services
MOU Project Improvements DA26
&amp;A
&amp;D</oddHeader>
    <oddFooter>&amp;LAcct Code 0506-335-DA26&amp;C&amp;Z&amp;F
&amp;R&amp;P/&amp;N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B059-6302-403F-945D-F264D9302CD4}">
  <sheetPr codeName="Sheet25">
    <tabColor rgb="FF0070C0"/>
    <pageSetUpPr fitToPage="1"/>
  </sheetPr>
  <dimension ref="A1:H25"/>
  <sheetViews>
    <sheetView zoomScaleNormal="100" workbookViewId="0">
      <selection activeCell="L22" sqref="L22"/>
    </sheetView>
  </sheetViews>
  <sheetFormatPr defaultRowHeight="15" customHeight="1" x14ac:dyDescent="0.25"/>
  <cols>
    <col min="1" max="1" width="15.5703125" style="267" customWidth="1"/>
    <col min="2" max="2" width="20.5703125" style="267" customWidth="1"/>
    <col min="3" max="3" width="12.42578125" style="267" bestFit="1" customWidth="1"/>
    <col min="4" max="4" width="29.5703125" style="267" customWidth="1"/>
    <col min="5" max="5" width="25.42578125" style="267" customWidth="1"/>
    <col min="6" max="6" width="10.42578125" style="267" bestFit="1" customWidth="1"/>
    <col min="7" max="8" width="12.42578125" style="267" bestFit="1" customWidth="1"/>
    <col min="9" max="11" width="9.140625" style="267" customWidth="1"/>
    <col min="12" max="256" width="9.140625" style="267"/>
    <col min="257" max="267" width="9.140625" style="267" customWidth="1"/>
    <col min="268" max="512" width="9.140625" style="267"/>
    <col min="513" max="523" width="9.140625" style="267" customWidth="1"/>
    <col min="524" max="768" width="9.140625" style="267"/>
    <col min="769" max="779" width="9.140625" style="267" customWidth="1"/>
    <col min="780" max="1024" width="9.140625" style="267"/>
    <col min="1025" max="1035" width="9.140625" style="267" customWidth="1"/>
    <col min="1036" max="1280" width="9.140625" style="267"/>
    <col min="1281" max="1291" width="9.140625" style="267" customWidth="1"/>
    <col min="1292" max="1536" width="9.140625" style="267"/>
    <col min="1537" max="1547" width="9.140625" style="267" customWidth="1"/>
    <col min="1548" max="1792" width="9.140625" style="267"/>
    <col min="1793" max="1803" width="9.140625" style="267" customWidth="1"/>
    <col min="1804" max="2048" width="9.140625" style="267"/>
    <col min="2049" max="2059" width="9.140625" style="267" customWidth="1"/>
    <col min="2060" max="2304" width="9.140625" style="267"/>
    <col min="2305" max="2315" width="9.140625" style="267" customWidth="1"/>
    <col min="2316" max="2560" width="9.140625" style="267"/>
    <col min="2561" max="2571" width="9.140625" style="267" customWidth="1"/>
    <col min="2572" max="2816" width="9.140625" style="267"/>
    <col min="2817" max="2827" width="9.140625" style="267" customWidth="1"/>
    <col min="2828" max="3072" width="9.140625" style="267"/>
    <col min="3073" max="3083" width="9.140625" style="267" customWidth="1"/>
    <col min="3084" max="3328" width="9.140625" style="267"/>
    <col min="3329" max="3339" width="9.140625" style="267" customWidth="1"/>
    <col min="3340" max="3584" width="9.140625" style="267"/>
    <col min="3585" max="3595" width="9.140625" style="267" customWidth="1"/>
    <col min="3596" max="3840" width="9.140625" style="267"/>
    <col min="3841" max="3851" width="9.140625" style="267" customWidth="1"/>
    <col min="3852" max="4096" width="9.140625" style="267"/>
    <col min="4097" max="4107" width="9.140625" style="267" customWidth="1"/>
    <col min="4108" max="4352" width="9.140625" style="267"/>
    <col min="4353" max="4363" width="9.140625" style="267" customWidth="1"/>
    <col min="4364" max="4608" width="9.140625" style="267"/>
    <col min="4609" max="4619" width="9.140625" style="267" customWidth="1"/>
    <col min="4620" max="4864" width="9.140625" style="267"/>
    <col min="4865" max="4875" width="9.140625" style="267" customWidth="1"/>
    <col min="4876" max="5120" width="9.140625" style="267"/>
    <col min="5121" max="5131" width="9.140625" style="267" customWidth="1"/>
    <col min="5132" max="5376" width="9.140625" style="267"/>
    <col min="5377" max="5387" width="9.140625" style="267" customWidth="1"/>
    <col min="5388" max="5632" width="9.140625" style="267"/>
    <col min="5633" max="5643" width="9.140625" style="267" customWidth="1"/>
    <col min="5644" max="5888" width="9.140625" style="267"/>
    <col min="5889" max="5899" width="9.140625" style="267" customWidth="1"/>
    <col min="5900" max="6144" width="9.140625" style="267"/>
    <col min="6145" max="6155" width="9.140625" style="267" customWidth="1"/>
    <col min="6156" max="6400" width="9.140625" style="267"/>
    <col min="6401" max="6411" width="9.140625" style="267" customWidth="1"/>
    <col min="6412" max="6656" width="9.140625" style="267"/>
    <col min="6657" max="6667" width="9.140625" style="267" customWidth="1"/>
    <col min="6668" max="6912" width="9.140625" style="267"/>
    <col min="6913" max="6923" width="9.140625" style="267" customWidth="1"/>
    <col min="6924" max="7168" width="9.140625" style="267"/>
    <col min="7169" max="7179" width="9.140625" style="267" customWidth="1"/>
    <col min="7180" max="7424" width="9.140625" style="267"/>
    <col min="7425" max="7435" width="9.140625" style="267" customWidth="1"/>
    <col min="7436" max="7680" width="9.140625" style="267"/>
    <col min="7681" max="7691" width="9.140625" style="267" customWidth="1"/>
    <col min="7692" max="7936" width="9.140625" style="267"/>
    <col min="7937" max="7947" width="9.140625" style="267" customWidth="1"/>
    <col min="7948" max="8192" width="9.140625" style="267"/>
    <col min="8193" max="8203" width="9.140625" style="267" customWidth="1"/>
    <col min="8204" max="8448" width="9.140625" style="267"/>
    <col min="8449" max="8459" width="9.140625" style="267" customWidth="1"/>
    <col min="8460" max="8704" width="9.140625" style="267"/>
    <col min="8705" max="8715" width="9.140625" style="267" customWidth="1"/>
    <col min="8716" max="8960" width="9.140625" style="267"/>
    <col min="8961" max="8971" width="9.140625" style="267" customWidth="1"/>
    <col min="8972" max="9216" width="9.140625" style="267"/>
    <col min="9217" max="9227" width="9.140625" style="267" customWidth="1"/>
    <col min="9228" max="9472" width="9.140625" style="267"/>
    <col min="9473" max="9483" width="9.140625" style="267" customWidth="1"/>
    <col min="9484" max="9728" width="9.140625" style="267"/>
    <col min="9729" max="9739" width="9.140625" style="267" customWidth="1"/>
    <col min="9740" max="9984" width="9.140625" style="267"/>
    <col min="9985" max="9995" width="9.140625" style="267" customWidth="1"/>
    <col min="9996" max="10240" width="9.140625" style="267"/>
    <col min="10241" max="10251" width="9.140625" style="267" customWidth="1"/>
    <col min="10252" max="10496" width="9.140625" style="267"/>
    <col min="10497" max="10507" width="9.140625" style="267" customWidth="1"/>
    <col min="10508" max="10752" width="9.140625" style="267"/>
    <col min="10753" max="10763" width="9.140625" style="267" customWidth="1"/>
    <col min="10764" max="11008" width="9.140625" style="267"/>
    <col min="11009" max="11019" width="9.140625" style="267" customWidth="1"/>
    <col min="11020" max="11264" width="9.140625" style="267"/>
    <col min="11265" max="11275" width="9.140625" style="267" customWidth="1"/>
    <col min="11276" max="11520" width="9.140625" style="267"/>
    <col min="11521" max="11531" width="9.140625" style="267" customWidth="1"/>
    <col min="11532" max="11776" width="9.140625" style="267"/>
    <col min="11777" max="11787" width="9.140625" style="267" customWidth="1"/>
    <col min="11788" max="12032" width="9.140625" style="267"/>
    <col min="12033" max="12043" width="9.140625" style="267" customWidth="1"/>
    <col min="12044" max="12288" width="9.140625" style="267"/>
    <col min="12289" max="12299" width="9.140625" style="267" customWidth="1"/>
    <col min="12300" max="12544" width="9.140625" style="267"/>
    <col min="12545" max="12555" width="9.140625" style="267" customWidth="1"/>
    <col min="12556" max="12800" width="9.140625" style="267"/>
    <col min="12801" max="12811" width="9.140625" style="267" customWidth="1"/>
    <col min="12812" max="13056" width="9.140625" style="267"/>
    <col min="13057" max="13067" width="9.140625" style="267" customWidth="1"/>
    <col min="13068" max="13312" width="9.140625" style="267"/>
    <col min="13313" max="13323" width="9.140625" style="267" customWidth="1"/>
    <col min="13324" max="13568" width="9.140625" style="267"/>
    <col min="13569" max="13579" width="9.140625" style="267" customWidth="1"/>
    <col min="13580" max="13824" width="9.140625" style="267"/>
    <col min="13825" max="13835" width="9.140625" style="267" customWidth="1"/>
    <col min="13836" max="14080" width="9.140625" style="267"/>
    <col min="14081" max="14091" width="9.140625" style="267" customWidth="1"/>
    <col min="14092" max="14336" width="9.140625" style="267"/>
    <col min="14337" max="14347" width="9.140625" style="267" customWidth="1"/>
    <col min="14348" max="14592" width="9.140625" style="267"/>
    <col min="14593" max="14603" width="9.140625" style="267" customWidth="1"/>
    <col min="14604" max="14848" width="9.140625" style="267"/>
    <col min="14849" max="14859" width="9.140625" style="267" customWidth="1"/>
    <col min="14860" max="15104" width="9.140625" style="267"/>
    <col min="15105" max="15115" width="9.140625" style="267" customWidth="1"/>
    <col min="15116" max="15360" width="9.140625" style="267"/>
    <col min="15361" max="15371" width="9.140625" style="267" customWidth="1"/>
    <col min="15372" max="15616" width="9.140625" style="267"/>
    <col min="15617" max="15627" width="9.140625" style="267" customWidth="1"/>
    <col min="15628" max="15872" width="9.140625" style="267"/>
    <col min="15873" max="15883" width="9.140625" style="267" customWidth="1"/>
    <col min="15884" max="16128" width="9.140625" style="267"/>
    <col min="16129" max="16139" width="9.140625" style="267" customWidth="1"/>
    <col min="16140" max="16384" width="9.140625" style="267"/>
  </cols>
  <sheetData>
    <row r="1" spans="1:8" x14ac:dyDescent="0.25">
      <c r="A1" s="253" t="str">
        <f>'RECAP #9480.01'!B1</f>
        <v>HHS STS Canteen Roof Repair Construction (29C20)</v>
      </c>
      <c r="B1" s="254"/>
      <c r="C1" s="255"/>
      <c r="D1" s="256"/>
      <c r="E1" s="256"/>
      <c r="F1" s="254"/>
      <c r="G1" s="254"/>
      <c r="H1" s="254"/>
    </row>
    <row r="2" spans="1:8" x14ac:dyDescent="0.25">
      <c r="A2" s="257" t="str">
        <f>'RECAP #9480.01'!B2</f>
        <v>Project # 9480.01</v>
      </c>
      <c r="B2" s="254"/>
      <c r="C2" s="258" t="s">
        <v>3</v>
      </c>
      <c r="D2" s="259"/>
      <c r="E2" s="259"/>
      <c r="F2" s="254"/>
      <c r="G2" s="254"/>
      <c r="H2" s="254"/>
    </row>
    <row r="3" spans="1:8" x14ac:dyDescent="0.25">
      <c r="A3" s="260" t="str">
        <f>'RECAP #9480.01'!B3</f>
        <v>Program code 948001</v>
      </c>
      <c r="B3" s="254"/>
      <c r="C3" s="258" t="s">
        <v>3</v>
      </c>
      <c r="D3" s="261" t="str">
        <f>'RECAP #9480.01'!E3</f>
        <v>Major Program 3D02</v>
      </c>
      <c r="E3" s="256"/>
      <c r="F3" s="254"/>
      <c r="G3" s="254"/>
      <c r="H3" s="254"/>
    </row>
    <row r="4" spans="1:8" ht="15.75" x14ac:dyDescent="0.25">
      <c r="A4" s="116" t="s">
        <v>44</v>
      </c>
      <c r="B4" s="262" t="s">
        <v>3</v>
      </c>
      <c r="C4" s="256"/>
      <c r="D4" s="256"/>
      <c r="E4" s="256"/>
      <c r="F4" s="254"/>
      <c r="G4" s="254"/>
      <c r="H4" s="254"/>
    </row>
    <row r="5" spans="1:8" x14ac:dyDescent="0.25">
      <c r="A5" s="249" t="s">
        <v>122</v>
      </c>
      <c r="B5" s="263"/>
      <c r="C5" s="264"/>
      <c r="D5" s="217"/>
      <c r="E5" s="254"/>
      <c r="F5" s="254"/>
      <c r="G5" s="254"/>
      <c r="H5" s="254"/>
    </row>
    <row r="6" spans="1:8" x14ac:dyDescent="0.25">
      <c r="A6" s="265" t="str">
        <f>'RECAP #9480.01'!B6</f>
        <v>Project Manager - Jennifer K.</v>
      </c>
      <c r="B6" s="263"/>
      <c r="C6" s="266"/>
      <c r="D6" s="217"/>
      <c r="E6" s="263"/>
      <c r="F6" s="217"/>
      <c r="G6" s="266"/>
      <c r="H6" s="266"/>
    </row>
    <row r="7" spans="1:8" ht="18" x14ac:dyDescent="0.25">
      <c r="A7" s="265"/>
      <c r="B7" s="268"/>
      <c r="C7" s="269"/>
      <c r="D7" s="268"/>
      <c r="E7" s="268"/>
      <c r="F7" s="270"/>
      <c r="G7" s="269"/>
      <c r="H7" s="269"/>
    </row>
    <row r="8" spans="1:8" ht="50.85" customHeight="1" thickBot="1" x14ac:dyDescent="0.3">
      <c r="A8" s="271" t="s">
        <v>4</v>
      </c>
      <c r="B8" s="272" t="s">
        <v>45</v>
      </c>
      <c r="C8" s="273" t="s">
        <v>5</v>
      </c>
      <c r="D8" s="271" t="s">
        <v>6</v>
      </c>
      <c r="E8" s="272" t="s">
        <v>46</v>
      </c>
      <c r="F8" s="274" t="s">
        <v>7</v>
      </c>
      <c r="G8" s="273" t="s">
        <v>5</v>
      </c>
      <c r="H8" s="275" t="s">
        <v>8</v>
      </c>
    </row>
    <row r="9" spans="1:8" s="389" customFormat="1" ht="12.75" customHeight="1" x14ac:dyDescent="0.25">
      <c r="A9" s="442"/>
      <c r="B9" s="441"/>
      <c r="C9" s="443"/>
      <c r="D9" s="444" t="s">
        <v>96</v>
      </c>
      <c r="E9" s="444" t="s">
        <v>132</v>
      </c>
      <c r="F9" s="445">
        <v>45875</v>
      </c>
      <c r="G9" s="421">
        <v>230000</v>
      </c>
      <c r="H9" s="421">
        <v>230000</v>
      </c>
    </row>
    <row r="10" spans="1:8" s="389" customFormat="1" ht="12.75" customHeight="1" x14ac:dyDescent="0.25">
      <c r="A10" s="442"/>
      <c r="B10" s="442"/>
      <c r="C10" s="446"/>
      <c r="D10" s="444" t="s">
        <v>266</v>
      </c>
      <c r="E10" s="442" t="s">
        <v>265</v>
      </c>
      <c r="F10" s="442">
        <v>45932</v>
      </c>
      <c r="G10" s="490">
        <v>35000</v>
      </c>
      <c r="H10" s="490">
        <v>35000</v>
      </c>
    </row>
    <row r="11" spans="1:8" s="389" customFormat="1" ht="12.75" customHeight="1" x14ac:dyDescent="0.25">
      <c r="A11" s="448"/>
      <c r="B11" s="446"/>
      <c r="C11" s="449"/>
      <c r="D11" s="444" t="s">
        <v>849</v>
      </c>
      <c r="E11" s="442" t="s">
        <v>850</v>
      </c>
      <c r="F11" s="442">
        <v>46182</v>
      </c>
      <c r="G11" s="491">
        <v>-22934.32</v>
      </c>
      <c r="H11" s="491">
        <v>-22934.32</v>
      </c>
    </row>
    <row r="12" spans="1:8" s="389" customFormat="1" ht="12.75" customHeight="1" x14ac:dyDescent="0.25">
      <c r="A12" s="448"/>
      <c r="B12" s="446"/>
      <c r="C12" s="452"/>
      <c r="D12" s="444"/>
      <c r="F12" s="442"/>
      <c r="G12" s="450"/>
      <c r="H12" s="451"/>
    </row>
    <row r="13" spans="1:8" s="389" customFormat="1" ht="12.75" customHeight="1" x14ac:dyDescent="0.25">
      <c r="A13" s="390"/>
      <c r="B13" s="453"/>
      <c r="C13" s="452"/>
      <c r="D13" s="444"/>
      <c r="F13" s="442"/>
      <c r="G13" s="454"/>
      <c r="H13" s="451"/>
    </row>
    <row r="14" spans="1:8" s="389" customFormat="1" ht="12.75" customHeight="1" x14ac:dyDescent="0.25">
      <c r="A14" s="448"/>
      <c r="B14" s="455"/>
      <c r="C14" s="452"/>
      <c r="D14" s="446"/>
      <c r="E14" s="455"/>
      <c r="F14" s="442"/>
      <c r="G14" s="450"/>
      <c r="H14" s="451"/>
    </row>
    <row r="15" spans="1:8" s="389" customFormat="1" ht="12.75" customHeight="1" x14ac:dyDescent="0.25">
      <c r="A15" s="448"/>
      <c r="B15" s="455"/>
      <c r="C15" s="456"/>
      <c r="D15" s="457"/>
      <c r="E15" s="453"/>
      <c r="F15" s="458"/>
      <c r="G15" s="459"/>
      <c r="H15" s="459"/>
    </row>
    <row r="16" spans="1:8" s="389" customFormat="1" ht="12.75" customHeight="1" x14ac:dyDescent="0.25">
      <c r="A16" s="448"/>
      <c r="B16" s="455"/>
      <c r="C16" s="456" t="s">
        <v>3</v>
      </c>
      <c r="D16" s="457"/>
      <c r="E16" s="455"/>
      <c r="F16" s="458"/>
      <c r="G16" s="459"/>
      <c r="H16" s="459"/>
    </row>
    <row r="17" spans="1:8" s="389" customFormat="1" ht="12.75" customHeight="1" x14ac:dyDescent="0.25">
      <c r="A17" s="448"/>
      <c r="B17" s="455"/>
      <c r="C17" s="456"/>
      <c r="D17" s="457"/>
      <c r="E17" s="455"/>
      <c r="F17" s="458"/>
      <c r="G17" s="460"/>
      <c r="H17" s="456"/>
    </row>
    <row r="18" spans="1:8" s="389" customFormat="1" ht="12.75" customHeight="1" x14ac:dyDescent="0.25">
      <c r="A18" s="448"/>
      <c r="B18" s="461"/>
      <c r="C18" s="456"/>
      <c r="D18" s="457"/>
      <c r="E18" s="455"/>
      <c r="F18" s="458"/>
      <c r="G18" s="459"/>
      <c r="H18" s="459"/>
    </row>
    <row r="19" spans="1:8" s="389" customFormat="1" ht="12.75" customHeight="1" x14ac:dyDescent="0.25">
      <c r="A19" s="448"/>
      <c r="B19" s="455"/>
      <c r="C19" s="456"/>
      <c r="D19" s="457"/>
      <c r="E19" s="455"/>
      <c r="F19" s="458"/>
      <c r="G19" s="459"/>
      <c r="H19" s="459"/>
    </row>
    <row r="20" spans="1:8" s="389" customFormat="1" ht="12.75" customHeight="1" x14ac:dyDescent="0.25">
      <c r="A20" s="448"/>
      <c r="B20" s="455"/>
      <c r="C20" s="456"/>
      <c r="D20" s="457"/>
      <c r="E20" s="455"/>
      <c r="F20" s="458"/>
      <c r="G20" s="460"/>
      <c r="H20" s="456"/>
    </row>
    <row r="21" spans="1:8" s="389" customFormat="1" ht="12.75" customHeight="1" x14ac:dyDescent="0.25">
      <c r="A21" s="448"/>
      <c r="B21" s="455"/>
      <c r="C21" s="456"/>
      <c r="D21" s="457"/>
      <c r="E21" s="455"/>
      <c r="F21" s="458"/>
      <c r="G21" s="460"/>
      <c r="H21" s="456"/>
    </row>
    <row r="22" spans="1:8" s="389" customFormat="1" ht="12.75" customHeight="1" x14ac:dyDescent="0.25">
      <c r="A22" s="448"/>
      <c r="B22" s="455"/>
      <c r="C22" s="456"/>
      <c r="D22" s="457"/>
      <c r="E22" s="455"/>
      <c r="F22" s="448"/>
      <c r="G22" s="459"/>
      <c r="H22" s="459"/>
    </row>
    <row r="23" spans="1:8" s="389" customFormat="1" ht="12.75" customHeight="1" x14ac:dyDescent="0.25">
      <c r="A23" s="448"/>
      <c r="B23" s="455"/>
      <c r="C23" s="456"/>
      <c r="D23" s="457"/>
      <c r="E23" s="455"/>
      <c r="F23" s="448"/>
      <c r="G23" s="459"/>
      <c r="H23" s="459"/>
    </row>
    <row r="24" spans="1:8" ht="15.75" thickBot="1" x14ac:dyDescent="0.3">
      <c r="A24" s="294"/>
      <c r="B24" s="295" t="s">
        <v>9</v>
      </c>
      <c r="C24" s="296">
        <f>SUM(C9:C23)</f>
        <v>0</v>
      </c>
      <c r="D24" s="297" t="s">
        <v>10</v>
      </c>
      <c r="E24" s="298"/>
      <c r="F24" s="299"/>
      <c r="G24" s="221">
        <f>SUM(G9:G23)</f>
        <v>242065.68</v>
      </c>
      <c r="H24" s="221">
        <f>SUM(H9:H23)</f>
        <v>242065.68</v>
      </c>
    </row>
    <row r="25" spans="1:8" ht="15" customHeight="1" thickTop="1" x14ac:dyDescent="0.25"/>
  </sheetData>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DFFE2-1524-49A5-B2FF-0C83BD48F746}">
  <sheetPr codeName="Sheet26">
    <tabColor rgb="FF0070C0"/>
    <pageSetUpPr fitToPage="1"/>
  </sheetPr>
  <dimension ref="A1:I50"/>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9" width="12.85546875"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195"/>
    </row>
    <row r="2" spans="1:9" ht="15.75" x14ac:dyDescent="0.25">
      <c r="A2" s="134" t="str">
        <f>'RECAP #9480.01'!B2</f>
        <v>Project # 9480.01</v>
      </c>
      <c r="B2" s="196"/>
      <c r="C2" s="193"/>
      <c r="D2" s="193"/>
      <c r="E2" s="193"/>
      <c r="F2" s="194"/>
      <c r="G2" s="194"/>
      <c r="H2" s="195"/>
      <c r="I2" s="195"/>
    </row>
    <row r="3" spans="1:9" ht="15.75" x14ac:dyDescent="0.25">
      <c r="A3" s="197" t="str">
        <f>'RECAP #9480.01'!B3</f>
        <v>Program code 948001</v>
      </c>
      <c r="B3" s="196"/>
      <c r="C3" s="193"/>
      <c r="D3" s="198" t="str">
        <f>'RECAP #9480.01'!E3</f>
        <v>Major Program 3D02</v>
      </c>
      <c r="E3" s="193"/>
      <c r="F3" s="194"/>
      <c r="G3" s="194"/>
      <c r="H3" s="195"/>
      <c r="I3" s="195"/>
    </row>
    <row r="4" spans="1:9" ht="15.75" x14ac:dyDescent="0.25">
      <c r="A4" s="116" t="s">
        <v>160</v>
      </c>
      <c r="B4" s="134"/>
      <c r="C4" s="195"/>
      <c r="D4" s="199" t="s">
        <v>161</v>
      </c>
      <c r="E4" s="194"/>
      <c r="F4" s="194"/>
      <c r="G4" s="194"/>
      <c r="H4" s="195"/>
      <c r="I4" s="195"/>
    </row>
    <row r="5" spans="1:9" ht="15.75" x14ac:dyDescent="0.25">
      <c r="A5" s="200" t="s">
        <v>147</v>
      </c>
      <c r="B5" s="195"/>
      <c r="C5" s="201"/>
      <c r="D5" s="140" t="s">
        <v>162</v>
      </c>
      <c r="E5" s="145"/>
      <c r="F5" s="194"/>
      <c r="G5" s="194"/>
      <c r="H5" s="195"/>
      <c r="I5" s="195"/>
    </row>
    <row r="6" spans="1:9" ht="15.75" x14ac:dyDescent="0.25">
      <c r="A6" s="134" t="str">
        <f>'RECAP #9480.01'!B6</f>
        <v>Project Manager - Jennifer K.</v>
      </c>
      <c r="B6" s="134"/>
      <c r="C6" s="202"/>
      <c r="D6" s="300" t="s">
        <v>156</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2" t="s">
        <v>297</v>
      </c>
    </row>
    <row r="9" spans="1:9" s="389" customFormat="1" ht="12.75" customHeight="1" x14ac:dyDescent="0.25">
      <c r="A9" s="382" t="s">
        <v>163</v>
      </c>
      <c r="B9" s="383">
        <v>45887</v>
      </c>
      <c r="C9" s="391" t="s">
        <v>164</v>
      </c>
      <c r="D9" s="419">
        <v>70820.240000000005</v>
      </c>
      <c r="E9" s="386">
        <f>D9</f>
        <v>70820.240000000005</v>
      </c>
      <c r="F9" s="387"/>
      <c r="G9" s="387"/>
      <c r="H9" s="387">
        <f>E9</f>
        <v>70820.240000000005</v>
      </c>
      <c r="I9" s="388"/>
    </row>
    <row r="10" spans="1:9" s="389" customFormat="1" ht="12.75" customHeight="1" x14ac:dyDescent="0.25">
      <c r="A10" s="382" t="s">
        <v>163</v>
      </c>
      <c r="B10" s="390">
        <v>45916</v>
      </c>
      <c r="C10" s="391" t="s">
        <v>212</v>
      </c>
      <c r="D10" s="419">
        <v>4076.18</v>
      </c>
      <c r="E10" s="386">
        <f t="shared" ref="E10:E21" si="0">E9+D10</f>
        <v>74896.42</v>
      </c>
      <c r="F10" s="392"/>
      <c r="G10" s="387">
        <f t="shared" ref="G10:G21" si="1">G9+F10</f>
        <v>0</v>
      </c>
      <c r="H10" s="387">
        <f t="shared" ref="H10:H21" si="2">H9-F10+D10</f>
        <v>74896.42</v>
      </c>
      <c r="I10" s="388"/>
    </row>
    <row r="11" spans="1:9" s="389" customFormat="1" ht="12.75" customHeight="1" x14ac:dyDescent="0.25">
      <c r="A11" s="382" t="s">
        <v>163</v>
      </c>
      <c r="B11" s="383">
        <v>45951</v>
      </c>
      <c r="C11" s="391" t="s">
        <v>287</v>
      </c>
      <c r="D11" s="419">
        <v>23398.77</v>
      </c>
      <c r="E11" s="386">
        <f t="shared" si="0"/>
        <v>98295.19</v>
      </c>
      <c r="F11" s="392"/>
      <c r="G11" s="387">
        <f t="shared" si="1"/>
        <v>0</v>
      </c>
      <c r="H11" s="387">
        <f t="shared" si="2"/>
        <v>98295.19</v>
      </c>
      <c r="I11" s="388"/>
    </row>
    <row r="12" spans="1:9" s="389" customFormat="1" ht="12.75" customHeight="1" x14ac:dyDescent="0.25">
      <c r="A12" s="382" t="s">
        <v>163</v>
      </c>
      <c r="B12" s="383">
        <v>46014</v>
      </c>
      <c r="C12" s="391" t="s">
        <v>394</v>
      </c>
      <c r="D12" s="419">
        <v>540</v>
      </c>
      <c r="E12" s="386">
        <f t="shared" si="0"/>
        <v>98835.19</v>
      </c>
      <c r="F12" s="392"/>
      <c r="G12" s="387">
        <f t="shared" si="1"/>
        <v>0</v>
      </c>
      <c r="H12" s="387">
        <f t="shared" si="2"/>
        <v>98835.19</v>
      </c>
      <c r="I12" s="388"/>
    </row>
    <row r="13" spans="1:9" s="389" customFormat="1" ht="12.75" customHeight="1" x14ac:dyDescent="0.25">
      <c r="A13" s="382" t="s">
        <v>439</v>
      </c>
      <c r="B13" s="383">
        <v>46043</v>
      </c>
      <c r="C13" s="391" t="s">
        <v>440</v>
      </c>
      <c r="D13" s="386"/>
      <c r="E13" s="386">
        <f t="shared" si="0"/>
        <v>98835.19</v>
      </c>
      <c r="F13" s="392">
        <v>72339.73</v>
      </c>
      <c r="G13" s="387">
        <f t="shared" si="1"/>
        <v>72339.73</v>
      </c>
      <c r="H13" s="387">
        <f t="shared" si="2"/>
        <v>26495.460000000006</v>
      </c>
      <c r="I13" s="392">
        <v>2237.3200000000002</v>
      </c>
    </row>
    <row r="14" spans="1:9" s="389" customFormat="1" ht="12.75" customHeight="1" x14ac:dyDescent="0.25">
      <c r="A14" s="382" t="s">
        <v>163</v>
      </c>
      <c r="B14" s="383">
        <v>46090</v>
      </c>
      <c r="C14" s="391" t="s">
        <v>544</v>
      </c>
      <c r="D14" s="385">
        <v>-2691.59</v>
      </c>
      <c r="E14" s="386">
        <f t="shared" si="0"/>
        <v>96143.6</v>
      </c>
      <c r="F14" s="387"/>
      <c r="G14" s="387">
        <f t="shared" si="1"/>
        <v>72339.73</v>
      </c>
      <c r="H14" s="387">
        <f t="shared" si="2"/>
        <v>23803.870000000006</v>
      </c>
      <c r="I14" s="392"/>
    </row>
    <row r="15" spans="1:9" s="389" customFormat="1" ht="12.75" customHeight="1" x14ac:dyDescent="0.25">
      <c r="A15" s="382" t="s">
        <v>600</v>
      </c>
      <c r="B15" s="383">
        <v>46108</v>
      </c>
      <c r="C15" s="391" t="s">
        <v>601</v>
      </c>
      <c r="D15" s="386"/>
      <c r="E15" s="386">
        <f t="shared" si="0"/>
        <v>96143.6</v>
      </c>
      <c r="F15" s="392">
        <v>19949.55</v>
      </c>
      <c r="G15" s="387">
        <f t="shared" si="1"/>
        <v>92289.279999999999</v>
      </c>
      <c r="H15" s="387">
        <f t="shared" si="2"/>
        <v>3854.320000000007</v>
      </c>
      <c r="I15" s="392">
        <f>I13+617</f>
        <v>2854.32</v>
      </c>
    </row>
    <row r="16" spans="1:9" s="389" customFormat="1" ht="12.75" customHeight="1" x14ac:dyDescent="0.25">
      <c r="A16" s="382" t="s">
        <v>723</v>
      </c>
      <c r="B16" s="383">
        <v>46146</v>
      </c>
      <c r="C16" s="391" t="s">
        <v>724</v>
      </c>
      <c r="D16" s="386"/>
      <c r="E16" s="386">
        <f t="shared" si="0"/>
        <v>96143.6</v>
      </c>
      <c r="F16" s="392">
        <v>970</v>
      </c>
      <c r="G16" s="387">
        <f t="shared" si="1"/>
        <v>93259.28</v>
      </c>
      <c r="H16" s="387">
        <f t="shared" si="2"/>
        <v>2884.320000000007</v>
      </c>
      <c r="I16" s="392">
        <f>I15+30</f>
        <v>2884.32</v>
      </c>
    </row>
    <row r="17" spans="1:9" s="389" customFormat="1" ht="12.75" customHeight="1" x14ac:dyDescent="0.25">
      <c r="A17" s="382" t="s">
        <v>737</v>
      </c>
      <c r="B17" s="383">
        <v>46153</v>
      </c>
      <c r="C17" s="391" t="s">
        <v>738</v>
      </c>
      <c r="D17" s="386"/>
      <c r="E17" s="386">
        <f t="shared" si="0"/>
        <v>96143.6</v>
      </c>
      <c r="F17" s="392">
        <v>2884.32</v>
      </c>
      <c r="G17" s="387">
        <f t="shared" si="1"/>
        <v>96143.6</v>
      </c>
      <c r="H17" s="387">
        <f t="shared" si="2"/>
        <v>6.8212102632969618E-12</v>
      </c>
      <c r="I17" s="392"/>
    </row>
    <row r="18" spans="1:9" s="389" customFormat="1" ht="12.75" customHeight="1" x14ac:dyDescent="0.25">
      <c r="A18" s="382"/>
      <c r="B18" s="383"/>
      <c r="C18" s="391"/>
      <c r="D18" s="386"/>
      <c r="E18" s="386">
        <f t="shared" si="0"/>
        <v>96143.6</v>
      </c>
      <c r="F18" s="392"/>
      <c r="G18" s="387">
        <f t="shared" si="1"/>
        <v>96143.6</v>
      </c>
      <c r="H18" s="387">
        <f t="shared" si="2"/>
        <v>6.8212102632969618E-12</v>
      </c>
      <c r="I18" s="392"/>
    </row>
    <row r="19" spans="1:9" s="389" customFormat="1" ht="12.75" customHeight="1" x14ac:dyDescent="0.25">
      <c r="A19" s="382"/>
      <c r="B19" s="383"/>
      <c r="C19" s="391"/>
      <c r="D19" s="386"/>
      <c r="E19" s="386">
        <f t="shared" si="0"/>
        <v>96143.6</v>
      </c>
      <c r="F19" s="387"/>
      <c r="G19" s="387">
        <f t="shared" si="1"/>
        <v>96143.6</v>
      </c>
      <c r="H19" s="387">
        <f t="shared" si="2"/>
        <v>6.8212102632969618E-12</v>
      </c>
      <c r="I19" s="392"/>
    </row>
    <row r="20" spans="1:9" s="389" customFormat="1" ht="12.75" customHeight="1" x14ac:dyDescent="0.25">
      <c r="A20" s="382"/>
      <c r="B20" s="383"/>
      <c r="C20" s="391"/>
      <c r="D20" s="386"/>
      <c r="E20" s="386">
        <f t="shared" si="0"/>
        <v>96143.6</v>
      </c>
      <c r="F20" s="387"/>
      <c r="G20" s="387">
        <f t="shared" si="1"/>
        <v>96143.6</v>
      </c>
      <c r="H20" s="387">
        <f t="shared" si="2"/>
        <v>6.8212102632969618E-12</v>
      </c>
      <c r="I20" s="392"/>
    </row>
    <row r="21" spans="1:9" s="389" customFormat="1" ht="12.75" customHeight="1" x14ac:dyDescent="0.25">
      <c r="A21" s="382"/>
      <c r="B21" s="383"/>
      <c r="C21" s="393"/>
      <c r="D21" s="386"/>
      <c r="E21" s="386">
        <f t="shared" si="0"/>
        <v>96143.6</v>
      </c>
      <c r="F21" s="387"/>
      <c r="G21" s="387">
        <f t="shared" si="1"/>
        <v>96143.6</v>
      </c>
      <c r="H21" s="387">
        <f t="shared" si="2"/>
        <v>6.8212102632969618E-12</v>
      </c>
      <c r="I21" s="392"/>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96143.6</v>
      </c>
      <c r="E23" s="396"/>
      <c r="F23" s="396">
        <f>SUM(F9:F22)</f>
        <v>96143.6</v>
      </c>
      <c r="G23" s="396"/>
      <c r="H23" s="396">
        <f>D23-F23</f>
        <v>0</v>
      </c>
      <c r="I23" s="397" t="s">
        <v>341</v>
      </c>
    </row>
    <row r="24" spans="1:9" s="389" customFormat="1" ht="12.75" customHeight="1" thickTop="1" x14ac:dyDescent="0.25"/>
    <row r="25" spans="1:9" s="389" customFormat="1" ht="12.75" customHeight="1" x14ac:dyDescent="0.25"/>
    <row r="26" spans="1:9" s="389" customFormat="1" ht="12.75" customHeight="1" x14ac:dyDescent="0.25"/>
    <row r="27" spans="1:9" s="389" customFormat="1" ht="12.75" customHeight="1" x14ac:dyDescent="0.25">
      <c r="A27" s="389" t="s">
        <v>441</v>
      </c>
    </row>
    <row r="28" spans="1:9" s="389" customFormat="1" ht="12.75" customHeight="1" x14ac:dyDescent="0.25"/>
    <row r="29" spans="1:9" s="389" customFormat="1" ht="12.75" customHeight="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BC425-2A7D-46FE-8172-BA80109B8A72}">
  <sheetPr codeName="Sheet27">
    <tabColor rgb="FF0070C0"/>
    <pageSetUpPr fitToPage="1"/>
  </sheetPr>
  <dimension ref="A1:J37"/>
  <sheetViews>
    <sheetView topLeftCell="A2" zoomScaleNormal="100" workbookViewId="0">
      <selection activeCell="P26" sqref="P26"/>
    </sheetView>
  </sheetViews>
  <sheetFormatPr defaultColWidth="11.42578125" defaultRowHeight="15" customHeight="1" x14ac:dyDescent="0.25"/>
  <cols>
    <col min="1" max="1" width="24.5703125" style="267" customWidth="1"/>
    <col min="2" max="3" width="9.42578125" style="267" customWidth="1"/>
    <col min="4" max="4" width="38.28515625" style="267" customWidth="1"/>
    <col min="5" max="5" width="12.5703125" style="267" customWidth="1"/>
    <col min="6" max="6" width="13.5703125" style="267" customWidth="1"/>
    <col min="7" max="7" width="12.42578125" style="267" customWidth="1"/>
    <col min="8" max="8" width="10.5703125" style="267" customWidth="1"/>
    <col min="9" max="9" width="10.5703125" style="267" bestFit="1" customWidth="1"/>
    <col min="10" max="256" width="11.42578125" style="267"/>
    <col min="257" max="265" width="11.42578125" style="267" customWidth="1"/>
    <col min="266" max="512" width="11.42578125" style="267"/>
    <col min="513" max="521" width="11.42578125" style="267" customWidth="1"/>
    <col min="522" max="768" width="11.42578125" style="267"/>
    <col min="769" max="777" width="11.42578125" style="267" customWidth="1"/>
    <col min="778" max="1024" width="11.42578125" style="267"/>
    <col min="1025" max="1033" width="11.42578125" style="267" customWidth="1"/>
    <col min="1034" max="1280" width="11.42578125" style="267"/>
    <col min="1281" max="1289" width="11.42578125" style="267" customWidth="1"/>
    <col min="1290" max="1536" width="11.42578125" style="267"/>
    <col min="1537" max="1545" width="11.42578125" style="267" customWidth="1"/>
    <col min="1546" max="1792" width="11.42578125" style="267"/>
    <col min="1793" max="1801" width="11.42578125" style="267" customWidth="1"/>
    <col min="1802" max="2048" width="11.42578125" style="267"/>
    <col min="2049" max="2057" width="11.42578125" style="267" customWidth="1"/>
    <col min="2058" max="2304" width="11.42578125" style="267"/>
    <col min="2305" max="2313" width="11.42578125" style="267" customWidth="1"/>
    <col min="2314" max="2560" width="11.42578125" style="267"/>
    <col min="2561" max="2569" width="11.42578125" style="267" customWidth="1"/>
    <col min="2570" max="2816" width="11.42578125" style="267"/>
    <col min="2817" max="2825" width="11.42578125" style="267" customWidth="1"/>
    <col min="2826" max="3072" width="11.42578125" style="267"/>
    <col min="3073" max="3081" width="11.42578125" style="267" customWidth="1"/>
    <col min="3082" max="3328" width="11.42578125" style="267"/>
    <col min="3329" max="3337" width="11.42578125" style="267" customWidth="1"/>
    <col min="3338" max="3584" width="11.42578125" style="267"/>
    <col min="3585" max="3593" width="11.42578125" style="267" customWidth="1"/>
    <col min="3594" max="3840" width="11.42578125" style="267"/>
    <col min="3841" max="3849" width="11.42578125" style="267" customWidth="1"/>
    <col min="3850" max="4096" width="11.42578125" style="267"/>
    <col min="4097" max="4105" width="11.42578125" style="267" customWidth="1"/>
    <col min="4106" max="4352" width="11.42578125" style="267"/>
    <col min="4353" max="4361" width="11.42578125" style="267" customWidth="1"/>
    <col min="4362" max="4608" width="11.42578125" style="267"/>
    <col min="4609" max="4617" width="11.42578125" style="267" customWidth="1"/>
    <col min="4618" max="4864" width="11.42578125" style="267"/>
    <col min="4865" max="4873" width="11.42578125" style="267" customWidth="1"/>
    <col min="4874" max="5120" width="11.42578125" style="267"/>
    <col min="5121" max="5129" width="11.42578125" style="267" customWidth="1"/>
    <col min="5130" max="5376" width="11.42578125" style="267"/>
    <col min="5377" max="5385" width="11.42578125" style="267" customWidth="1"/>
    <col min="5386" max="5632" width="11.42578125" style="267"/>
    <col min="5633" max="5641" width="11.42578125" style="267" customWidth="1"/>
    <col min="5642" max="5888" width="11.42578125" style="267"/>
    <col min="5889" max="5897" width="11.42578125" style="267" customWidth="1"/>
    <col min="5898" max="6144" width="11.42578125" style="267"/>
    <col min="6145" max="6153" width="11.42578125" style="267" customWidth="1"/>
    <col min="6154" max="6400" width="11.42578125" style="267"/>
    <col min="6401" max="6409" width="11.42578125" style="267" customWidth="1"/>
    <col min="6410" max="6656" width="11.42578125" style="267"/>
    <col min="6657" max="6665" width="11.42578125" style="267" customWidth="1"/>
    <col min="6666" max="6912" width="11.42578125" style="267"/>
    <col min="6913" max="6921" width="11.42578125" style="267" customWidth="1"/>
    <col min="6922" max="7168" width="11.42578125" style="267"/>
    <col min="7169" max="7177" width="11.42578125" style="267" customWidth="1"/>
    <col min="7178" max="7424" width="11.42578125" style="267"/>
    <col min="7425" max="7433" width="11.42578125" style="267" customWidth="1"/>
    <col min="7434" max="7680" width="11.42578125" style="267"/>
    <col min="7681" max="7689" width="11.42578125" style="267" customWidth="1"/>
    <col min="7690" max="7936" width="11.42578125" style="267"/>
    <col min="7937" max="7945" width="11.42578125" style="267" customWidth="1"/>
    <col min="7946" max="8192" width="11.42578125" style="267"/>
    <col min="8193" max="8201" width="11.42578125" style="267" customWidth="1"/>
    <col min="8202" max="8448" width="11.42578125" style="267"/>
    <col min="8449" max="8457" width="11.42578125" style="267" customWidth="1"/>
    <col min="8458" max="8704" width="11.42578125" style="267"/>
    <col min="8705" max="8713" width="11.42578125" style="267" customWidth="1"/>
    <col min="8714" max="8960" width="11.42578125" style="267"/>
    <col min="8961" max="8969" width="11.42578125" style="267" customWidth="1"/>
    <col min="8970" max="9216" width="11.42578125" style="267"/>
    <col min="9217" max="9225" width="11.42578125" style="267" customWidth="1"/>
    <col min="9226" max="9472" width="11.42578125" style="267"/>
    <col min="9473" max="9481" width="11.42578125" style="267" customWidth="1"/>
    <col min="9482" max="9728" width="11.42578125" style="267"/>
    <col min="9729" max="9737" width="11.42578125" style="267" customWidth="1"/>
    <col min="9738" max="9984" width="11.42578125" style="267"/>
    <col min="9985" max="9993" width="11.42578125" style="267" customWidth="1"/>
    <col min="9994" max="10240" width="11.42578125" style="267"/>
    <col min="10241" max="10249" width="11.42578125" style="267" customWidth="1"/>
    <col min="10250" max="10496" width="11.42578125" style="267"/>
    <col min="10497" max="10505" width="11.42578125" style="267" customWidth="1"/>
    <col min="10506" max="10752" width="11.42578125" style="267"/>
    <col min="10753" max="10761" width="11.42578125" style="267" customWidth="1"/>
    <col min="10762" max="11008" width="11.42578125" style="267"/>
    <col min="11009" max="11017" width="11.42578125" style="267" customWidth="1"/>
    <col min="11018" max="11264" width="11.42578125" style="267"/>
    <col min="11265" max="11273" width="11.42578125" style="267" customWidth="1"/>
    <col min="11274" max="11520" width="11.42578125" style="267"/>
    <col min="11521" max="11529" width="11.42578125" style="267" customWidth="1"/>
    <col min="11530" max="11776" width="11.42578125" style="267"/>
    <col min="11777" max="11785" width="11.42578125" style="267" customWidth="1"/>
    <col min="11786" max="12032" width="11.42578125" style="267"/>
    <col min="12033" max="12041" width="11.42578125" style="267" customWidth="1"/>
    <col min="12042" max="12288" width="11.42578125" style="267"/>
    <col min="12289" max="12297" width="11.42578125" style="267" customWidth="1"/>
    <col min="12298" max="12544" width="11.42578125" style="267"/>
    <col min="12545" max="12553" width="11.42578125" style="267" customWidth="1"/>
    <col min="12554" max="12800" width="11.42578125" style="267"/>
    <col min="12801" max="12809" width="11.42578125" style="267" customWidth="1"/>
    <col min="12810" max="13056" width="11.42578125" style="267"/>
    <col min="13057" max="13065" width="11.42578125" style="267" customWidth="1"/>
    <col min="13066" max="13312" width="11.42578125" style="267"/>
    <col min="13313" max="13321" width="11.42578125" style="267" customWidth="1"/>
    <col min="13322" max="13568" width="11.42578125" style="267"/>
    <col min="13569" max="13577" width="11.42578125" style="267" customWidth="1"/>
    <col min="13578" max="13824" width="11.42578125" style="267"/>
    <col min="13825" max="13833" width="11.42578125" style="267" customWidth="1"/>
    <col min="13834" max="14080" width="11.42578125" style="267"/>
    <col min="14081" max="14089" width="11.42578125" style="267" customWidth="1"/>
    <col min="14090" max="14336" width="11.42578125" style="267"/>
    <col min="14337" max="14345" width="11.42578125" style="267" customWidth="1"/>
    <col min="14346" max="14592" width="11.42578125" style="267"/>
    <col min="14593" max="14601" width="11.42578125" style="267" customWidth="1"/>
    <col min="14602" max="14848" width="11.42578125" style="267"/>
    <col min="14849" max="14857" width="11.42578125" style="267" customWidth="1"/>
    <col min="14858" max="15104" width="11.42578125" style="267"/>
    <col min="15105" max="15113" width="11.42578125" style="267" customWidth="1"/>
    <col min="15114" max="15360" width="11.42578125" style="267"/>
    <col min="15361" max="15369" width="11.42578125" style="267" customWidth="1"/>
    <col min="15370" max="15616" width="11.42578125" style="267"/>
    <col min="15617" max="15625" width="11.42578125" style="267" customWidth="1"/>
    <col min="15626" max="15872" width="11.42578125" style="267"/>
    <col min="15873" max="15881" width="11.42578125" style="267" customWidth="1"/>
    <col min="15882" max="16128" width="11.42578125" style="267"/>
    <col min="16129" max="16137" width="11.42578125" style="267" customWidth="1"/>
    <col min="16138" max="16384" width="11.42578125" style="267"/>
  </cols>
  <sheetData>
    <row r="1" spans="1:10" ht="15.75" x14ac:dyDescent="0.25">
      <c r="A1" s="116" t="str">
        <f>'RECAP #9480.01'!B1</f>
        <v>HHS STS Canteen Roof Repair Construction (29C20)</v>
      </c>
      <c r="B1" s="116"/>
      <c r="C1" s="116"/>
      <c r="D1" s="193"/>
      <c r="E1" s="193"/>
      <c r="F1" s="193"/>
      <c r="G1" s="194"/>
      <c r="H1" s="194"/>
      <c r="I1" s="195"/>
      <c r="J1" s="195"/>
    </row>
    <row r="2" spans="1:10" ht="15.75" x14ac:dyDescent="0.25">
      <c r="A2" s="134" t="str">
        <f>'RECAP #9480.01'!B2</f>
        <v>Project # 9480.01</v>
      </c>
      <c r="B2" s="196"/>
      <c r="C2" s="196"/>
      <c r="D2" s="193"/>
      <c r="E2" s="193"/>
      <c r="F2" s="193"/>
      <c r="G2" s="194"/>
      <c r="H2" s="194"/>
      <c r="I2" s="195"/>
      <c r="J2" s="195"/>
    </row>
    <row r="3" spans="1:10" ht="15.75" x14ac:dyDescent="0.25">
      <c r="A3" s="197" t="str">
        <f>'RECAP #9480.01'!B3</f>
        <v>Program code 948001</v>
      </c>
      <c r="B3" s="196"/>
      <c r="C3" s="196"/>
      <c r="D3" s="193"/>
      <c r="E3" s="198" t="str">
        <f>'RECAP #9480.01'!E3</f>
        <v>Major Program 3D02</v>
      </c>
      <c r="F3" s="193"/>
      <c r="G3" s="194"/>
      <c r="H3" s="194"/>
      <c r="I3" s="195"/>
      <c r="J3" s="195"/>
    </row>
    <row r="4" spans="1:10" ht="15.75" x14ac:dyDescent="0.25">
      <c r="A4" s="116" t="s">
        <v>41</v>
      </c>
      <c r="B4" s="134"/>
      <c r="C4" s="134"/>
      <c r="D4" s="195"/>
      <c r="E4" s="199" t="s">
        <v>55</v>
      </c>
      <c r="F4" s="194"/>
      <c r="G4" s="194"/>
      <c r="H4" s="194"/>
      <c r="I4" s="195"/>
      <c r="J4" s="195"/>
    </row>
    <row r="5" spans="1:10" ht="15.75" x14ac:dyDescent="0.25">
      <c r="A5" s="200" t="s">
        <v>66</v>
      </c>
      <c r="B5" s="195"/>
      <c r="C5" s="195"/>
      <c r="D5" s="201"/>
      <c r="E5" s="140"/>
      <c r="F5" s="145"/>
      <c r="G5" s="194"/>
      <c r="H5" s="194"/>
      <c r="I5" s="195"/>
      <c r="J5" s="195"/>
    </row>
    <row r="6" spans="1:10" ht="15.75" x14ac:dyDescent="0.25">
      <c r="A6" s="134" t="str">
        <f>'RECAP #9480.01'!B6</f>
        <v>Project Manager - Jennifer K.</v>
      </c>
      <c r="B6" s="134"/>
      <c r="C6" s="134"/>
      <c r="D6" s="202"/>
      <c r="E6" s="140" t="s">
        <v>73</v>
      </c>
      <c r="F6" s="145"/>
      <c r="G6" s="146"/>
      <c r="H6" s="194"/>
      <c r="I6" s="195"/>
      <c r="J6" s="195"/>
    </row>
    <row r="7" spans="1:10" ht="15.75" x14ac:dyDescent="0.25">
      <c r="A7" s="195"/>
      <c r="B7" s="203"/>
      <c r="C7" s="203"/>
      <c r="D7" s="203"/>
      <c r="E7" s="146" t="s">
        <v>3</v>
      </c>
      <c r="F7" s="146"/>
      <c r="G7" s="146"/>
      <c r="H7" s="194"/>
      <c r="I7" s="195"/>
      <c r="J7" s="195" t="s">
        <v>3</v>
      </c>
    </row>
    <row r="8" spans="1:10" ht="32.25" thickBot="1" x14ac:dyDescent="0.3">
      <c r="A8" s="204" t="s">
        <v>49</v>
      </c>
      <c r="B8" s="205" t="s">
        <v>4</v>
      </c>
      <c r="C8" s="206" t="s">
        <v>56</v>
      </c>
      <c r="D8" s="207" t="s">
        <v>57</v>
      </c>
      <c r="E8" s="192" t="s">
        <v>50</v>
      </c>
      <c r="F8" s="192" t="s">
        <v>51</v>
      </c>
      <c r="G8" s="192" t="s">
        <v>52</v>
      </c>
      <c r="H8" s="192" t="s">
        <v>53</v>
      </c>
      <c r="I8" s="192" t="s">
        <v>12</v>
      </c>
      <c r="J8" s="195" t="s">
        <v>3</v>
      </c>
    </row>
    <row r="9" spans="1:10" s="389" customFormat="1" ht="12.75" customHeight="1" x14ac:dyDescent="0.25">
      <c r="A9" s="432"/>
      <c r="B9" s="383"/>
      <c r="C9" s="383"/>
      <c r="D9" s="372" t="s">
        <v>95</v>
      </c>
      <c r="E9" s="419">
        <f>4000+4000+2000+5.97</f>
        <v>10005.969999999999</v>
      </c>
      <c r="F9" s="386">
        <f>E9</f>
        <v>10005.969999999999</v>
      </c>
      <c r="G9" s="387"/>
      <c r="H9" s="387"/>
      <c r="I9" s="387">
        <f>F9</f>
        <v>10005.969999999999</v>
      </c>
      <c r="J9" s="388"/>
    </row>
    <row r="10" spans="1:10" s="389" customFormat="1" ht="12.75" customHeight="1" x14ac:dyDescent="0.25">
      <c r="A10" s="441" t="s">
        <v>219</v>
      </c>
      <c r="B10" s="383">
        <v>45918</v>
      </c>
      <c r="C10" s="474">
        <v>9500</v>
      </c>
      <c r="D10" s="372" t="s">
        <v>277</v>
      </c>
      <c r="E10" s="386"/>
      <c r="F10" s="386">
        <f t="shared" ref="F10:F29" si="0">F9+E10</f>
        <v>10005.969999999999</v>
      </c>
      <c r="G10" s="392">
        <v>1355.98</v>
      </c>
      <c r="H10" s="387">
        <f t="shared" ref="H10:H29" si="1">H9+G10</f>
        <v>1355.98</v>
      </c>
      <c r="I10" s="387">
        <f t="shared" ref="I10:I29" si="2">I9-G10+E10</f>
        <v>8649.99</v>
      </c>
      <c r="J10" s="388"/>
    </row>
    <row r="11" spans="1:10" s="389" customFormat="1" ht="12.75" customHeight="1" x14ac:dyDescent="0.25">
      <c r="A11" s="435" t="s">
        <v>273</v>
      </c>
      <c r="B11" s="383">
        <v>45937</v>
      </c>
      <c r="C11" s="474" t="s">
        <v>274</v>
      </c>
      <c r="D11" s="441" t="s">
        <v>275</v>
      </c>
      <c r="E11" s="386"/>
      <c r="F11" s="386">
        <f t="shared" si="0"/>
        <v>10005.969999999999</v>
      </c>
      <c r="G11" s="392">
        <v>527.07000000000005</v>
      </c>
      <c r="H11" s="387">
        <f t="shared" si="1"/>
        <v>1883.0500000000002</v>
      </c>
      <c r="I11" s="387">
        <f t="shared" si="2"/>
        <v>8122.92</v>
      </c>
      <c r="J11" s="388"/>
    </row>
    <row r="12" spans="1:10" s="389" customFormat="1" ht="12.75" customHeight="1" x14ac:dyDescent="0.25">
      <c r="A12" s="435" t="s">
        <v>273</v>
      </c>
      <c r="B12" s="383">
        <v>45937</v>
      </c>
      <c r="C12" s="474">
        <v>9500</v>
      </c>
      <c r="D12" s="441" t="s">
        <v>276</v>
      </c>
      <c r="E12" s="386"/>
      <c r="F12" s="386">
        <f t="shared" si="0"/>
        <v>10005.969999999999</v>
      </c>
      <c r="G12" s="392">
        <v>2712.3</v>
      </c>
      <c r="H12" s="387">
        <f t="shared" si="1"/>
        <v>4595.3500000000004</v>
      </c>
      <c r="I12" s="387">
        <f t="shared" si="2"/>
        <v>5410.62</v>
      </c>
      <c r="J12" s="388"/>
    </row>
    <row r="13" spans="1:10" s="389" customFormat="1" ht="12.75" customHeight="1" x14ac:dyDescent="0.25">
      <c r="A13" s="435" t="s">
        <v>320</v>
      </c>
      <c r="B13" s="383">
        <v>45968</v>
      </c>
      <c r="C13" s="474" t="s">
        <v>274</v>
      </c>
      <c r="D13" s="441" t="s">
        <v>323</v>
      </c>
      <c r="E13" s="386"/>
      <c r="F13" s="386">
        <f t="shared" si="0"/>
        <v>10005.969999999999</v>
      </c>
      <c r="G13" s="392">
        <v>113.05</v>
      </c>
      <c r="H13" s="387">
        <f t="shared" si="1"/>
        <v>4708.4000000000005</v>
      </c>
      <c r="I13" s="387">
        <f t="shared" si="2"/>
        <v>5297.57</v>
      </c>
      <c r="J13" s="388"/>
    </row>
    <row r="14" spans="1:10" s="389" customFormat="1" ht="12.75" customHeight="1" x14ac:dyDescent="0.25">
      <c r="A14" s="435" t="s">
        <v>320</v>
      </c>
      <c r="B14" s="383">
        <v>45968</v>
      </c>
      <c r="C14" s="474">
        <v>9500</v>
      </c>
      <c r="D14" s="441" t="s">
        <v>324</v>
      </c>
      <c r="E14" s="386"/>
      <c r="F14" s="386">
        <f t="shared" si="0"/>
        <v>10005.969999999999</v>
      </c>
      <c r="G14" s="392">
        <v>1116.8</v>
      </c>
      <c r="H14" s="387">
        <f t="shared" si="1"/>
        <v>5825.2000000000007</v>
      </c>
      <c r="I14" s="387">
        <f t="shared" si="2"/>
        <v>4180.7699999999995</v>
      </c>
      <c r="J14" s="388"/>
    </row>
    <row r="15" spans="1:10" s="389" customFormat="1" ht="12.75" customHeight="1" x14ac:dyDescent="0.2">
      <c r="A15" s="213" t="s">
        <v>383</v>
      </c>
      <c r="B15" s="209">
        <v>45996</v>
      </c>
      <c r="C15" s="211" t="s">
        <v>274</v>
      </c>
      <c r="D15" s="215" t="s">
        <v>384</v>
      </c>
      <c r="E15" s="386"/>
      <c r="F15" s="386">
        <f t="shared" si="0"/>
        <v>10005.969999999999</v>
      </c>
      <c r="G15" s="392">
        <v>187.5</v>
      </c>
      <c r="H15" s="387">
        <f t="shared" si="1"/>
        <v>6012.7000000000007</v>
      </c>
      <c r="I15" s="387">
        <f t="shared" si="2"/>
        <v>3993.2699999999995</v>
      </c>
      <c r="J15" s="388"/>
    </row>
    <row r="16" spans="1:10" s="389" customFormat="1" ht="12.75" customHeight="1" x14ac:dyDescent="0.2">
      <c r="A16" s="213" t="s">
        <v>383</v>
      </c>
      <c r="B16" s="209">
        <v>45996</v>
      </c>
      <c r="C16" s="440">
        <v>9500</v>
      </c>
      <c r="D16" s="215" t="s">
        <v>385</v>
      </c>
      <c r="E16" s="386"/>
      <c r="F16" s="386">
        <f t="shared" si="0"/>
        <v>10005.969999999999</v>
      </c>
      <c r="G16" s="392">
        <v>1193.7</v>
      </c>
      <c r="H16" s="387">
        <f t="shared" si="1"/>
        <v>7206.4000000000005</v>
      </c>
      <c r="I16" s="387">
        <f t="shared" si="2"/>
        <v>2799.5699999999997</v>
      </c>
      <c r="J16" s="388"/>
    </row>
    <row r="17" spans="1:10" s="389" customFormat="1" ht="12.75" customHeight="1" x14ac:dyDescent="0.2">
      <c r="A17" s="213" t="s">
        <v>418</v>
      </c>
      <c r="B17" s="209">
        <v>46030</v>
      </c>
      <c r="C17" s="211" t="s">
        <v>274</v>
      </c>
      <c r="D17" s="215" t="s">
        <v>419</v>
      </c>
      <c r="E17" s="386"/>
      <c r="F17" s="386">
        <f t="shared" si="0"/>
        <v>10005.969999999999</v>
      </c>
      <c r="G17" s="392">
        <v>72.78</v>
      </c>
      <c r="H17" s="387">
        <f t="shared" si="1"/>
        <v>7279.18</v>
      </c>
      <c r="I17" s="387">
        <f t="shared" si="2"/>
        <v>2726.7899999999995</v>
      </c>
      <c r="J17" s="388"/>
    </row>
    <row r="18" spans="1:10" s="389" customFormat="1" ht="12.75" customHeight="1" x14ac:dyDescent="0.2">
      <c r="A18" s="213" t="s">
        <v>418</v>
      </c>
      <c r="B18" s="209">
        <v>46030</v>
      </c>
      <c r="C18" s="440">
        <v>9500</v>
      </c>
      <c r="D18" s="215" t="s">
        <v>420</v>
      </c>
      <c r="E18" s="386"/>
      <c r="F18" s="386">
        <f t="shared" si="0"/>
        <v>10005.969999999999</v>
      </c>
      <c r="G18" s="392">
        <v>826.7</v>
      </c>
      <c r="H18" s="387">
        <f t="shared" si="1"/>
        <v>8105.88</v>
      </c>
      <c r="I18" s="387">
        <f t="shared" si="2"/>
        <v>1900.0899999999995</v>
      </c>
      <c r="J18" s="388"/>
    </row>
    <row r="19" spans="1:10" s="389" customFormat="1" ht="12.75" customHeight="1" x14ac:dyDescent="0.2">
      <c r="A19" s="213" t="s">
        <v>492</v>
      </c>
      <c r="B19" s="209">
        <v>46062</v>
      </c>
      <c r="C19" s="211" t="s">
        <v>274</v>
      </c>
      <c r="D19" s="215" t="s">
        <v>493</v>
      </c>
      <c r="E19" s="386"/>
      <c r="F19" s="386">
        <f t="shared" si="0"/>
        <v>10005.969999999999</v>
      </c>
      <c r="G19" s="392">
        <v>21.39</v>
      </c>
      <c r="H19" s="387">
        <f t="shared" si="1"/>
        <v>8127.27</v>
      </c>
      <c r="I19" s="387">
        <f t="shared" si="2"/>
        <v>1878.6999999999994</v>
      </c>
      <c r="J19" s="388"/>
    </row>
    <row r="20" spans="1:10" s="389" customFormat="1" ht="12.75" customHeight="1" x14ac:dyDescent="0.2">
      <c r="A20" s="213" t="s">
        <v>492</v>
      </c>
      <c r="B20" s="209">
        <v>46062</v>
      </c>
      <c r="C20" s="440">
        <v>9500</v>
      </c>
      <c r="D20" s="215" t="s">
        <v>494</v>
      </c>
      <c r="E20" s="386"/>
      <c r="F20" s="386">
        <f t="shared" si="0"/>
        <v>10005.969999999999</v>
      </c>
      <c r="G20" s="392">
        <v>270.10000000000002</v>
      </c>
      <c r="H20" s="387">
        <f t="shared" si="1"/>
        <v>8397.3700000000008</v>
      </c>
      <c r="I20" s="387">
        <f t="shared" si="2"/>
        <v>1608.5999999999995</v>
      </c>
      <c r="J20" s="388"/>
    </row>
    <row r="21" spans="1:10" s="389" customFormat="1" ht="12.75" customHeight="1" x14ac:dyDescent="0.2">
      <c r="A21" s="213" t="s">
        <v>550</v>
      </c>
      <c r="B21" s="209">
        <v>46090</v>
      </c>
      <c r="C21" s="211" t="s">
        <v>274</v>
      </c>
      <c r="D21" s="215" t="s">
        <v>551</v>
      </c>
      <c r="E21" s="386"/>
      <c r="F21" s="386">
        <f t="shared" si="0"/>
        <v>10005.969999999999</v>
      </c>
      <c r="G21" s="392">
        <v>45.91</v>
      </c>
      <c r="H21" s="387">
        <f t="shared" si="1"/>
        <v>8443.2800000000007</v>
      </c>
      <c r="I21" s="387">
        <f t="shared" si="2"/>
        <v>1562.6899999999994</v>
      </c>
      <c r="J21" s="388"/>
    </row>
    <row r="22" spans="1:10" s="389" customFormat="1" ht="12.75" customHeight="1" x14ac:dyDescent="0.2">
      <c r="A22" s="213" t="s">
        <v>550</v>
      </c>
      <c r="B22" s="209">
        <v>46090</v>
      </c>
      <c r="C22" s="440">
        <v>9500</v>
      </c>
      <c r="D22" s="215" t="s">
        <v>552</v>
      </c>
      <c r="E22" s="386"/>
      <c r="F22" s="386">
        <f t="shared" si="0"/>
        <v>10005.969999999999</v>
      </c>
      <c r="G22" s="392">
        <v>522.70000000000005</v>
      </c>
      <c r="H22" s="387">
        <f t="shared" si="1"/>
        <v>8965.9800000000014</v>
      </c>
      <c r="I22" s="387">
        <f t="shared" si="2"/>
        <v>1039.9899999999993</v>
      </c>
      <c r="J22" s="388"/>
    </row>
    <row r="23" spans="1:10" s="389" customFormat="1" ht="12.75" customHeight="1" x14ac:dyDescent="0.2">
      <c r="A23" s="213" t="s">
        <v>626</v>
      </c>
      <c r="B23" s="209">
        <v>46118</v>
      </c>
      <c r="C23" s="211" t="s">
        <v>274</v>
      </c>
      <c r="D23" s="215" t="s">
        <v>627</v>
      </c>
      <c r="E23" s="386"/>
      <c r="F23" s="386">
        <f t="shared" si="0"/>
        <v>10005.969999999999</v>
      </c>
      <c r="G23" s="392">
        <v>27.7</v>
      </c>
      <c r="H23" s="387">
        <f t="shared" si="1"/>
        <v>8993.6800000000021</v>
      </c>
      <c r="I23" s="387">
        <f t="shared" si="2"/>
        <v>1012.2899999999993</v>
      </c>
      <c r="J23" s="388"/>
    </row>
    <row r="24" spans="1:10" s="389" customFormat="1" ht="12.75" customHeight="1" x14ac:dyDescent="0.2">
      <c r="A24" s="213" t="s">
        <v>626</v>
      </c>
      <c r="B24" s="209">
        <v>46118</v>
      </c>
      <c r="C24" s="440">
        <v>9500</v>
      </c>
      <c r="D24" s="215" t="s">
        <v>628</v>
      </c>
      <c r="E24" s="386"/>
      <c r="F24" s="386">
        <f t="shared" si="0"/>
        <v>10005.969999999999</v>
      </c>
      <c r="G24" s="392">
        <v>223.6</v>
      </c>
      <c r="H24" s="387">
        <f t="shared" si="1"/>
        <v>9217.2800000000025</v>
      </c>
      <c r="I24" s="387">
        <f t="shared" si="2"/>
        <v>788.68999999999926</v>
      </c>
      <c r="J24" s="388"/>
    </row>
    <row r="25" spans="1:10" s="389" customFormat="1" ht="12.75" customHeight="1" x14ac:dyDescent="0.2">
      <c r="A25" s="213" t="s">
        <v>752</v>
      </c>
      <c r="B25" s="209">
        <v>46149</v>
      </c>
      <c r="C25" s="211" t="s">
        <v>274</v>
      </c>
      <c r="D25" s="215" t="s">
        <v>753</v>
      </c>
      <c r="E25" s="386"/>
      <c r="F25" s="386">
        <f t="shared" si="0"/>
        <v>10005.969999999999</v>
      </c>
      <c r="G25" s="392">
        <v>8.6</v>
      </c>
      <c r="H25" s="387">
        <f t="shared" si="1"/>
        <v>9225.8800000000028</v>
      </c>
      <c r="I25" s="387">
        <f t="shared" si="2"/>
        <v>780.08999999999924</v>
      </c>
      <c r="J25" s="388"/>
    </row>
    <row r="26" spans="1:10" s="389" customFormat="1" ht="12.75" customHeight="1" x14ac:dyDescent="0.2">
      <c r="A26" s="213" t="s">
        <v>752</v>
      </c>
      <c r="B26" s="209">
        <v>46149</v>
      </c>
      <c r="C26" s="440">
        <v>9500</v>
      </c>
      <c r="D26" s="215" t="s">
        <v>754</v>
      </c>
      <c r="E26" s="386"/>
      <c r="F26" s="386">
        <f t="shared" si="0"/>
        <v>10005.969999999999</v>
      </c>
      <c r="G26" s="392">
        <v>89.2</v>
      </c>
      <c r="H26" s="387">
        <f t="shared" si="1"/>
        <v>9315.0800000000036</v>
      </c>
      <c r="I26" s="387">
        <f t="shared" si="2"/>
        <v>690.88999999999919</v>
      </c>
      <c r="J26" s="388"/>
    </row>
    <row r="27" spans="1:10" s="389" customFormat="1" ht="12.75" customHeight="1" x14ac:dyDescent="0.2">
      <c r="A27" s="213" t="s">
        <v>844</v>
      </c>
      <c r="B27" s="209">
        <v>46181</v>
      </c>
      <c r="C27" s="211" t="s">
        <v>274</v>
      </c>
      <c r="D27" s="215" t="s">
        <v>845</v>
      </c>
      <c r="E27" s="386"/>
      <c r="F27" s="386">
        <f t="shared" si="0"/>
        <v>10005.969999999999</v>
      </c>
      <c r="G27" s="392">
        <v>51.89</v>
      </c>
      <c r="H27" s="387">
        <f t="shared" si="1"/>
        <v>9366.970000000003</v>
      </c>
      <c r="I27" s="387">
        <f t="shared" si="2"/>
        <v>638.9999999999992</v>
      </c>
      <c r="J27" s="388"/>
    </row>
    <row r="28" spans="1:10" s="389" customFormat="1" ht="12.75" customHeight="1" x14ac:dyDescent="0.2">
      <c r="A28" s="213" t="s">
        <v>844</v>
      </c>
      <c r="B28" s="209">
        <v>46181</v>
      </c>
      <c r="C28" s="440">
        <v>9500</v>
      </c>
      <c r="D28" s="215" t="s">
        <v>846</v>
      </c>
      <c r="E28" s="386"/>
      <c r="F28" s="386">
        <f t="shared" si="0"/>
        <v>10005.969999999999</v>
      </c>
      <c r="G28" s="392">
        <v>639</v>
      </c>
      <c r="H28" s="387">
        <f t="shared" si="1"/>
        <v>10005.970000000003</v>
      </c>
      <c r="I28" s="387">
        <f t="shared" si="2"/>
        <v>-7.9580786405131221E-13</v>
      </c>
      <c r="J28" s="388"/>
    </row>
    <row r="29" spans="1:10" s="389" customFormat="1" ht="12.75" customHeight="1" x14ac:dyDescent="0.25">
      <c r="A29" s="441"/>
      <c r="B29" s="383"/>
      <c r="C29" s="474"/>
      <c r="D29" s="388"/>
      <c r="E29" s="386"/>
      <c r="F29" s="386">
        <f t="shared" si="0"/>
        <v>10005.969999999999</v>
      </c>
      <c r="G29" s="387"/>
      <c r="H29" s="387">
        <f t="shared" si="1"/>
        <v>10005.970000000003</v>
      </c>
      <c r="I29" s="387">
        <f t="shared" si="2"/>
        <v>-7.9580786405131221E-13</v>
      </c>
      <c r="J29" s="388"/>
    </row>
    <row r="30" spans="1:10" s="389" customFormat="1" ht="12.75" customHeight="1" x14ac:dyDescent="0.25">
      <c r="A30" s="441"/>
      <c r="B30" s="391"/>
      <c r="C30" s="474"/>
      <c r="D30" s="372"/>
      <c r="E30" s="387"/>
      <c r="F30" s="387"/>
      <c r="G30" s="387"/>
      <c r="H30" s="387"/>
      <c r="I30" s="387"/>
      <c r="J30" s="388"/>
    </row>
    <row r="31" spans="1:10" s="389" customFormat="1" ht="12.75" customHeight="1" thickBot="1" x14ac:dyDescent="0.3">
      <c r="A31" s="441"/>
      <c r="B31" s="394"/>
      <c r="C31" s="474"/>
      <c r="D31" s="395" t="s">
        <v>54</v>
      </c>
      <c r="E31" s="396">
        <f>SUM(E9:E30)</f>
        <v>10005.969999999999</v>
      </c>
      <c r="F31" s="396"/>
      <c r="G31" s="396">
        <f>SUM(G9:G30)</f>
        <v>10005.970000000003</v>
      </c>
      <c r="H31" s="396"/>
      <c r="I31" s="396">
        <f>E31-G31</f>
        <v>0</v>
      </c>
      <c r="J31" s="388"/>
    </row>
    <row r="32" spans="1:10" s="389" customFormat="1" ht="12.75" customHeight="1" thickTop="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C7C1C-EE03-4F80-A8AE-68BD70C064F8}">
  <sheetPr codeName="Sheet28">
    <tabColor rgb="FF0070C0"/>
    <pageSetUpPr fitToPage="1"/>
  </sheetPr>
  <dimension ref="A1:H34"/>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 customWidth="1"/>
    <col min="6" max="6" width="14.8554687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'RECAP #9480.01'!B1</f>
        <v>HHS STS Canteen Roof Repair Construction (29C20)</v>
      </c>
      <c r="B1" s="86"/>
      <c r="C1" s="86"/>
      <c r="D1" s="86"/>
      <c r="E1" s="6"/>
      <c r="F1" s="6"/>
      <c r="G1" s="6"/>
      <c r="H1" s="132"/>
    </row>
    <row r="2" spans="1:8" ht="15.75" x14ac:dyDescent="0.25">
      <c r="A2" s="88" t="str">
        <f>'RECAP #9480.01'!B2</f>
        <v>Project # 9480.01</v>
      </c>
      <c r="B2" s="87"/>
      <c r="C2" s="87"/>
      <c r="D2" s="87"/>
      <c r="E2" s="6"/>
      <c r="F2" s="6"/>
      <c r="G2" s="6"/>
      <c r="H2" s="132"/>
    </row>
    <row r="3" spans="1:8" ht="15.75" x14ac:dyDescent="0.25">
      <c r="A3" s="89" t="str">
        <f>'RECAP #9480.01'!B3</f>
        <v>Program code 948001</v>
      </c>
      <c r="B3" s="87"/>
      <c r="C3" s="87"/>
      <c r="D3" s="87"/>
      <c r="E3" s="90" t="str">
        <f>'RECAP #9480.01'!E3</f>
        <v>Major Program 3D02</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#9480.01'!B6</f>
        <v>Project Manager - Jennifer K.</v>
      </c>
      <c r="B6" s="93"/>
      <c r="C6" s="93"/>
      <c r="D6" s="93"/>
      <c r="E6" s="90" t="s">
        <v>165</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ht="12.75" customHeight="1" x14ac:dyDescent="0.25">
      <c r="A9" s="159"/>
      <c r="B9" s="153"/>
      <c r="C9" s="152"/>
      <c r="D9" s="152"/>
      <c r="E9" s="141"/>
      <c r="F9" s="172"/>
      <c r="G9" s="182"/>
      <c r="H9" s="162">
        <f>G9</f>
        <v>0</v>
      </c>
    </row>
    <row r="10" spans="1:8" ht="12.75" customHeight="1" x14ac:dyDescent="0.25">
      <c r="A10" s="159"/>
      <c r="B10" s="153"/>
      <c r="C10" s="152"/>
      <c r="D10" s="160"/>
      <c r="E10" s="141"/>
      <c r="F10" s="183"/>
      <c r="G10" s="182"/>
      <c r="H10" s="162">
        <f>H9+G10</f>
        <v>0</v>
      </c>
    </row>
    <row r="11" spans="1:8" ht="12.75" customHeight="1" x14ac:dyDescent="0.25">
      <c r="A11" s="165"/>
      <c r="B11" s="153"/>
      <c r="C11" s="153"/>
      <c r="D11" s="153"/>
      <c r="E11" s="141"/>
      <c r="F11" s="106"/>
      <c r="G11" s="162"/>
      <c r="H11" s="162">
        <f t="shared" ref="H11:H20" si="0">H10+G11</f>
        <v>0</v>
      </c>
    </row>
    <row r="12" spans="1:8" ht="12.75" customHeight="1" x14ac:dyDescent="0.25">
      <c r="A12" s="165"/>
      <c r="B12" s="153"/>
      <c r="C12" s="153"/>
      <c r="D12" s="153"/>
      <c r="E12" s="141"/>
      <c r="F12" s="106"/>
      <c r="G12" s="162"/>
      <c r="H12" s="162">
        <f t="shared" si="0"/>
        <v>0</v>
      </c>
    </row>
    <row r="13" spans="1:8" ht="12.75" customHeight="1" x14ac:dyDescent="0.25">
      <c r="A13" s="165" t="s">
        <v>3</v>
      </c>
      <c r="B13" s="153" t="s">
        <v>3</v>
      </c>
      <c r="C13" s="153"/>
      <c r="D13" s="153"/>
      <c r="E13" s="141" t="s">
        <v>3</v>
      </c>
      <c r="F13" s="106"/>
      <c r="G13" s="162"/>
      <c r="H13" s="162">
        <f t="shared" si="0"/>
        <v>0</v>
      </c>
    </row>
    <row r="14" spans="1:8" ht="12.75" customHeight="1" x14ac:dyDescent="0.25">
      <c r="A14" s="165"/>
      <c r="B14" s="153"/>
      <c r="C14" s="153"/>
      <c r="D14" s="153"/>
      <c r="E14" s="141"/>
      <c r="F14" s="106"/>
      <c r="G14" s="162"/>
      <c r="H14" s="162">
        <f t="shared" si="0"/>
        <v>0</v>
      </c>
    </row>
    <row r="15" spans="1:8" ht="12.75" customHeight="1" x14ac:dyDescent="0.25">
      <c r="A15" s="165"/>
      <c r="B15" s="153"/>
      <c r="C15" s="153"/>
      <c r="D15" s="153"/>
      <c r="E15" s="173"/>
      <c r="F15" s="106"/>
      <c r="G15" s="162"/>
      <c r="H15" s="162">
        <f t="shared" si="0"/>
        <v>0</v>
      </c>
    </row>
    <row r="16" spans="1:8" ht="12.75" customHeight="1" x14ac:dyDescent="0.25">
      <c r="A16" s="165"/>
      <c r="B16" s="153"/>
      <c r="C16" s="153"/>
      <c r="D16" s="153"/>
      <c r="E16" s="141"/>
      <c r="F16" s="106"/>
      <c r="G16" s="162"/>
      <c r="H16" s="162">
        <f t="shared" si="0"/>
        <v>0</v>
      </c>
    </row>
    <row r="17" spans="1:8" ht="12.75" customHeight="1" x14ac:dyDescent="0.25">
      <c r="A17" s="152"/>
      <c r="B17" s="153"/>
      <c r="C17" s="153"/>
      <c r="D17" s="153"/>
      <c r="E17" s="141"/>
      <c r="F17" s="106"/>
      <c r="G17" s="162"/>
      <c r="H17" s="162">
        <f t="shared" si="0"/>
        <v>0</v>
      </c>
    </row>
    <row r="18" spans="1:8" ht="12.75" customHeight="1" x14ac:dyDescent="0.25">
      <c r="A18" s="152"/>
      <c r="B18" s="153"/>
      <c r="C18" s="153"/>
      <c r="D18" s="153"/>
      <c r="E18" s="141"/>
      <c r="F18" s="106"/>
      <c r="G18" s="162"/>
      <c r="H18" s="162">
        <f t="shared" si="0"/>
        <v>0</v>
      </c>
    </row>
    <row r="19" spans="1:8" ht="12.75" customHeight="1" x14ac:dyDescent="0.25">
      <c r="A19" s="152"/>
      <c r="B19" s="153"/>
      <c r="C19" s="153"/>
      <c r="D19" s="153"/>
      <c r="E19" s="141"/>
      <c r="F19" s="106"/>
      <c r="G19" s="162"/>
      <c r="H19" s="162">
        <f t="shared" si="0"/>
        <v>0</v>
      </c>
    </row>
    <row r="20" spans="1:8" ht="12.75" customHeight="1" x14ac:dyDescent="0.25">
      <c r="A20" s="152"/>
      <c r="B20" s="153"/>
      <c r="C20" s="153"/>
      <c r="D20" s="153"/>
      <c r="E20" s="141"/>
      <c r="F20" s="106"/>
      <c r="G20" s="162"/>
      <c r="H20" s="162">
        <f t="shared" si="0"/>
        <v>0</v>
      </c>
    </row>
    <row r="21" spans="1:8" ht="12.75" customHeight="1" x14ac:dyDescent="0.25">
      <c r="A21" s="152"/>
      <c r="B21" s="160"/>
      <c r="C21" s="160"/>
      <c r="D21" s="160"/>
      <c r="E21" s="141"/>
      <c r="F21" s="162"/>
      <c r="G21" s="141"/>
      <c r="H21" s="162"/>
    </row>
    <row r="22" spans="1:8" ht="12.75" customHeight="1" thickBot="1" x14ac:dyDescent="0.3">
      <c r="A22" s="174"/>
      <c r="B22" s="175"/>
      <c r="C22" s="175"/>
      <c r="D22" s="175"/>
      <c r="E22" s="176" t="s">
        <v>54</v>
      </c>
      <c r="F22" s="177"/>
      <c r="G22" s="131">
        <f>SUM(G9:G21)</f>
        <v>0</v>
      </c>
      <c r="H22" s="177"/>
    </row>
    <row r="23" spans="1:8" ht="12.75" customHeight="1" thickTop="1" x14ac:dyDescent="0.25"/>
    <row r="24" spans="1:8" ht="12.75" customHeight="1" x14ac:dyDescent="0.25"/>
    <row r="25" spans="1:8" ht="12.75" customHeight="1" x14ac:dyDescent="0.25"/>
    <row r="26" spans="1:8" ht="12.75" customHeight="1" x14ac:dyDescent="0.25"/>
    <row r="27" spans="1:8" ht="12.75" customHeight="1" x14ac:dyDescent="0.25"/>
    <row r="28" spans="1:8" ht="12.75" customHeight="1" x14ac:dyDescent="0.25"/>
    <row r="29" spans="1:8" ht="12.75" customHeight="1" x14ac:dyDescent="0.25"/>
    <row r="30" spans="1:8" ht="12.75" customHeight="1" x14ac:dyDescent="0.25"/>
    <row r="31" spans="1:8" ht="12.75" customHeight="1" x14ac:dyDescent="0.25"/>
    <row r="32" spans="1:8" ht="12.75" customHeight="1" x14ac:dyDescent="0.25"/>
    <row r="33" ht="12.75" customHeight="1" x14ac:dyDescent="0.25"/>
    <row r="34" ht="12.75" customHeight="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BB3AB-30EE-44A4-9625-E6ABC4DD2278}">
  <sheetPr codeName="Sheet29">
    <tabColor rgb="FF0070C0"/>
    <pageSetUpPr fitToPage="1"/>
  </sheetPr>
  <dimension ref="A1:I29"/>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36" style="267"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195"/>
    </row>
    <row r="2" spans="1:9" ht="15.75" x14ac:dyDescent="0.25">
      <c r="A2" s="134" t="str">
        <f>'RECAP #9480.01'!B2</f>
        <v>Project # 9480.01</v>
      </c>
      <c r="B2" s="196"/>
      <c r="C2" s="193"/>
      <c r="D2" s="193"/>
      <c r="E2" s="193"/>
      <c r="F2" s="194"/>
      <c r="G2" s="194"/>
      <c r="H2" s="195"/>
      <c r="I2" s="195"/>
    </row>
    <row r="3" spans="1:9" ht="15.75" x14ac:dyDescent="0.25">
      <c r="A3" s="197" t="str">
        <f>'RECAP #9480.01'!B3</f>
        <v>Program code 948001</v>
      </c>
      <c r="B3" s="196"/>
      <c r="C3" s="193"/>
      <c r="D3" s="198" t="str">
        <f>'RECAP #9480.01'!E3</f>
        <v>Major Program 3D02</v>
      </c>
      <c r="E3" s="193"/>
      <c r="F3" s="194"/>
      <c r="G3" s="194"/>
      <c r="H3" s="195"/>
      <c r="I3" s="195"/>
    </row>
    <row r="4" spans="1:9" ht="15.75" x14ac:dyDescent="0.25">
      <c r="A4" s="116" t="s">
        <v>181</v>
      </c>
      <c r="B4" s="134"/>
      <c r="C4" s="195"/>
      <c r="D4" s="199" t="s">
        <v>183</v>
      </c>
      <c r="E4" s="194"/>
      <c r="F4" s="194"/>
      <c r="G4" s="194"/>
      <c r="H4" s="195"/>
      <c r="I4" s="195"/>
    </row>
    <row r="5" spans="1:9" ht="15.75" x14ac:dyDescent="0.25">
      <c r="A5" s="200" t="s">
        <v>182</v>
      </c>
      <c r="B5" s="195"/>
      <c r="C5" s="201"/>
      <c r="D5" s="140" t="s">
        <v>162</v>
      </c>
      <c r="E5" s="145"/>
      <c r="F5" s="194"/>
      <c r="G5" s="194"/>
      <c r="H5" s="195"/>
      <c r="I5" s="195"/>
    </row>
    <row r="6" spans="1:9" ht="15.75" x14ac:dyDescent="0.25">
      <c r="A6" s="134" t="str">
        <f>'RECAP #9480.01'!B6</f>
        <v>Project Manager - Jennifer K.</v>
      </c>
      <c r="B6" s="134"/>
      <c r="C6" s="202"/>
      <c r="D6" s="300" t="s">
        <v>184</v>
      </c>
      <c r="E6" s="145"/>
      <c r="F6" s="146"/>
      <c r="G6" s="194"/>
      <c r="H6" s="195"/>
      <c r="I6" s="195"/>
    </row>
    <row r="7" spans="1:9" ht="15.75" x14ac:dyDescent="0.25">
      <c r="A7" s="195"/>
      <c r="B7" s="203"/>
      <c r="C7" s="203"/>
      <c r="D7" s="195" t="s">
        <v>187</v>
      </c>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185</v>
      </c>
      <c r="B9" s="383">
        <v>45891</v>
      </c>
      <c r="C9" s="384" t="s">
        <v>186</v>
      </c>
      <c r="D9" s="385">
        <v>16700</v>
      </c>
      <c r="E9" s="386">
        <f>D9</f>
        <v>16700</v>
      </c>
      <c r="F9" s="387"/>
      <c r="G9" s="387"/>
      <c r="H9" s="387">
        <f>E9</f>
        <v>16700</v>
      </c>
      <c r="I9" s="388"/>
    </row>
    <row r="10" spans="1:9" s="389" customFormat="1" ht="12.75" customHeight="1" x14ac:dyDescent="0.25">
      <c r="A10" s="382" t="s">
        <v>220</v>
      </c>
      <c r="B10" s="383">
        <v>45923</v>
      </c>
      <c r="C10" s="391" t="s">
        <v>221</v>
      </c>
      <c r="D10" s="386"/>
      <c r="E10" s="386">
        <f t="shared" ref="E10:E21" si="0">E9+D10</f>
        <v>16700</v>
      </c>
      <c r="F10" s="392">
        <v>7810</v>
      </c>
      <c r="G10" s="387">
        <f t="shared" ref="G10:G21" si="1">G9+F10</f>
        <v>7810</v>
      </c>
      <c r="H10" s="387">
        <f t="shared" ref="H10:H21" si="2">H9-F10+D10</f>
        <v>8890</v>
      </c>
      <c r="I10" s="388"/>
    </row>
    <row r="11" spans="1:9" s="389" customFormat="1" ht="12.75" customHeight="1" x14ac:dyDescent="0.25">
      <c r="A11" s="382" t="s">
        <v>185</v>
      </c>
      <c r="B11" s="383">
        <v>46006</v>
      </c>
      <c r="C11" s="391" t="s">
        <v>365</v>
      </c>
      <c r="D11" s="386"/>
      <c r="E11" s="386">
        <f t="shared" si="0"/>
        <v>16700</v>
      </c>
      <c r="F11" s="392"/>
      <c r="G11" s="387">
        <f t="shared" si="1"/>
        <v>7810</v>
      </c>
      <c r="H11" s="387">
        <f t="shared" si="2"/>
        <v>8890</v>
      </c>
      <c r="I11" s="388"/>
    </row>
    <row r="12" spans="1:9" s="389" customFormat="1" ht="12.75" customHeight="1" x14ac:dyDescent="0.25">
      <c r="A12" s="382" t="s">
        <v>366</v>
      </c>
      <c r="B12" s="383">
        <v>46006</v>
      </c>
      <c r="C12" s="391" t="s">
        <v>725</v>
      </c>
      <c r="D12" s="386"/>
      <c r="E12" s="386">
        <f t="shared" si="0"/>
        <v>16700</v>
      </c>
      <c r="F12" s="392"/>
      <c r="G12" s="387">
        <f t="shared" si="1"/>
        <v>7810</v>
      </c>
      <c r="H12" s="387">
        <f t="shared" si="2"/>
        <v>8890</v>
      </c>
      <c r="I12" s="388"/>
    </row>
    <row r="13" spans="1:9" s="389" customFormat="1" ht="12.75" customHeight="1" x14ac:dyDescent="0.25">
      <c r="A13" s="382" t="s">
        <v>367</v>
      </c>
      <c r="B13" s="383">
        <v>46006</v>
      </c>
      <c r="C13" s="391" t="s">
        <v>364</v>
      </c>
      <c r="D13" s="386"/>
      <c r="E13" s="386">
        <f t="shared" si="0"/>
        <v>16700</v>
      </c>
      <c r="F13" s="392">
        <v>6140</v>
      </c>
      <c r="G13" s="387">
        <f t="shared" si="1"/>
        <v>13950</v>
      </c>
      <c r="H13" s="387">
        <f t="shared" si="2"/>
        <v>2750</v>
      </c>
      <c r="I13" s="388"/>
    </row>
    <row r="14" spans="1:9" s="389" customFormat="1" ht="12.75" customHeight="1" x14ac:dyDescent="0.25">
      <c r="A14" s="382" t="s">
        <v>813</v>
      </c>
      <c r="B14" s="383">
        <v>46175</v>
      </c>
      <c r="C14" s="391" t="s">
        <v>814</v>
      </c>
      <c r="D14" s="386"/>
      <c r="E14" s="386">
        <f t="shared" si="0"/>
        <v>16700</v>
      </c>
      <c r="F14" s="392">
        <v>2750</v>
      </c>
      <c r="G14" s="387">
        <f t="shared" si="1"/>
        <v>16700</v>
      </c>
      <c r="H14" s="387">
        <f t="shared" si="2"/>
        <v>0</v>
      </c>
      <c r="I14" s="388"/>
    </row>
    <row r="15" spans="1:9" s="389" customFormat="1" ht="12.75" customHeight="1" x14ac:dyDescent="0.25">
      <c r="A15" s="382"/>
      <c r="B15" s="383"/>
      <c r="C15" s="391"/>
      <c r="D15" s="386"/>
      <c r="E15" s="386">
        <f t="shared" si="0"/>
        <v>16700</v>
      </c>
      <c r="F15" s="392"/>
      <c r="G15" s="387">
        <f t="shared" si="1"/>
        <v>16700</v>
      </c>
      <c r="H15" s="387">
        <f t="shared" si="2"/>
        <v>0</v>
      </c>
      <c r="I15" s="388"/>
    </row>
    <row r="16" spans="1:9" s="389" customFormat="1" ht="12.75" customHeight="1" x14ac:dyDescent="0.25">
      <c r="A16" s="382"/>
      <c r="B16" s="383"/>
      <c r="C16" s="391"/>
      <c r="D16" s="386"/>
      <c r="E16" s="386">
        <f t="shared" si="0"/>
        <v>16700</v>
      </c>
      <c r="F16" s="392"/>
      <c r="G16" s="387">
        <f t="shared" si="1"/>
        <v>16700</v>
      </c>
      <c r="H16" s="387">
        <f t="shared" si="2"/>
        <v>0</v>
      </c>
      <c r="I16" s="388"/>
    </row>
    <row r="17" spans="1:9" s="389" customFormat="1" ht="12.75" customHeight="1" x14ac:dyDescent="0.25">
      <c r="A17" s="382"/>
      <c r="B17" s="383"/>
      <c r="C17" s="391"/>
      <c r="D17" s="386"/>
      <c r="E17" s="386">
        <f t="shared" si="0"/>
        <v>16700</v>
      </c>
      <c r="F17" s="392"/>
      <c r="G17" s="387">
        <f t="shared" si="1"/>
        <v>16700</v>
      </c>
      <c r="H17" s="387">
        <f t="shared" si="2"/>
        <v>0</v>
      </c>
      <c r="I17" s="388"/>
    </row>
    <row r="18" spans="1:9" s="389" customFormat="1" ht="12.75" customHeight="1" x14ac:dyDescent="0.25">
      <c r="A18" s="382"/>
      <c r="B18" s="383"/>
      <c r="C18" s="391"/>
      <c r="D18" s="386"/>
      <c r="E18" s="386">
        <f t="shared" si="0"/>
        <v>16700</v>
      </c>
      <c r="F18" s="392"/>
      <c r="G18" s="387">
        <f t="shared" si="1"/>
        <v>16700</v>
      </c>
      <c r="H18" s="387">
        <f t="shared" si="2"/>
        <v>0</v>
      </c>
      <c r="I18" s="388"/>
    </row>
    <row r="19" spans="1:9" s="389" customFormat="1" ht="12.75" customHeight="1" x14ac:dyDescent="0.25">
      <c r="A19" s="382"/>
      <c r="B19" s="383"/>
      <c r="C19" s="391"/>
      <c r="D19" s="386"/>
      <c r="E19" s="386">
        <f t="shared" si="0"/>
        <v>16700</v>
      </c>
      <c r="F19" s="387"/>
      <c r="G19" s="387">
        <f t="shared" si="1"/>
        <v>16700</v>
      </c>
      <c r="H19" s="387">
        <f t="shared" si="2"/>
        <v>0</v>
      </c>
      <c r="I19" s="388"/>
    </row>
    <row r="20" spans="1:9" s="389" customFormat="1" ht="12.75" customHeight="1" x14ac:dyDescent="0.25">
      <c r="A20" s="382"/>
      <c r="B20" s="383"/>
      <c r="C20" s="391"/>
      <c r="D20" s="386"/>
      <c r="E20" s="386">
        <f t="shared" si="0"/>
        <v>16700</v>
      </c>
      <c r="F20" s="387"/>
      <c r="G20" s="387">
        <f t="shared" si="1"/>
        <v>16700</v>
      </c>
      <c r="H20" s="387">
        <f t="shared" si="2"/>
        <v>0</v>
      </c>
      <c r="I20" s="388"/>
    </row>
    <row r="21" spans="1:9" s="389" customFormat="1" ht="12.75" customHeight="1" x14ac:dyDescent="0.25">
      <c r="A21" s="382"/>
      <c r="B21" s="383"/>
      <c r="C21" s="393"/>
      <c r="D21" s="386"/>
      <c r="E21" s="386">
        <f t="shared" si="0"/>
        <v>16700</v>
      </c>
      <c r="F21" s="387"/>
      <c r="G21" s="387">
        <f t="shared" si="1"/>
        <v>16700</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16700</v>
      </c>
      <c r="E23" s="396"/>
      <c r="F23" s="396">
        <f>SUM(F9:F22)</f>
        <v>16700</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222</v>
      </c>
      <c r="D26" s="387">
        <f>'[1]#9480.00 Genesis Architectural'!$D$23</f>
        <v>10750</v>
      </c>
      <c r="E26" s="387"/>
      <c r="F26" s="387">
        <f>'[1]#9480.00 Genesis Architectural'!$F$23</f>
        <v>10750</v>
      </c>
      <c r="G26" s="387"/>
      <c r="H26" s="387">
        <f>'[1]#9480.00 Genesis Architectural'!$H$23</f>
        <v>0</v>
      </c>
      <c r="I26" s="388"/>
    </row>
    <row r="27" spans="1:9" s="389" customFormat="1" ht="12.75" customHeight="1" thickBot="1" x14ac:dyDescent="0.3">
      <c r="A27" s="382"/>
      <c r="B27" s="391"/>
      <c r="C27" s="399" t="s">
        <v>157</v>
      </c>
      <c r="D27" s="396">
        <f>SUM(D23:D26)</f>
        <v>27450</v>
      </c>
      <c r="E27" s="398"/>
      <c r="F27" s="396">
        <f>SUM(F23:F26)</f>
        <v>27450</v>
      </c>
      <c r="G27" s="398"/>
      <c r="H27" s="396">
        <f>SUM(H23:H26)</f>
        <v>0</v>
      </c>
      <c r="I27" s="388"/>
    </row>
    <row r="28" spans="1:9" s="389" customFormat="1" ht="12.75" customHeight="1" thickTop="1" x14ac:dyDescent="0.25"/>
    <row r="29" spans="1:9" s="389" customFormat="1" ht="12.75" customHeight="1" x14ac:dyDescent="0.25"/>
  </sheetData>
  <pageMargins left="0.25" right="0.25" top="0.85" bottom="0.75" header="0.08" footer="0.3"/>
  <pageSetup scale="70" fitToHeight="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FCE42-B199-4683-86D7-5302796FE86C}">
  <sheetPr codeName="Sheet30">
    <tabColor rgb="FF0070C0"/>
    <pageSetUpPr fitToPage="1"/>
  </sheetPr>
  <dimension ref="A1:I112"/>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7.85546875" style="267"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195"/>
    </row>
    <row r="2" spans="1:9" ht="15.75" x14ac:dyDescent="0.25">
      <c r="A2" s="134" t="str">
        <f>'RECAP #9480.01'!B2</f>
        <v>Project # 9480.01</v>
      </c>
      <c r="B2" s="196"/>
      <c r="C2" s="193"/>
      <c r="D2" s="193"/>
      <c r="E2" s="193"/>
      <c r="F2" s="194"/>
      <c r="G2" s="194"/>
      <c r="H2" s="195"/>
      <c r="I2" s="195"/>
    </row>
    <row r="3" spans="1:9" ht="15.75" x14ac:dyDescent="0.25">
      <c r="A3" s="197" t="str">
        <f>'RECAP #9480.01'!B3</f>
        <v>Program code 948001</v>
      </c>
      <c r="B3" s="196"/>
      <c r="C3" s="193"/>
      <c r="D3" s="198" t="str">
        <f>'RECAP #9480.01'!E3</f>
        <v>Major Program 3D02</v>
      </c>
      <c r="E3" s="193"/>
      <c r="F3" s="194"/>
      <c r="G3" s="194"/>
      <c r="H3" s="195"/>
      <c r="I3" s="195"/>
    </row>
    <row r="4" spans="1:9" ht="15.75" x14ac:dyDescent="0.25">
      <c r="A4" s="116" t="s">
        <v>190</v>
      </c>
      <c r="B4" s="134"/>
      <c r="C4" s="195"/>
      <c r="D4" s="199" t="s">
        <v>142</v>
      </c>
      <c r="E4" s="194"/>
      <c r="F4" s="194"/>
      <c r="G4" s="194"/>
      <c r="H4" s="195"/>
      <c r="I4" s="195"/>
    </row>
    <row r="5" spans="1:9" ht="15.75" x14ac:dyDescent="0.25">
      <c r="A5" s="200" t="s">
        <v>147</v>
      </c>
      <c r="B5" s="195"/>
      <c r="C5" s="201"/>
      <c r="D5" s="140" t="s">
        <v>191</v>
      </c>
      <c r="E5" s="145"/>
      <c r="F5" s="194"/>
      <c r="G5" s="194"/>
      <c r="H5" s="195"/>
      <c r="I5" s="195"/>
    </row>
    <row r="6" spans="1:9" ht="15.75" x14ac:dyDescent="0.25">
      <c r="A6" s="134" t="str">
        <f>'RECAP #9480.01'!B6</f>
        <v>Project Manager - Jennifer K.</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192</v>
      </c>
      <c r="B9" s="383">
        <v>45909</v>
      </c>
      <c r="C9" s="384" t="s">
        <v>146</v>
      </c>
      <c r="D9" s="385">
        <v>30122</v>
      </c>
      <c r="E9" s="386">
        <f>D9</f>
        <v>30122</v>
      </c>
      <c r="F9" s="387"/>
      <c r="G9" s="387"/>
      <c r="H9" s="387">
        <f>E9</f>
        <v>30122</v>
      </c>
      <c r="I9" s="388"/>
    </row>
    <row r="10" spans="1:9" s="389" customFormat="1" ht="12.75" customHeight="1" x14ac:dyDescent="0.25">
      <c r="A10" s="382" t="s">
        <v>205</v>
      </c>
      <c r="B10" s="390">
        <v>45916</v>
      </c>
      <c r="C10" s="391" t="s">
        <v>206</v>
      </c>
      <c r="D10" s="386"/>
      <c r="E10" s="386">
        <f t="shared" ref="E10:E21" si="0">E9+D10</f>
        <v>30122</v>
      </c>
      <c r="F10" s="392">
        <v>2589.8000000000002</v>
      </c>
      <c r="G10" s="387">
        <f t="shared" ref="G10:G21" si="1">G9+F10</f>
        <v>2589.8000000000002</v>
      </c>
      <c r="H10" s="387">
        <f t="shared" ref="H10:H21" si="2">H9-F10+D10</f>
        <v>27532.2</v>
      </c>
      <c r="I10" s="388"/>
    </row>
    <row r="11" spans="1:9" s="389" customFormat="1" ht="12.75" customHeight="1" x14ac:dyDescent="0.25">
      <c r="A11" s="382" t="s">
        <v>282</v>
      </c>
      <c r="B11" s="383">
        <v>45946</v>
      </c>
      <c r="C11" s="391" t="s">
        <v>283</v>
      </c>
      <c r="D11" s="386"/>
      <c r="E11" s="386">
        <f t="shared" si="0"/>
        <v>30122</v>
      </c>
      <c r="F11" s="392">
        <v>9881.74</v>
      </c>
      <c r="G11" s="387">
        <f t="shared" si="1"/>
        <v>12471.54</v>
      </c>
      <c r="H11" s="387">
        <f t="shared" si="2"/>
        <v>17650.46</v>
      </c>
      <c r="I11" s="388"/>
    </row>
    <row r="12" spans="1:9" s="389" customFormat="1" ht="12.75" customHeight="1" x14ac:dyDescent="0.25">
      <c r="A12" s="382" t="s">
        <v>331</v>
      </c>
      <c r="B12" s="383">
        <v>45978</v>
      </c>
      <c r="C12" s="391" t="s">
        <v>332</v>
      </c>
      <c r="D12" s="386"/>
      <c r="E12" s="386">
        <f t="shared" si="0"/>
        <v>30122</v>
      </c>
      <c r="F12" s="392">
        <v>9467.15</v>
      </c>
      <c r="G12" s="387">
        <f t="shared" si="1"/>
        <v>21938.690000000002</v>
      </c>
      <c r="H12" s="387">
        <f t="shared" si="2"/>
        <v>8183.3099999999995</v>
      </c>
      <c r="I12" s="388"/>
    </row>
    <row r="13" spans="1:9" s="389" customFormat="1" ht="12.75" customHeight="1" x14ac:dyDescent="0.25">
      <c r="A13" s="382" t="s">
        <v>352</v>
      </c>
      <c r="B13" s="383">
        <v>46001</v>
      </c>
      <c r="C13" s="391" t="s">
        <v>353</v>
      </c>
      <c r="D13" s="386"/>
      <c r="E13" s="386">
        <f t="shared" si="0"/>
        <v>30122</v>
      </c>
      <c r="F13" s="392">
        <v>3417.43</v>
      </c>
      <c r="G13" s="387">
        <f t="shared" si="1"/>
        <v>25356.120000000003</v>
      </c>
      <c r="H13" s="387">
        <f t="shared" si="2"/>
        <v>4765.8799999999992</v>
      </c>
      <c r="I13" s="388"/>
    </row>
    <row r="14" spans="1:9" s="389" customFormat="1" ht="12.75" customHeight="1" x14ac:dyDescent="0.25">
      <c r="A14" s="382" t="s">
        <v>413</v>
      </c>
      <c r="B14" s="383">
        <v>46031</v>
      </c>
      <c r="C14" s="391" t="s">
        <v>414</v>
      </c>
      <c r="D14" s="386"/>
      <c r="E14" s="386">
        <f t="shared" si="0"/>
        <v>30122</v>
      </c>
      <c r="F14" s="392">
        <v>1006.8</v>
      </c>
      <c r="G14" s="387">
        <f t="shared" si="1"/>
        <v>26362.920000000002</v>
      </c>
      <c r="H14" s="387">
        <f t="shared" si="2"/>
        <v>3759.079999999999</v>
      </c>
      <c r="I14" s="388"/>
    </row>
    <row r="15" spans="1:9" s="389" customFormat="1" ht="12.75" customHeight="1" x14ac:dyDescent="0.25">
      <c r="A15" s="382" t="s">
        <v>514</v>
      </c>
      <c r="B15" s="383">
        <v>46069</v>
      </c>
      <c r="C15" s="391" t="s">
        <v>515</v>
      </c>
      <c r="D15" s="386"/>
      <c r="E15" s="386">
        <f t="shared" si="0"/>
        <v>30122</v>
      </c>
      <c r="F15" s="392">
        <v>1123.22</v>
      </c>
      <c r="G15" s="387">
        <f t="shared" si="1"/>
        <v>27486.140000000003</v>
      </c>
      <c r="H15" s="387">
        <f t="shared" si="2"/>
        <v>2635.8599999999988</v>
      </c>
      <c r="I15" s="388"/>
    </row>
    <row r="16" spans="1:9" s="389" customFormat="1" ht="12.75" customHeight="1" x14ac:dyDescent="0.25">
      <c r="A16" s="382" t="s">
        <v>571</v>
      </c>
      <c r="B16" s="383">
        <v>46098</v>
      </c>
      <c r="C16" s="391" t="s">
        <v>572</v>
      </c>
      <c r="D16" s="386"/>
      <c r="E16" s="386">
        <f t="shared" si="0"/>
        <v>30122</v>
      </c>
      <c r="F16" s="392">
        <v>1426.96</v>
      </c>
      <c r="G16" s="387">
        <f t="shared" si="1"/>
        <v>28913.100000000002</v>
      </c>
      <c r="H16" s="387">
        <f t="shared" si="2"/>
        <v>1208.8999999999987</v>
      </c>
      <c r="I16" s="388"/>
    </row>
    <row r="17" spans="1:9" s="389" customFormat="1" ht="12.75" customHeight="1" x14ac:dyDescent="0.25">
      <c r="A17" s="382" t="s">
        <v>815</v>
      </c>
      <c r="B17" s="383">
        <v>46175</v>
      </c>
      <c r="C17" s="391" t="s">
        <v>816</v>
      </c>
      <c r="D17" s="386"/>
      <c r="E17" s="386">
        <f t="shared" si="0"/>
        <v>30122</v>
      </c>
      <c r="F17" s="392">
        <v>1208.9000000000001</v>
      </c>
      <c r="G17" s="387">
        <f t="shared" si="1"/>
        <v>30122.000000000004</v>
      </c>
      <c r="H17" s="387">
        <f t="shared" si="2"/>
        <v>-1.3642420526593924E-12</v>
      </c>
      <c r="I17" s="388"/>
    </row>
    <row r="18" spans="1:9" s="389" customFormat="1" ht="12.75" customHeight="1" x14ac:dyDescent="0.25">
      <c r="A18" s="382"/>
      <c r="B18" s="383"/>
      <c r="C18" s="391"/>
      <c r="D18" s="386"/>
      <c r="E18" s="386">
        <f t="shared" si="0"/>
        <v>30122</v>
      </c>
      <c r="F18" s="392"/>
      <c r="G18" s="387">
        <f t="shared" si="1"/>
        <v>30122.000000000004</v>
      </c>
      <c r="H18" s="387">
        <f t="shared" si="2"/>
        <v>-1.3642420526593924E-12</v>
      </c>
      <c r="I18" s="388"/>
    </row>
    <row r="19" spans="1:9" s="389" customFormat="1" ht="12.75" customHeight="1" x14ac:dyDescent="0.25">
      <c r="A19" s="382"/>
      <c r="B19" s="383"/>
      <c r="C19" s="391"/>
      <c r="D19" s="386"/>
      <c r="E19" s="386">
        <f t="shared" si="0"/>
        <v>30122</v>
      </c>
      <c r="F19" s="387"/>
      <c r="G19" s="387">
        <f t="shared" si="1"/>
        <v>30122.000000000004</v>
      </c>
      <c r="H19" s="387">
        <f t="shared" si="2"/>
        <v>-1.3642420526593924E-12</v>
      </c>
      <c r="I19" s="388"/>
    </row>
    <row r="20" spans="1:9" s="389" customFormat="1" ht="12.75" customHeight="1" x14ac:dyDescent="0.25">
      <c r="A20" s="382"/>
      <c r="B20" s="383"/>
      <c r="C20" s="391"/>
      <c r="D20" s="386"/>
      <c r="E20" s="386">
        <f t="shared" si="0"/>
        <v>30122</v>
      </c>
      <c r="F20" s="387"/>
      <c r="G20" s="387">
        <f t="shared" si="1"/>
        <v>30122.000000000004</v>
      </c>
      <c r="H20" s="387">
        <f t="shared" si="2"/>
        <v>-1.3642420526593924E-12</v>
      </c>
      <c r="I20" s="388"/>
    </row>
    <row r="21" spans="1:9" s="389" customFormat="1" ht="12.75" customHeight="1" x14ac:dyDescent="0.25">
      <c r="A21" s="382"/>
      <c r="B21" s="383"/>
      <c r="C21" s="393"/>
      <c r="D21" s="386"/>
      <c r="E21" s="386">
        <f t="shared" si="0"/>
        <v>30122</v>
      </c>
      <c r="F21" s="387"/>
      <c r="G21" s="387">
        <f t="shared" si="1"/>
        <v>30122.000000000004</v>
      </c>
      <c r="H21" s="387">
        <f t="shared" si="2"/>
        <v>-1.3642420526593924E-12</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30122</v>
      </c>
      <c r="E23" s="396"/>
      <c r="F23" s="396">
        <f>SUM(F9:F22)</f>
        <v>30122.000000000004</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252</v>
      </c>
      <c r="D26" s="387">
        <v>29082</v>
      </c>
      <c r="E26" s="387"/>
      <c r="F26" s="387">
        <f>2589.8+9641.74+8987.15+3257.43+1006.8+1123.22+1266.96+1208.9</f>
        <v>29082.000000000004</v>
      </c>
      <c r="G26" s="387"/>
      <c r="H26" s="387">
        <f>D26-F26</f>
        <v>0</v>
      </c>
      <c r="I26" s="388"/>
    </row>
    <row r="27" spans="1:9" s="389" customFormat="1" ht="12.75" customHeight="1" x14ac:dyDescent="0.25">
      <c r="A27" s="382"/>
      <c r="B27" s="391"/>
      <c r="C27" s="372" t="s">
        <v>253</v>
      </c>
      <c r="D27" s="387">
        <v>1040</v>
      </c>
      <c r="E27" s="398"/>
      <c r="F27" s="387">
        <f>240+480+160+160</f>
        <v>1040</v>
      </c>
      <c r="G27" s="398"/>
      <c r="H27" s="387">
        <f>D27-F27</f>
        <v>0</v>
      </c>
      <c r="I27" s="388"/>
    </row>
    <row r="28" spans="1:9" s="389" customFormat="1" ht="12.75" customHeight="1" thickBot="1" x14ac:dyDescent="0.3">
      <c r="A28" s="382"/>
      <c r="B28" s="391"/>
      <c r="C28" s="399" t="s">
        <v>157</v>
      </c>
      <c r="D28" s="400">
        <f>SUM(D26:D27)</f>
        <v>30122</v>
      </c>
      <c r="E28" s="392"/>
      <c r="F28" s="400">
        <f>SUM(F26:F27)</f>
        <v>30122.000000000004</v>
      </c>
      <c r="G28" s="392"/>
      <c r="H28" s="400">
        <f>SUM(H26:H27)</f>
        <v>0</v>
      </c>
      <c r="I28" s="388"/>
    </row>
    <row r="29" spans="1:9" s="389" customFormat="1" ht="12.75" customHeight="1" thickTop="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row r="51" s="389" customFormat="1" ht="12.75" customHeight="1" x14ac:dyDescent="0.25"/>
    <row r="52" s="389" customFormat="1" ht="12.75" customHeight="1" x14ac:dyDescent="0.25"/>
    <row r="53" s="389" customFormat="1" ht="12.75" customHeight="1" x14ac:dyDescent="0.25"/>
    <row r="54" s="389" customFormat="1" ht="12.75" customHeight="1" x14ac:dyDescent="0.25"/>
    <row r="55" s="389" customFormat="1" ht="12.75" customHeight="1" x14ac:dyDescent="0.25"/>
    <row r="56" s="389" customFormat="1" ht="12.75" customHeight="1" x14ac:dyDescent="0.25"/>
    <row r="57" s="389" customFormat="1" ht="12.75" customHeight="1" x14ac:dyDescent="0.25"/>
    <row r="58" s="389" customFormat="1" ht="12.75" customHeight="1" x14ac:dyDescent="0.25"/>
    <row r="59" s="389" customFormat="1" ht="12.75" customHeight="1" x14ac:dyDescent="0.25"/>
    <row r="60" s="389" customFormat="1" ht="12.75" customHeight="1" x14ac:dyDescent="0.25"/>
    <row r="61" s="389" customFormat="1" ht="12.75" customHeight="1" x14ac:dyDescent="0.25"/>
    <row r="62" s="389" customFormat="1" ht="12.75" customHeight="1" x14ac:dyDescent="0.25"/>
    <row r="63" s="389" customFormat="1" ht="12.75" customHeight="1" x14ac:dyDescent="0.25"/>
    <row r="64" s="389" customFormat="1" ht="12.75" customHeight="1" x14ac:dyDescent="0.25"/>
    <row r="65" s="389" customFormat="1" ht="12.75" customHeight="1" x14ac:dyDescent="0.25"/>
    <row r="66" s="389" customFormat="1" ht="12.75" customHeight="1" x14ac:dyDescent="0.25"/>
    <row r="67" s="389" customFormat="1" ht="12.75" customHeight="1" x14ac:dyDescent="0.25"/>
    <row r="68" s="389" customFormat="1" ht="12.75" customHeight="1" x14ac:dyDescent="0.25"/>
    <row r="69" s="389" customFormat="1" ht="12.75" customHeight="1" x14ac:dyDescent="0.25"/>
    <row r="70" s="389" customFormat="1" ht="12.75" customHeight="1" x14ac:dyDescent="0.25"/>
    <row r="71" s="389" customFormat="1" ht="12.75" customHeight="1" x14ac:dyDescent="0.25"/>
    <row r="72" s="389" customFormat="1" ht="12.75" customHeight="1" x14ac:dyDescent="0.25"/>
    <row r="73" s="389" customFormat="1" ht="12.75" customHeight="1" x14ac:dyDescent="0.25"/>
    <row r="74" s="389" customFormat="1" ht="12.75" customHeight="1" x14ac:dyDescent="0.25"/>
    <row r="75" s="389" customFormat="1" ht="12.75" customHeight="1" x14ac:dyDescent="0.25"/>
    <row r="76" s="389" customFormat="1" ht="12.75" customHeight="1" x14ac:dyDescent="0.25"/>
    <row r="77" s="389" customFormat="1" ht="12.75" customHeight="1" x14ac:dyDescent="0.25"/>
    <row r="78" s="389" customFormat="1" ht="12.75" customHeight="1" x14ac:dyDescent="0.25"/>
    <row r="79" s="389" customFormat="1" ht="12.75" customHeight="1" x14ac:dyDescent="0.25"/>
    <row r="80" s="389" customFormat="1" ht="12.75" customHeight="1" x14ac:dyDescent="0.25"/>
    <row r="81" s="389" customFormat="1" ht="12.75" customHeight="1" x14ac:dyDescent="0.25"/>
    <row r="82" s="389" customFormat="1" ht="12.75" customHeight="1" x14ac:dyDescent="0.25"/>
    <row r="83" s="389" customFormat="1" ht="12.75" customHeight="1" x14ac:dyDescent="0.25"/>
    <row r="84" s="389" customFormat="1" ht="12.75" customHeight="1" x14ac:dyDescent="0.25"/>
    <row r="85" s="389" customFormat="1" ht="12.75" customHeight="1" x14ac:dyDescent="0.25"/>
    <row r="86" s="389" customFormat="1" ht="12.75" customHeight="1" x14ac:dyDescent="0.25"/>
    <row r="87" s="389" customFormat="1" ht="12.75" customHeight="1" x14ac:dyDescent="0.25"/>
    <row r="88" s="389" customFormat="1" ht="12.75" customHeight="1" x14ac:dyDescent="0.25"/>
    <row r="89" s="389" customFormat="1" ht="12.75" customHeight="1" x14ac:dyDescent="0.25"/>
    <row r="90" s="389" customFormat="1" ht="12.75" customHeight="1" x14ac:dyDescent="0.25"/>
    <row r="91" s="389" customFormat="1" ht="12.75" customHeight="1" x14ac:dyDescent="0.25"/>
    <row r="92" s="389" customFormat="1" ht="12.75" customHeight="1" x14ac:dyDescent="0.25"/>
    <row r="93" s="389" customFormat="1" ht="12.75" customHeight="1" x14ac:dyDescent="0.25"/>
    <row r="94" s="389" customFormat="1" ht="12.75" customHeight="1" x14ac:dyDescent="0.25"/>
    <row r="95" s="389" customFormat="1" ht="12.75" customHeight="1" x14ac:dyDescent="0.25"/>
    <row r="96" s="389" customFormat="1" ht="12.75" customHeight="1" x14ac:dyDescent="0.25"/>
    <row r="97" s="389" customFormat="1" ht="12.75" customHeight="1" x14ac:dyDescent="0.25"/>
    <row r="98" s="389" customFormat="1" ht="12.75" customHeight="1" x14ac:dyDescent="0.25"/>
    <row r="99" s="389" customFormat="1" ht="12.75" customHeight="1" x14ac:dyDescent="0.25"/>
    <row r="100" s="389" customFormat="1" ht="12.75" customHeight="1" x14ac:dyDescent="0.25"/>
    <row r="101" s="389" customFormat="1" ht="12.75" customHeight="1" x14ac:dyDescent="0.25"/>
    <row r="102" s="389" customFormat="1" ht="12.75" customHeight="1" x14ac:dyDescent="0.25"/>
    <row r="103" s="389" customFormat="1" ht="12.75" customHeight="1" x14ac:dyDescent="0.25"/>
    <row r="104" s="389" customFormat="1" ht="12.75" customHeight="1" x14ac:dyDescent="0.25"/>
    <row r="105" s="389" customFormat="1" ht="12.75" customHeight="1" x14ac:dyDescent="0.25"/>
    <row r="106" s="389" customFormat="1" ht="12.75" customHeight="1" x14ac:dyDescent="0.25"/>
    <row r="107" s="389" customFormat="1" ht="12.75" customHeight="1" x14ac:dyDescent="0.25"/>
    <row r="108" s="389" customFormat="1" ht="12.75" customHeight="1" x14ac:dyDescent="0.25"/>
    <row r="109" s="389" customFormat="1" ht="12.75" customHeight="1" x14ac:dyDescent="0.25"/>
    <row r="110" s="389" customFormat="1" ht="12.75" customHeight="1" x14ac:dyDescent="0.25"/>
    <row r="111" s="389" customFormat="1" ht="12.75" customHeight="1" x14ac:dyDescent="0.25"/>
    <row r="112" s="389" customFormat="1" ht="12.75" customHeight="1" x14ac:dyDescent="0.25"/>
  </sheetData>
  <pageMargins left="0.25" right="0.25" top="0.85" bottom="0.75" header="0.08" footer="0.3"/>
  <pageSetup scale="75" fitToHeight="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8B7C7-D42D-48A2-BCD8-709E67F0E5D6}">
  <sheetPr codeName="Sheet31">
    <tabColor rgb="FF0070C0"/>
    <pageSetUpPr fitToPage="1"/>
  </sheetPr>
  <dimension ref="A1:I29"/>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9" width="12.42578125"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195"/>
    </row>
    <row r="2" spans="1:9" ht="15.75" x14ac:dyDescent="0.25">
      <c r="A2" s="134" t="str">
        <f>'RECAP #9480.01'!B2</f>
        <v>Project # 9480.01</v>
      </c>
      <c r="B2" s="196"/>
      <c r="C2" s="193"/>
      <c r="D2" s="193"/>
      <c r="E2" s="193"/>
      <c r="F2" s="194"/>
      <c r="G2" s="194"/>
      <c r="H2" s="195"/>
      <c r="I2" s="195"/>
    </row>
    <row r="3" spans="1:9" ht="15.75" x14ac:dyDescent="0.25">
      <c r="A3" s="197" t="str">
        <f>'RECAP #9480.01'!B3</f>
        <v>Program code 948001</v>
      </c>
      <c r="B3" s="196"/>
      <c r="C3" s="193"/>
      <c r="D3" s="198" t="str">
        <f>'RECAP #9480.01'!E3</f>
        <v>Major Program 3D02</v>
      </c>
      <c r="E3" s="193"/>
      <c r="F3" s="194"/>
      <c r="G3" s="194"/>
      <c r="H3" s="195"/>
      <c r="I3" s="195"/>
    </row>
    <row r="4" spans="1:9" ht="15.75" x14ac:dyDescent="0.25">
      <c r="A4" s="116" t="s">
        <v>242</v>
      </c>
      <c r="B4" s="134"/>
      <c r="C4" s="195"/>
      <c r="D4" s="199" t="s">
        <v>243</v>
      </c>
      <c r="E4" s="194"/>
      <c r="F4" s="194"/>
      <c r="G4" s="194"/>
      <c r="H4" s="195"/>
      <c r="I4" s="195"/>
    </row>
    <row r="5" spans="1:9" ht="15.75" x14ac:dyDescent="0.25">
      <c r="A5" s="200" t="s">
        <v>147</v>
      </c>
      <c r="B5" s="195"/>
      <c r="C5" s="201"/>
      <c r="D5" s="140" t="s">
        <v>162</v>
      </c>
      <c r="E5" s="145"/>
      <c r="F5" s="194"/>
      <c r="G5" s="194"/>
      <c r="H5" s="195"/>
      <c r="I5" s="195"/>
    </row>
    <row r="6" spans="1:9" ht="15.75" x14ac:dyDescent="0.25">
      <c r="A6" s="134" t="str">
        <f>'RECAP #9480.01'!B6</f>
        <v>Project Manager - Jennifer K.</v>
      </c>
      <c r="B6" s="134"/>
      <c r="C6" s="202"/>
      <c r="D6" s="300" t="s">
        <v>156</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2" t="s">
        <v>297</v>
      </c>
    </row>
    <row r="9" spans="1:9" s="389" customFormat="1" ht="12.75" customHeight="1" x14ac:dyDescent="0.25">
      <c r="A9" s="382" t="s">
        <v>244</v>
      </c>
      <c r="B9" s="383">
        <v>45929</v>
      </c>
      <c r="C9" s="384" t="s">
        <v>146</v>
      </c>
      <c r="D9" s="385">
        <v>29700</v>
      </c>
      <c r="E9" s="386">
        <f>D9</f>
        <v>29700</v>
      </c>
      <c r="F9" s="387"/>
      <c r="G9" s="387"/>
      <c r="H9" s="387">
        <f>E9</f>
        <v>29700</v>
      </c>
      <c r="I9" s="388"/>
    </row>
    <row r="10" spans="1:9" s="389" customFormat="1" ht="12.75" customHeight="1" x14ac:dyDescent="0.25">
      <c r="A10" s="382" t="s">
        <v>295</v>
      </c>
      <c r="B10" s="390">
        <v>45965</v>
      </c>
      <c r="C10" s="391" t="s">
        <v>296</v>
      </c>
      <c r="D10" s="386"/>
      <c r="E10" s="386">
        <f t="shared" ref="E10:E21" si="0">E9+D10</f>
        <v>29700</v>
      </c>
      <c r="F10" s="392">
        <v>21940.43</v>
      </c>
      <c r="G10" s="387">
        <f t="shared" ref="G10:G21" si="1">G9+F10</f>
        <v>21940.43</v>
      </c>
      <c r="H10" s="387">
        <f t="shared" ref="H10:H21" si="2">H9-F10+D10</f>
        <v>7759.57</v>
      </c>
      <c r="I10" s="397">
        <f>678.57</f>
        <v>678.57</v>
      </c>
    </row>
    <row r="11" spans="1:9" s="389" customFormat="1" ht="12.75" customHeight="1" x14ac:dyDescent="0.25">
      <c r="A11" s="382" t="s">
        <v>346</v>
      </c>
      <c r="B11" s="383">
        <v>45994</v>
      </c>
      <c r="C11" s="391" t="s">
        <v>347</v>
      </c>
      <c r="D11" s="386"/>
      <c r="E11" s="386">
        <f t="shared" si="0"/>
        <v>29700</v>
      </c>
      <c r="F11" s="392">
        <v>5898.57</v>
      </c>
      <c r="G11" s="387">
        <f t="shared" si="1"/>
        <v>27839</v>
      </c>
      <c r="H11" s="387">
        <f t="shared" si="2"/>
        <v>1861</v>
      </c>
      <c r="I11" s="414">
        <f>I10+182.43</f>
        <v>861</v>
      </c>
    </row>
    <row r="12" spans="1:9" s="389" customFormat="1" ht="12.75" customHeight="1" x14ac:dyDescent="0.25">
      <c r="A12" s="382" t="s">
        <v>449</v>
      </c>
      <c r="B12" s="383">
        <v>46048</v>
      </c>
      <c r="C12" s="391" t="s">
        <v>450</v>
      </c>
      <c r="D12" s="386"/>
      <c r="E12" s="386">
        <f t="shared" si="0"/>
        <v>29700</v>
      </c>
      <c r="F12" s="392">
        <v>970</v>
      </c>
      <c r="G12" s="387">
        <f t="shared" si="1"/>
        <v>28809</v>
      </c>
      <c r="H12" s="387">
        <f t="shared" si="2"/>
        <v>891</v>
      </c>
      <c r="I12" s="414">
        <f>I11+30</f>
        <v>891</v>
      </c>
    </row>
    <row r="13" spans="1:9" s="389" customFormat="1" ht="12.75" customHeight="1" x14ac:dyDescent="0.25">
      <c r="A13" s="382" t="s">
        <v>484</v>
      </c>
      <c r="B13" s="383">
        <v>46058</v>
      </c>
      <c r="C13" s="391" t="s">
        <v>438</v>
      </c>
      <c r="D13" s="386"/>
      <c r="E13" s="386">
        <f t="shared" si="0"/>
        <v>29700</v>
      </c>
      <c r="F13" s="392">
        <v>891</v>
      </c>
      <c r="G13" s="387">
        <f t="shared" si="1"/>
        <v>29700</v>
      </c>
      <c r="H13" s="387">
        <f t="shared" si="2"/>
        <v>0</v>
      </c>
      <c r="I13" s="388"/>
    </row>
    <row r="14" spans="1:9" s="389" customFormat="1" ht="12.75" customHeight="1" x14ac:dyDescent="0.25">
      <c r="A14" s="382"/>
      <c r="B14" s="383"/>
      <c r="C14" s="391"/>
      <c r="D14" s="386"/>
      <c r="E14" s="386">
        <f t="shared" si="0"/>
        <v>29700</v>
      </c>
      <c r="F14" s="387"/>
      <c r="G14" s="387">
        <f t="shared" si="1"/>
        <v>29700</v>
      </c>
      <c r="H14" s="387">
        <f t="shared" si="2"/>
        <v>0</v>
      </c>
      <c r="I14" s="388"/>
    </row>
    <row r="15" spans="1:9" s="389" customFormat="1" ht="12.75" customHeight="1" x14ac:dyDescent="0.25">
      <c r="A15" s="382"/>
      <c r="B15" s="383"/>
      <c r="C15" s="391"/>
      <c r="D15" s="386"/>
      <c r="E15" s="386">
        <f t="shared" si="0"/>
        <v>29700</v>
      </c>
      <c r="F15" s="392"/>
      <c r="G15" s="387">
        <f t="shared" si="1"/>
        <v>29700</v>
      </c>
      <c r="H15" s="387">
        <f t="shared" si="2"/>
        <v>0</v>
      </c>
      <c r="I15" s="388"/>
    </row>
    <row r="16" spans="1:9" s="389" customFormat="1" ht="12.75" customHeight="1" x14ac:dyDescent="0.25">
      <c r="A16" s="382"/>
      <c r="B16" s="383"/>
      <c r="C16" s="391"/>
      <c r="D16" s="386"/>
      <c r="E16" s="386">
        <f t="shared" si="0"/>
        <v>29700</v>
      </c>
      <c r="F16" s="392"/>
      <c r="G16" s="387">
        <f t="shared" si="1"/>
        <v>29700</v>
      </c>
      <c r="H16" s="387">
        <f t="shared" si="2"/>
        <v>0</v>
      </c>
      <c r="I16" s="388"/>
    </row>
    <row r="17" spans="1:9" s="389" customFormat="1" ht="12.75" customHeight="1" x14ac:dyDescent="0.25">
      <c r="A17" s="382"/>
      <c r="B17" s="383"/>
      <c r="C17" s="391"/>
      <c r="D17" s="386"/>
      <c r="E17" s="386">
        <f t="shared" si="0"/>
        <v>29700</v>
      </c>
      <c r="F17" s="392"/>
      <c r="G17" s="387">
        <f t="shared" si="1"/>
        <v>29700</v>
      </c>
      <c r="H17" s="387">
        <f t="shared" si="2"/>
        <v>0</v>
      </c>
      <c r="I17" s="388"/>
    </row>
    <row r="18" spans="1:9" s="389" customFormat="1" ht="12.75" customHeight="1" x14ac:dyDescent="0.25">
      <c r="A18" s="382"/>
      <c r="B18" s="383"/>
      <c r="C18" s="391"/>
      <c r="D18" s="386"/>
      <c r="E18" s="386">
        <f t="shared" si="0"/>
        <v>29700</v>
      </c>
      <c r="F18" s="392"/>
      <c r="G18" s="387">
        <f t="shared" si="1"/>
        <v>29700</v>
      </c>
      <c r="H18" s="387">
        <f t="shared" si="2"/>
        <v>0</v>
      </c>
      <c r="I18" s="388"/>
    </row>
    <row r="19" spans="1:9" s="389" customFormat="1" ht="12.75" customHeight="1" x14ac:dyDescent="0.25">
      <c r="A19" s="382"/>
      <c r="B19" s="383"/>
      <c r="C19" s="391"/>
      <c r="D19" s="386"/>
      <c r="E19" s="386">
        <f t="shared" si="0"/>
        <v>29700</v>
      </c>
      <c r="F19" s="387"/>
      <c r="G19" s="387">
        <f t="shared" si="1"/>
        <v>29700</v>
      </c>
      <c r="H19" s="387">
        <f t="shared" si="2"/>
        <v>0</v>
      </c>
      <c r="I19" s="388"/>
    </row>
    <row r="20" spans="1:9" s="389" customFormat="1" ht="12.75" customHeight="1" x14ac:dyDescent="0.25">
      <c r="A20" s="382"/>
      <c r="B20" s="383"/>
      <c r="C20" s="391"/>
      <c r="D20" s="386"/>
      <c r="E20" s="386">
        <f t="shared" si="0"/>
        <v>29700</v>
      </c>
      <c r="F20" s="387"/>
      <c r="G20" s="387">
        <f t="shared" si="1"/>
        <v>29700</v>
      </c>
      <c r="H20" s="387">
        <f t="shared" si="2"/>
        <v>0</v>
      </c>
      <c r="I20" s="388"/>
    </row>
    <row r="21" spans="1:9" s="389" customFormat="1" ht="12.75" customHeight="1" x14ac:dyDescent="0.25">
      <c r="A21" s="382"/>
      <c r="B21" s="383"/>
      <c r="C21" s="393"/>
      <c r="D21" s="386"/>
      <c r="E21" s="386">
        <f t="shared" si="0"/>
        <v>29700</v>
      </c>
      <c r="F21" s="387"/>
      <c r="G21" s="387">
        <f t="shared" si="1"/>
        <v>29700</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29700</v>
      </c>
      <c r="E23" s="396"/>
      <c r="F23" s="396">
        <f>SUM(F9:F22)</f>
        <v>29700</v>
      </c>
      <c r="G23" s="396"/>
      <c r="H23" s="396">
        <f>D23-F23</f>
        <v>0</v>
      </c>
      <c r="I23" s="397" t="s">
        <v>341</v>
      </c>
    </row>
    <row r="24" spans="1:9" s="389" customFormat="1" ht="12.75" customHeight="1" thickTop="1" x14ac:dyDescent="0.25"/>
    <row r="25" spans="1:9" s="389" customFormat="1" ht="12.75" customHeight="1" x14ac:dyDescent="0.25"/>
    <row r="26" spans="1:9" s="389" customFormat="1" ht="12.75" customHeight="1" x14ac:dyDescent="0.25"/>
    <row r="27" spans="1:9" s="389" customFormat="1" ht="12.75" customHeight="1" x14ac:dyDescent="0.25"/>
    <row r="28" spans="1:9" s="389" customFormat="1" ht="12.75" customHeight="1" x14ac:dyDescent="0.25"/>
    <row r="29" spans="1:9" s="389" customFormat="1" ht="12.75" customHeight="1" x14ac:dyDescent="0.25"/>
  </sheetData>
  <pageMargins left="0.25" right="0.25" top="0.85" bottom="0.75" header="0.08" footer="0.3"/>
  <pageSetup scale="76" fitToHeight="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DE48C-8232-4A75-8E5B-D5849DD55AA7}">
  <sheetPr codeName="Sheet32">
    <tabColor rgb="FF0070C0"/>
    <pageSetUpPr fitToPage="1"/>
  </sheetPr>
  <dimension ref="A1:I30"/>
  <sheetViews>
    <sheetView topLeftCell="A3"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195"/>
    </row>
    <row r="2" spans="1:9" ht="15.75" x14ac:dyDescent="0.25">
      <c r="A2" s="134" t="str">
        <f>'RECAP #9480.01'!B2</f>
        <v>Project # 9480.01</v>
      </c>
      <c r="B2" s="196"/>
      <c r="C2" s="193"/>
      <c r="D2" s="193"/>
      <c r="E2" s="193"/>
      <c r="F2" s="194"/>
      <c r="G2" s="194"/>
      <c r="H2" s="195"/>
      <c r="I2" s="195"/>
    </row>
    <row r="3" spans="1:9" ht="15.75" x14ac:dyDescent="0.25">
      <c r="A3" s="197" t="str">
        <f>'RECAP #9480.01'!B3</f>
        <v>Program code 948001</v>
      </c>
      <c r="B3" s="196"/>
      <c r="C3" s="193"/>
      <c r="D3" s="198" t="str">
        <f>'RECAP #9480.01'!E3</f>
        <v>Major Program 3D02</v>
      </c>
      <c r="E3" s="193"/>
      <c r="F3" s="194"/>
      <c r="G3" s="194"/>
      <c r="H3" s="195"/>
      <c r="I3" s="195"/>
    </row>
    <row r="4" spans="1:9" ht="15.75" x14ac:dyDescent="0.25">
      <c r="A4" s="116" t="s">
        <v>245</v>
      </c>
      <c r="B4" s="134"/>
      <c r="C4" s="195"/>
      <c r="D4" s="199" t="s">
        <v>246</v>
      </c>
      <c r="E4" s="194"/>
      <c r="F4" s="194"/>
      <c r="G4" s="194"/>
      <c r="H4" s="195"/>
      <c r="I4" s="195"/>
    </row>
    <row r="5" spans="1:9" ht="15.75" x14ac:dyDescent="0.25">
      <c r="A5" s="200" t="s">
        <v>147</v>
      </c>
      <c r="B5" s="195"/>
      <c r="C5" s="201"/>
      <c r="D5" s="140" t="s">
        <v>247</v>
      </c>
      <c r="E5" s="145"/>
      <c r="F5" s="194"/>
      <c r="G5" s="194"/>
      <c r="H5" s="195"/>
      <c r="I5" s="195"/>
    </row>
    <row r="6" spans="1:9" ht="15.75" x14ac:dyDescent="0.25">
      <c r="A6" s="134" t="str">
        <f>'RECAP #9480.01'!B6</f>
        <v>Project Manager - Jennifer K.</v>
      </c>
      <c r="B6" s="134"/>
      <c r="C6" s="202"/>
      <c r="D6" s="300" t="s">
        <v>156</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248</v>
      </c>
      <c r="B9" s="383">
        <v>45929</v>
      </c>
      <c r="C9" s="384" t="s">
        <v>146</v>
      </c>
      <c r="D9" s="385">
        <v>4907.4799999999996</v>
      </c>
      <c r="E9" s="386">
        <f>D9</f>
        <v>4907.4799999999996</v>
      </c>
      <c r="F9" s="387"/>
      <c r="G9" s="387"/>
      <c r="H9" s="387">
        <f>E9</f>
        <v>4907.4799999999996</v>
      </c>
      <c r="I9" s="388"/>
    </row>
    <row r="10" spans="1:9" s="389" customFormat="1" ht="12.75" customHeight="1" x14ac:dyDescent="0.25">
      <c r="A10" s="382" t="s">
        <v>381</v>
      </c>
      <c r="B10" s="390">
        <v>46007</v>
      </c>
      <c r="C10" s="391" t="s">
        <v>382</v>
      </c>
      <c r="D10" s="385">
        <v>-1389.37</v>
      </c>
      <c r="E10" s="386">
        <f t="shared" ref="E10:E21" si="0">E9+D10</f>
        <v>3518.1099999999997</v>
      </c>
      <c r="F10" s="392">
        <v>3518.11</v>
      </c>
      <c r="G10" s="387">
        <f t="shared" ref="G10:G21" si="1">G9+F10</f>
        <v>3518.11</v>
      </c>
      <c r="H10" s="387">
        <f t="shared" ref="H10:H21" si="2">H9-F10+D10</f>
        <v>0</v>
      </c>
      <c r="I10" s="388"/>
    </row>
    <row r="11" spans="1:9" s="389" customFormat="1" ht="12.75" customHeight="1" x14ac:dyDescent="0.25">
      <c r="A11" s="382"/>
      <c r="B11" s="383"/>
      <c r="C11" s="391"/>
      <c r="D11" s="386"/>
      <c r="E11" s="386">
        <f t="shared" si="0"/>
        <v>3518.1099999999997</v>
      </c>
      <c r="F11" s="392"/>
      <c r="G11" s="387">
        <f t="shared" si="1"/>
        <v>3518.11</v>
      </c>
      <c r="H11" s="387">
        <f t="shared" si="2"/>
        <v>0</v>
      </c>
      <c r="I11" s="388"/>
    </row>
    <row r="12" spans="1:9" s="389" customFormat="1" ht="12.75" customHeight="1" x14ac:dyDescent="0.25">
      <c r="A12" s="382"/>
      <c r="B12" s="383"/>
      <c r="C12" s="391"/>
      <c r="D12" s="386"/>
      <c r="E12" s="386">
        <f t="shared" si="0"/>
        <v>3518.1099999999997</v>
      </c>
      <c r="F12" s="392"/>
      <c r="G12" s="387">
        <f t="shared" si="1"/>
        <v>3518.11</v>
      </c>
      <c r="H12" s="387">
        <f t="shared" si="2"/>
        <v>0</v>
      </c>
      <c r="I12" s="388"/>
    </row>
    <row r="13" spans="1:9" s="389" customFormat="1" ht="12.75" customHeight="1" x14ac:dyDescent="0.25">
      <c r="A13" s="382"/>
      <c r="B13" s="383"/>
      <c r="C13" s="391"/>
      <c r="D13" s="386"/>
      <c r="E13" s="386">
        <f t="shared" si="0"/>
        <v>3518.1099999999997</v>
      </c>
      <c r="F13" s="392"/>
      <c r="G13" s="387">
        <f t="shared" si="1"/>
        <v>3518.11</v>
      </c>
      <c r="H13" s="387">
        <f t="shared" si="2"/>
        <v>0</v>
      </c>
      <c r="I13" s="388"/>
    </row>
    <row r="14" spans="1:9" s="389" customFormat="1" ht="12.75" customHeight="1" x14ac:dyDescent="0.25">
      <c r="A14" s="382"/>
      <c r="B14" s="383"/>
      <c r="C14" s="391"/>
      <c r="D14" s="386"/>
      <c r="E14" s="386">
        <f t="shared" si="0"/>
        <v>3518.1099999999997</v>
      </c>
      <c r="F14" s="387"/>
      <c r="G14" s="387">
        <f t="shared" si="1"/>
        <v>3518.11</v>
      </c>
      <c r="H14" s="387">
        <f t="shared" si="2"/>
        <v>0</v>
      </c>
      <c r="I14" s="388"/>
    </row>
    <row r="15" spans="1:9" s="389" customFormat="1" ht="12.75" customHeight="1" x14ac:dyDescent="0.25">
      <c r="A15" s="382"/>
      <c r="B15" s="383"/>
      <c r="C15" s="391"/>
      <c r="D15" s="386"/>
      <c r="E15" s="386">
        <f t="shared" si="0"/>
        <v>3518.1099999999997</v>
      </c>
      <c r="F15" s="392"/>
      <c r="G15" s="387">
        <f t="shared" si="1"/>
        <v>3518.11</v>
      </c>
      <c r="H15" s="387">
        <f t="shared" si="2"/>
        <v>0</v>
      </c>
      <c r="I15" s="388"/>
    </row>
    <row r="16" spans="1:9" s="389" customFormat="1" ht="12.75" customHeight="1" x14ac:dyDescent="0.25">
      <c r="A16" s="382"/>
      <c r="B16" s="383"/>
      <c r="C16" s="391"/>
      <c r="D16" s="386"/>
      <c r="E16" s="386">
        <f t="shared" si="0"/>
        <v>3518.1099999999997</v>
      </c>
      <c r="F16" s="392"/>
      <c r="G16" s="387">
        <f t="shared" si="1"/>
        <v>3518.11</v>
      </c>
      <c r="H16" s="387">
        <f t="shared" si="2"/>
        <v>0</v>
      </c>
      <c r="I16" s="388"/>
    </row>
    <row r="17" spans="1:9" s="389" customFormat="1" ht="12.75" customHeight="1" x14ac:dyDescent="0.25">
      <c r="A17" s="382"/>
      <c r="B17" s="383"/>
      <c r="C17" s="391"/>
      <c r="D17" s="386"/>
      <c r="E17" s="386">
        <f t="shared" si="0"/>
        <v>3518.1099999999997</v>
      </c>
      <c r="F17" s="392"/>
      <c r="G17" s="387">
        <f t="shared" si="1"/>
        <v>3518.11</v>
      </c>
      <c r="H17" s="387">
        <f t="shared" si="2"/>
        <v>0</v>
      </c>
      <c r="I17" s="388"/>
    </row>
    <row r="18" spans="1:9" s="389" customFormat="1" ht="12.75" customHeight="1" x14ac:dyDescent="0.25">
      <c r="A18" s="382"/>
      <c r="B18" s="383"/>
      <c r="C18" s="391"/>
      <c r="D18" s="386"/>
      <c r="E18" s="386">
        <f t="shared" si="0"/>
        <v>3518.1099999999997</v>
      </c>
      <c r="F18" s="392"/>
      <c r="G18" s="387">
        <f t="shared" si="1"/>
        <v>3518.11</v>
      </c>
      <c r="H18" s="387">
        <f t="shared" si="2"/>
        <v>0</v>
      </c>
      <c r="I18" s="388"/>
    </row>
    <row r="19" spans="1:9" s="389" customFormat="1" ht="12.75" customHeight="1" x14ac:dyDescent="0.25">
      <c r="A19" s="382"/>
      <c r="B19" s="383"/>
      <c r="C19" s="391"/>
      <c r="D19" s="386"/>
      <c r="E19" s="386">
        <f t="shared" si="0"/>
        <v>3518.1099999999997</v>
      </c>
      <c r="F19" s="387"/>
      <c r="G19" s="387">
        <f t="shared" si="1"/>
        <v>3518.11</v>
      </c>
      <c r="H19" s="387">
        <f t="shared" si="2"/>
        <v>0</v>
      </c>
      <c r="I19" s="388"/>
    </row>
    <row r="20" spans="1:9" s="389" customFormat="1" ht="12.75" customHeight="1" x14ac:dyDescent="0.25">
      <c r="A20" s="382"/>
      <c r="B20" s="383"/>
      <c r="C20" s="391"/>
      <c r="D20" s="386"/>
      <c r="E20" s="386">
        <f t="shared" si="0"/>
        <v>3518.1099999999997</v>
      </c>
      <c r="F20" s="387"/>
      <c r="G20" s="387">
        <f t="shared" si="1"/>
        <v>3518.11</v>
      </c>
      <c r="H20" s="387">
        <f t="shared" si="2"/>
        <v>0</v>
      </c>
      <c r="I20" s="388"/>
    </row>
    <row r="21" spans="1:9" s="389" customFormat="1" ht="12.75" customHeight="1" x14ac:dyDescent="0.25">
      <c r="A21" s="382"/>
      <c r="B21" s="383"/>
      <c r="C21" s="393"/>
      <c r="D21" s="386"/>
      <c r="E21" s="386">
        <f t="shared" si="0"/>
        <v>3518.1099999999997</v>
      </c>
      <c r="F21" s="387"/>
      <c r="G21" s="387">
        <f t="shared" si="1"/>
        <v>3518.11</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3518.1099999999997</v>
      </c>
      <c r="E23" s="396"/>
      <c r="F23" s="396">
        <f>SUM(F9:F22)</f>
        <v>3518.11</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249</v>
      </c>
      <c r="D26" s="387">
        <f>3097-1222.5</f>
        <v>1874.5</v>
      </c>
      <c r="E26" s="387"/>
      <c r="F26" s="387">
        <f>1874.5</f>
        <v>1874.5</v>
      </c>
      <c r="G26" s="387"/>
      <c r="H26" s="387">
        <f>D26-F26</f>
        <v>0</v>
      </c>
      <c r="I26" s="388"/>
    </row>
    <row r="27" spans="1:9" s="389" customFormat="1" ht="12.75" customHeight="1" x14ac:dyDescent="0.25">
      <c r="A27" s="382"/>
      <c r="B27" s="391"/>
      <c r="C27" s="372" t="s">
        <v>250</v>
      </c>
      <c r="D27" s="387">
        <f>1810.48-166.87</f>
        <v>1643.6100000000001</v>
      </c>
      <c r="E27" s="398"/>
      <c r="F27" s="387">
        <f>1643.61</f>
        <v>1643.61</v>
      </c>
      <c r="G27" s="398"/>
      <c r="H27" s="387">
        <f>D27-F27</f>
        <v>0</v>
      </c>
      <c r="I27" s="388"/>
    </row>
    <row r="28" spans="1:9" s="389" customFormat="1" ht="12.75" customHeight="1" thickBot="1" x14ac:dyDescent="0.3">
      <c r="A28" s="382"/>
      <c r="B28" s="391"/>
      <c r="C28" s="399" t="s">
        <v>157</v>
      </c>
      <c r="D28" s="400">
        <f>SUM(D26:D27)</f>
        <v>3518.11</v>
      </c>
      <c r="E28" s="392"/>
      <c r="F28" s="400">
        <f>SUM(F26:F27)</f>
        <v>3518.1099999999997</v>
      </c>
      <c r="G28" s="392"/>
      <c r="H28" s="400">
        <f>SUM(H26:H27)</f>
        <v>0</v>
      </c>
      <c r="I28" s="388"/>
    </row>
    <row r="29" spans="1:9" s="389" customFormat="1" ht="12.75" customHeight="1" thickTop="1" x14ac:dyDescent="0.25"/>
    <row r="30" spans="1:9" s="389" customFormat="1" ht="12.75" customHeight="1" x14ac:dyDescent="0.25"/>
  </sheetData>
  <conditionalFormatting sqref="I9:I22 I24:I25">
    <cfRule type="cellIs" dxfId="29" priority="1" operator="greaterThan">
      <formula>$H$23</formula>
    </cfRule>
  </conditionalFormatting>
  <pageMargins left="0.25" right="0.25" top="0.85" bottom="0.75" header="0.08" footer="0.3"/>
  <pageSetup scale="76" fitToHeight="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EEA2-93DA-4324-B2A4-0B727BB6239D}">
  <sheetPr codeName="Sheet33">
    <tabColor rgb="FF0070C0"/>
    <pageSetUpPr fitToPage="1"/>
  </sheetPr>
  <dimension ref="A1:I33"/>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7.5703125" style="267" bestFit="1" customWidth="1"/>
    <col min="4" max="4" width="14.42578125" style="267" customWidth="1"/>
    <col min="5" max="5" width="13.5703125" style="267" customWidth="1"/>
    <col min="6" max="6" width="12.42578125" style="267" customWidth="1"/>
    <col min="7" max="7" width="10.5703125" style="267" customWidth="1"/>
    <col min="8" max="8" width="11.28515625" style="267" customWidth="1"/>
    <col min="9" max="9" width="13"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#9480.01'!B1</f>
        <v>HHS STS Canteen Roof Repair Construction (29C20)</v>
      </c>
      <c r="B1" s="116"/>
      <c r="C1" s="193"/>
      <c r="D1" s="193"/>
      <c r="E1" s="193"/>
      <c r="F1" s="194"/>
      <c r="G1" s="194"/>
      <c r="H1" s="195"/>
      <c r="I1" s="412"/>
    </row>
    <row r="2" spans="1:9" ht="15.75" x14ac:dyDescent="0.25">
      <c r="A2" s="134" t="str">
        <f>'RECAP #9480.01'!B2</f>
        <v>Project # 9480.01</v>
      </c>
      <c r="B2" s="196"/>
      <c r="C2" s="193"/>
      <c r="D2" s="193"/>
      <c r="E2" s="193"/>
      <c r="F2" s="194"/>
      <c r="G2" s="194"/>
      <c r="H2" s="195"/>
      <c r="I2" s="412"/>
    </row>
    <row r="3" spans="1:9" ht="15.75" x14ac:dyDescent="0.25">
      <c r="A3" s="197" t="str">
        <f>'RECAP #9480.01'!B3</f>
        <v>Program code 948001</v>
      </c>
      <c r="B3" s="196"/>
      <c r="C3" s="193"/>
      <c r="D3" s="198" t="str">
        <f>'RECAP #9480.01'!E3</f>
        <v>Major Program 3D02</v>
      </c>
      <c r="E3" s="193"/>
      <c r="F3" s="194"/>
      <c r="G3" s="194"/>
      <c r="H3" s="195"/>
      <c r="I3" s="412"/>
    </row>
    <row r="4" spans="1:9" ht="15.75" x14ac:dyDescent="0.25">
      <c r="A4" s="116" t="s">
        <v>256</v>
      </c>
      <c r="B4" s="134"/>
      <c r="C4" s="195"/>
      <c r="D4" s="199" t="s">
        <v>257</v>
      </c>
      <c r="E4" s="194"/>
      <c r="F4" s="194"/>
      <c r="G4" s="194"/>
      <c r="H4" s="195"/>
      <c r="I4" s="412"/>
    </row>
    <row r="5" spans="1:9" ht="15.75" x14ac:dyDescent="0.25">
      <c r="A5" s="200" t="s">
        <v>147</v>
      </c>
      <c r="B5" s="195"/>
      <c r="C5" s="201"/>
      <c r="D5" s="140" t="s">
        <v>162</v>
      </c>
      <c r="E5" s="145"/>
      <c r="F5" s="194"/>
      <c r="G5" s="194"/>
      <c r="H5" s="195"/>
      <c r="I5" s="412"/>
    </row>
    <row r="6" spans="1:9" ht="15.75" x14ac:dyDescent="0.25">
      <c r="A6" s="134" t="str">
        <f>'RECAP #9480.01'!B6</f>
        <v>Project Manager - Jennifer K.</v>
      </c>
      <c r="B6" s="134"/>
      <c r="C6" s="202"/>
      <c r="D6" s="300" t="s">
        <v>156</v>
      </c>
      <c r="E6" s="145"/>
      <c r="F6" s="146"/>
      <c r="G6" s="194"/>
      <c r="H6" s="195"/>
      <c r="I6" s="412"/>
    </row>
    <row r="7" spans="1:9" ht="15.75" x14ac:dyDescent="0.25">
      <c r="A7" s="195"/>
      <c r="B7" s="203"/>
      <c r="C7" s="203"/>
      <c r="D7" s="195"/>
      <c r="E7" s="146"/>
      <c r="F7" s="146"/>
      <c r="G7" s="194"/>
      <c r="H7" s="195"/>
      <c r="I7" s="412" t="s">
        <v>3</v>
      </c>
    </row>
    <row r="8" spans="1:9" ht="32.25" thickBot="1" x14ac:dyDescent="0.3">
      <c r="A8" s="204" t="s">
        <v>49</v>
      </c>
      <c r="B8" s="205" t="s">
        <v>4</v>
      </c>
      <c r="C8" s="226" t="s">
        <v>11</v>
      </c>
      <c r="D8" s="192" t="s">
        <v>50</v>
      </c>
      <c r="E8" s="192" t="s">
        <v>51</v>
      </c>
      <c r="F8" s="192" t="s">
        <v>52</v>
      </c>
      <c r="G8" s="192" t="s">
        <v>53</v>
      </c>
      <c r="H8" s="192" t="s">
        <v>12</v>
      </c>
      <c r="I8" s="301" t="s">
        <v>297</v>
      </c>
    </row>
    <row r="9" spans="1:9" s="389" customFormat="1" ht="12.75" customHeight="1" x14ac:dyDescent="0.25">
      <c r="A9" s="382" t="s">
        <v>258</v>
      </c>
      <c r="B9" s="383">
        <v>45930</v>
      </c>
      <c r="C9" s="384" t="s">
        <v>146</v>
      </c>
      <c r="D9" s="385">
        <v>57958</v>
      </c>
      <c r="E9" s="386">
        <f>D9</f>
        <v>57958</v>
      </c>
      <c r="F9" s="387"/>
      <c r="G9" s="387"/>
      <c r="H9" s="387">
        <f>E9</f>
        <v>57958</v>
      </c>
      <c r="I9" s="387"/>
    </row>
    <row r="10" spans="1:9" s="389" customFormat="1" ht="12.75" customHeight="1" x14ac:dyDescent="0.25">
      <c r="A10" s="382" t="s">
        <v>258</v>
      </c>
      <c r="B10" s="390">
        <v>45950</v>
      </c>
      <c r="C10" s="391" t="s">
        <v>212</v>
      </c>
      <c r="D10" s="385">
        <v>-2082</v>
      </c>
      <c r="E10" s="386">
        <f t="shared" ref="E10:E21" si="0">E9+D10</f>
        <v>55876</v>
      </c>
      <c r="F10" s="392"/>
      <c r="G10" s="387">
        <f t="shared" ref="G10:G21" si="1">G9+F10</f>
        <v>0</v>
      </c>
      <c r="H10" s="387">
        <f t="shared" ref="H10:H21" si="2">H9-F10+D10</f>
        <v>55876</v>
      </c>
      <c r="I10" s="387"/>
    </row>
    <row r="11" spans="1:9" s="389" customFormat="1" ht="12.75" customHeight="1" x14ac:dyDescent="0.25">
      <c r="A11" s="382" t="s">
        <v>336</v>
      </c>
      <c r="B11" s="383">
        <v>45985</v>
      </c>
      <c r="C11" s="391" t="s">
        <v>337</v>
      </c>
      <c r="D11" s="386"/>
      <c r="E11" s="386">
        <f t="shared" si="0"/>
        <v>55876</v>
      </c>
      <c r="F11" s="392">
        <v>53229.72</v>
      </c>
      <c r="G11" s="387">
        <f t="shared" si="1"/>
        <v>53229.72</v>
      </c>
      <c r="H11" s="387">
        <f t="shared" si="2"/>
        <v>2646.2799999999988</v>
      </c>
      <c r="I11" s="392">
        <v>1646.28</v>
      </c>
    </row>
    <row r="12" spans="1:9" s="389" customFormat="1" ht="12.75" customHeight="1" x14ac:dyDescent="0.25">
      <c r="A12" s="382" t="s">
        <v>348</v>
      </c>
      <c r="B12" s="383">
        <v>45995</v>
      </c>
      <c r="C12" s="391" t="s">
        <v>349</v>
      </c>
      <c r="D12" s="386"/>
      <c r="E12" s="386">
        <f t="shared" si="0"/>
        <v>55876</v>
      </c>
      <c r="F12" s="392">
        <v>970</v>
      </c>
      <c r="G12" s="387">
        <f t="shared" si="1"/>
        <v>54199.72</v>
      </c>
      <c r="H12" s="387">
        <f t="shared" si="2"/>
        <v>1676.2799999999988</v>
      </c>
      <c r="I12" s="392">
        <f>I11+30</f>
        <v>1676.28</v>
      </c>
    </row>
    <row r="13" spans="1:9" s="389" customFormat="1" ht="12.75" customHeight="1" x14ac:dyDescent="0.25">
      <c r="A13" s="382" t="s">
        <v>437</v>
      </c>
      <c r="B13" s="383">
        <v>46042</v>
      </c>
      <c r="C13" s="391" t="s">
        <v>438</v>
      </c>
      <c r="D13" s="386"/>
      <c r="E13" s="386">
        <f t="shared" si="0"/>
        <v>55876</v>
      </c>
      <c r="F13" s="392">
        <v>1676.28</v>
      </c>
      <c r="G13" s="387">
        <f t="shared" si="1"/>
        <v>55876</v>
      </c>
      <c r="H13" s="387">
        <f t="shared" si="2"/>
        <v>-1.1368683772161603E-12</v>
      </c>
      <c r="I13" s="387"/>
    </row>
    <row r="14" spans="1:9" s="389" customFormat="1" ht="12.75" customHeight="1" x14ac:dyDescent="0.25">
      <c r="A14" s="382"/>
      <c r="B14" s="383">
        <v>46112</v>
      </c>
      <c r="C14" s="391" t="s">
        <v>604</v>
      </c>
      <c r="D14" s="386"/>
      <c r="E14" s="386">
        <f t="shared" si="0"/>
        <v>55876</v>
      </c>
      <c r="F14" s="422">
        <v>-1676.28</v>
      </c>
      <c r="G14" s="387">
        <f t="shared" si="1"/>
        <v>54199.72</v>
      </c>
      <c r="H14" s="387">
        <f t="shared" si="2"/>
        <v>1676.2799999999988</v>
      </c>
      <c r="I14" s="387"/>
    </row>
    <row r="15" spans="1:9" s="389" customFormat="1" ht="12.75" customHeight="1" x14ac:dyDescent="0.25">
      <c r="A15" s="382" t="s">
        <v>605</v>
      </c>
      <c r="B15" s="383">
        <v>46113</v>
      </c>
      <c r="C15" s="391" t="s">
        <v>606</v>
      </c>
      <c r="D15" s="386"/>
      <c r="E15" s="386">
        <f t="shared" si="0"/>
        <v>55876</v>
      </c>
      <c r="F15" s="392">
        <v>1676.28</v>
      </c>
      <c r="G15" s="387">
        <f t="shared" si="1"/>
        <v>55876</v>
      </c>
      <c r="H15" s="387">
        <f t="shared" si="2"/>
        <v>-1.1368683772161603E-12</v>
      </c>
      <c r="I15" s="387"/>
    </row>
    <row r="16" spans="1:9" s="389" customFormat="1" ht="12.75" customHeight="1" x14ac:dyDescent="0.25">
      <c r="A16" s="382"/>
      <c r="B16" s="383"/>
      <c r="C16" s="391"/>
      <c r="D16" s="386"/>
      <c r="E16" s="386">
        <f t="shared" si="0"/>
        <v>55876</v>
      </c>
      <c r="F16" s="392"/>
      <c r="G16" s="387">
        <f t="shared" si="1"/>
        <v>55876</v>
      </c>
      <c r="H16" s="387">
        <f t="shared" si="2"/>
        <v>-1.1368683772161603E-12</v>
      </c>
      <c r="I16" s="387"/>
    </row>
    <row r="17" spans="1:9" s="389" customFormat="1" ht="12.75" customHeight="1" x14ac:dyDescent="0.25">
      <c r="A17" s="382"/>
      <c r="B17" s="383"/>
      <c r="C17" s="391"/>
      <c r="D17" s="386"/>
      <c r="E17" s="386">
        <f t="shared" si="0"/>
        <v>55876</v>
      </c>
      <c r="F17" s="392"/>
      <c r="G17" s="387">
        <f t="shared" si="1"/>
        <v>55876</v>
      </c>
      <c r="H17" s="387">
        <f t="shared" si="2"/>
        <v>-1.1368683772161603E-12</v>
      </c>
      <c r="I17" s="387"/>
    </row>
    <row r="18" spans="1:9" s="389" customFormat="1" ht="12.75" customHeight="1" x14ac:dyDescent="0.25">
      <c r="A18" s="382"/>
      <c r="B18" s="383"/>
      <c r="C18" s="391"/>
      <c r="D18" s="386"/>
      <c r="E18" s="386">
        <f t="shared" si="0"/>
        <v>55876</v>
      </c>
      <c r="F18" s="392"/>
      <c r="G18" s="387">
        <f t="shared" si="1"/>
        <v>55876</v>
      </c>
      <c r="H18" s="387">
        <f t="shared" si="2"/>
        <v>-1.1368683772161603E-12</v>
      </c>
      <c r="I18" s="387"/>
    </row>
    <row r="19" spans="1:9" s="389" customFormat="1" ht="12.75" customHeight="1" x14ac:dyDescent="0.25">
      <c r="A19" s="382"/>
      <c r="B19" s="383"/>
      <c r="C19" s="391"/>
      <c r="D19" s="386"/>
      <c r="E19" s="386">
        <f t="shared" si="0"/>
        <v>55876</v>
      </c>
      <c r="F19" s="387"/>
      <c r="G19" s="387">
        <f t="shared" si="1"/>
        <v>55876</v>
      </c>
      <c r="H19" s="387">
        <f t="shared" si="2"/>
        <v>-1.1368683772161603E-12</v>
      </c>
      <c r="I19" s="387"/>
    </row>
    <row r="20" spans="1:9" s="389" customFormat="1" ht="12.75" customHeight="1" x14ac:dyDescent="0.25">
      <c r="A20" s="382"/>
      <c r="B20" s="383"/>
      <c r="C20" s="391"/>
      <c r="D20" s="386"/>
      <c r="E20" s="386">
        <f t="shared" si="0"/>
        <v>55876</v>
      </c>
      <c r="F20" s="387"/>
      <c r="G20" s="387">
        <f t="shared" si="1"/>
        <v>55876</v>
      </c>
      <c r="H20" s="387">
        <f t="shared" si="2"/>
        <v>-1.1368683772161603E-12</v>
      </c>
      <c r="I20" s="387"/>
    </row>
    <row r="21" spans="1:9" s="389" customFormat="1" ht="12.75" customHeight="1" x14ac:dyDescent="0.25">
      <c r="A21" s="382"/>
      <c r="B21" s="383"/>
      <c r="C21" s="393"/>
      <c r="D21" s="386"/>
      <c r="E21" s="386">
        <f t="shared" si="0"/>
        <v>55876</v>
      </c>
      <c r="F21" s="387"/>
      <c r="G21" s="387">
        <f t="shared" si="1"/>
        <v>55876</v>
      </c>
      <c r="H21" s="387">
        <f t="shared" si="2"/>
        <v>-1.1368683772161603E-12</v>
      </c>
      <c r="I21" s="387"/>
    </row>
    <row r="22" spans="1:9" s="389" customFormat="1" ht="12.75" customHeight="1" x14ac:dyDescent="0.25">
      <c r="A22" s="382"/>
      <c r="B22" s="391"/>
      <c r="C22" s="372"/>
      <c r="D22" s="387"/>
      <c r="E22" s="387"/>
      <c r="F22" s="387"/>
      <c r="G22" s="387"/>
      <c r="H22" s="387"/>
      <c r="I22" s="387"/>
    </row>
    <row r="23" spans="1:9" s="389" customFormat="1" ht="12.75" customHeight="1" thickBot="1" x14ac:dyDescent="0.3">
      <c r="A23" s="382"/>
      <c r="B23" s="394"/>
      <c r="C23" s="395" t="s">
        <v>54</v>
      </c>
      <c r="D23" s="396">
        <f>SUM(D9:D22)</f>
        <v>55876</v>
      </c>
      <c r="E23" s="396"/>
      <c r="F23" s="396">
        <f>SUM(F9:F22)</f>
        <v>55876</v>
      </c>
      <c r="G23" s="396"/>
      <c r="H23" s="396">
        <f>D23-F23</f>
        <v>0</v>
      </c>
      <c r="I23" s="392" t="s">
        <v>341</v>
      </c>
    </row>
    <row r="24" spans="1:9" s="389" customFormat="1" ht="12.75" customHeight="1" thickTop="1" x14ac:dyDescent="0.25"/>
    <row r="25" spans="1:9" s="389" customFormat="1" ht="12.75" customHeight="1" x14ac:dyDescent="0.25"/>
    <row r="26" spans="1:9" s="389" customFormat="1" ht="12.75" customHeight="1" x14ac:dyDescent="0.25"/>
    <row r="27" spans="1:9" s="389" customFormat="1" ht="12.75" customHeight="1" x14ac:dyDescent="0.25"/>
    <row r="28" spans="1:9" s="389" customFormat="1" ht="12.75" customHeight="1" x14ac:dyDescent="0.25"/>
    <row r="29" spans="1:9" s="389" customFormat="1" ht="12.75" customHeight="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sheetData>
  <pageMargins left="0.25" right="0.25" top="0.85" bottom="0.75" header="0.08" footer="0.3"/>
  <pageSetup scale="74" fitToHeight="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42A28-678F-415E-8994-E49DEE65141D}">
  <sheetPr>
    <pageSetUpPr fitToPage="1"/>
  </sheetPr>
  <dimension ref="A1:J182"/>
  <sheetViews>
    <sheetView zoomScaleNormal="100" workbookViewId="0">
      <selection activeCell="P26" sqref="P26"/>
    </sheetView>
  </sheetViews>
  <sheetFormatPr defaultColWidth="11.42578125" defaultRowHeight="15" customHeight="1" x14ac:dyDescent="0.25"/>
  <cols>
    <col min="1" max="1" width="24.5703125" customWidth="1"/>
    <col min="2" max="3" width="9.42578125" customWidth="1"/>
    <col min="4" max="4" width="41.5703125" customWidth="1"/>
    <col min="5" max="5" width="13.1406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#9239.04'!B1</f>
        <v>DOC-NCF-IPI Homes for Iowa Facility Project Phase II Fencing</v>
      </c>
      <c r="B1" s="86"/>
      <c r="C1" s="86"/>
      <c r="D1" s="6"/>
      <c r="E1" s="6"/>
      <c r="F1" s="6"/>
      <c r="G1" s="132"/>
      <c r="H1" s="132"/>
      <c r="I1" s="133"/>
      <c r="J1" s="133"/>
    </row>
    <row r="2" spans="1:10" ht="15.75" x14ac:dyDescent="0.25">
      <c r="A2" s="88" t="str">
        <f>'RECAP #9239.04'!B2</f>
        <v>Project # 9239.04</v>
      </c>
      <c r="B2" s="87"/>
      <c r="C2" s="87"/>
      <c r="D2" s="6"/>
      <c r="E2" s="6"/>
      <c r="F2" s="6"/>
      <c r="G2" s="132"/>
      <c r="H2" s="132"/>
      <c r="I2" s="133"/>
      <c r="J2" s="133"/>
    </row>
    <row r="3" spans="1:10" ht="15.75" x14ac:dyDescent="0.25">
      <c r="A3" s="89" t="str">
        <f>'RECAP #9239.04'!B3</f>
        <v>Program code 923904</v>
      </c>
      <c r="B3" s="87"/>
      <c r="C3" s="87"/>
      <c r="D3" s="6"/>
      <c r="E3" s="90" t="str">
        <f>'RECAP #9239.04'!E3</f>
        <v>Major Program 4B01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#9239.04'!B6</f>
        <v>Project Manager - Brad T.</v>
      </c>
      <c r="B6" s="93"/>
      <c r="C6" s="93"/>
      <c r="D6" s="143"/>
      <c r="E6" s="140" t="s">
        <v>732</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30000</v>
      </c>
      <c r="F9" s="320">
        <f>E9</f>
        <v>30000</v>
      </c>
      <c r="G9" s="321"/>
      <c r="H9" s="321"/>
      <c r="I9" s="321">
        <f>F9</f>
        <v>30000</v>
      </c>
      <c r="J9" s="322"/>
    </row>
    <row r="10" spans="1:10" s="308" customFormat="1" ht="12.75" customHeight="1" x14ac:dyDescent="0.2">
      <c r="A10" s="171" t="s">
        <v>844</v>
      </c>
      <c r="B10" s="153">
        <v>46181</v>
      </c>
      <c r="C10" s="155" t="s">
        <v>274</v>
      </c>
      <c r="D10" s="181" t="s">
        <v>845</v>
      </c>
      <c r="E10" s="320"/>
      <c r="F10" s="320">
        <f>E10+F9</f>
        <v>30000</v>
      </c>
      <c r="G10" s="325">
        <v>97.92</v>
      </c>
      <c r="H10" s="321">
        <f t="shared" ref="H10:H21" si="0">H9+G10</f>
        <v>97.92</v>
      </c>
      <c r="I10" s="321">
        <f>I9-G10+E10</f>
        <v>29902.080000000002</v>
      </c>
      <c r="J10" s="322"/>
    </row>
    <row r="11" spans="1:10" s="308" customFormat="1" ht="12.75" customHeight="1" x14ac:dyDescent="0.2">
      <c r="A11" s="171" t="s">
        <v>844</v>
      </c>
      <c r="B11" s="153">
        <v>46181</v>
      </c>
      <c r="C11" s="401">
        <v>9500</v>
      </c>
      <c r="D11" s="126" t="s">
        <v>846</v>
      </c>
      <c r="E11" s="320"/>
      <c r="F11" s="320">
        <f t="shared" ref="F11:F21" si="1">E11+F10</f>
        <v>30000</v>
      </c>
      <c r="G11" s="325">
        <v>1201.5</v>
      </c>
      <c r="H11" s="321">
        <f t="shared" si="0"/>
        <v>1299.42</v>
      </c>
      <c r="I11" s="321">
        <f t="shared" ref="I11:I21" si="2">I10-G11+E11</f>
        <v>28700.58</v>
      </c>
      <c r="J11" s="322"/>
    </row>
    <row r="12" spans="1:10" s="308" customFormat="1" ht="12.75" customHeight="1" x14ac:dyDescent="0.2">
      <c r="A12" s="171" t="s">
        <v>989</v>
      </c>
      <c r="B12" s="153">
        <v>46211</v>
      </c>
      <c r="C12" s="155" t="s">
        <v>274</v>
      </c>
      <c r="D12" s="181" t="s">
        <v>992</v>
      </c>
      <c r="E12" s="320"/>
      <c r="F12" s="320">
        <f t="shared" si="1"/>
        <v>30000</v>
      </c>
      <c r="G12" s="325">
        <v>108.06</v>
      </c>
      <c r="H12" s="321">
        <f t="shared" si="0"/>
        <v>1407.48</v>
      </c>
      <c r="I12" s="321">
        <f t="shared" si="2"/>
        <v>28592.52</v>
      </c>
      <c r="J12" s="322"/>
    </row>
    <row r="13" spans="1:10" s="308" customFormat="1" ht="12.75" customHeight="1" x14ac:dyDescent="0.2">
      <c r="A13" s="171" t="s">
        <v>989</v>
      </c>
      <c r="B13" s="153">
        <v>46211</v>
      </c>
      <c r="C13" s="401">
        <v>9500</v>
      </c>
      <c r="D13" s="126" t="s">
        <v>993</v>
      </c>
      <c r="E13" s="320"/>
      <c r="F13" s="320">
        <f t="shared" si="1"/>
        <v>30000</v>
      </c>
      <c r="G13" s="325">
        <v>1243.9000000000001</v>
      </c>
      <c r="H13" s="321">
        <f t="shared" si="0"/>
        <v>2651.38</v>
      </c>
      <c r="I13" s="321">
        <f t="shared" si="2"/>
        <v>27348.62</v>
      </c>
      <c r="J13" s="322"/>
    </row>
    <row r="14" spans="1:10" s="308" customFormat="1" ht="12.75" customHeight="1" x14ac:dyDescent="0.2">
      <c r="A14" s="171" t="s">
        <v>1036</v>
      </c>
      <c r="B14" s="153">
        <v>46218</v>
      </c>
      <c r="C14" s="155" t="s">
        <v>274</v>
      </c>
      <c r="D14" s="181" t="s">
        <v>1037</v>
      </c>
      <c r="E14" s="320"/>
      <c r="F14" s="320">
        <f t="shared" si="1"/>
        <v>30000</v>
      </c>
      <c r="G14" s="325">
        <v>43.86</v>
      </c>
      <c r="H14" s="321">
        <f t="shared" si="0"/>
        <v>2695.2400000000002</v>
      </c>
      <c r="I14" s="321">
        <f t="shared" si="2"/>
        <v>27304.76</v>
      </c>
      <c r="J14" s="322"/>
    </row>
    <row r="15" spans="1:10" s="308" customFormat="1" ht="12.75" customHeight="1" x14ac:dyDescent="0.25">
      <c r="A15" s="332"/>
      <c r="B15" s="318"/>
      <c r="C15" s="318"/>
      <c r="D15" s="328"/>
      <c r="E15" s="320"/>
      <c r="F15" s="320">
        <f t="shared" si="1"/>
        <v>30000</v>
      </c>
      <c r="G15" s="326"/>
      <c r="H15" s="321">
        <f t="shared" si="0"/>
        <v>2695.2400000000002</v>
      </c>
      <c r="I15" s="321">
        <f t="shared" si="2"/>
        <v>27304.76</v>
      </c>
      <c r="J15" s="322"/>
    </row>
    <row r="16" spans="1:10" s="308" customFormat="1" ht="12.75" customHeight="1" x14ac:dyDescent="0.25">
      <c r="A16" s="332"/>
      <c r="B16" s="318"/>
      <c r="C16" s="318"/>
      <c r="D16" s="328"/>
      <c r="E16" s="320"/>
      <c r="F16" s="320">
        <f t="shared" si="1"/>
        <v>30000</v>
      </c>
      <c r="G16" s="326"/>
      <c r="H16" s="321">
        <f t="shared" si="0"/>
        <v>2695.2400000000002</v>
      </c>
      <c r="I16" s="321">
        <f t="shared" si="2"/>
        <v>27304.76</v>
      </c>
      <c r="J16" s="322"/>
    </row>
    <row r="17" spans="1:10" s="308" customFormat="1" ht="12.75" customHeight="1" x14ac:dyDescent="0.25">
      <c r="A17" s="332"/>
      <c r="B17" s="318"/>
      <c r="C17" s="318"/>
      <c r="D17" s="328"/>
      <c r="E17" s="320"/>
      <c r="F17" s="320">
        <f t="shared" si="1"/>
        <v>30000</v>
      </c>
      <c r="G17" s="326"/>
      <c r="H17" s="321">
        <f t="shared" si="0"/>
        <v>2695.2400000000002</v>
      </c>
      <c r="I17" s="321">
        <f t="shared" si="2"/>
        <v>27304.76</v>
      </c>
      <c r="J17" s="322"/>
    </row>
    <row r="18" spans="1:10" s="308" customFormat="1" ht="12.75" customHeight="1" x14ac:dyDescent="0.25">
      <c r="A18" s="332"/>
      <c r="B18" s="318"/>
      <c r="C18" s="318"/>
      <c r="D18" s="328"/>
      <c r="E18" s="320"/>
      <c r="F18" s="320">
        <f t="shared" si="1"/>
        <v>30000</v>
      </c>
      <c r="G18" s="326"/>
      <c r="H18" s="321">
        <f t="shared" si="0"/>
        <v>2695.2400000000002</v>
      </c>
      <c r="I18" s="321">
        <f t="shared" si="2"/>
        <v>27304.76</v>
      </c>
      <c r="J18" s="322"/>
    </row>
    <row r="19" spans="1:10" s="308" customFormat="1" ht="12.75" customHeight="1" x14ac:dyDescent="0.25">
      <c r="A19" s="332"/>
      <c r="B19" s="318"/>
      <c r="C19" s="318"/>
      <c r="D19" s="328"/>
      <c r="E19" s="320"/>
      <c r="F19" s="320">
        <f t="shared" si="1"/>
        <v>30000</v>
      </c>
      <c r="G19" s="321"/>
      <c r="H19" s="321">
        <f t="shared" si="0"/>
        <v>2695.2400000000002</v>
      </c>
      <c r="I19" s="321">
        <f t="shared" si="2"/>
        <v>27304.76</v>
      </c>
      <c r="J19" s="322"/>
    </row>
    <row r="20" spans="1:10" s="308" customFormat="1" ht="12.75" customHeight="1" x14ac:dyDescent="0.25">
      <c r="A20" s="332"/>
      <c r="B20" s="318"/>
      <c r="C20" s="318"/>
      <c r="D20" s="328"/>
      <c r="E20" s="320"/>
      <c r="F20" s="320">
        <f t="shared" si="1"/>
        <v>30000</v>
      </c>
      <c r="G20" s="321"/>
      <c r="H20" s="321">
        <f t="shared" si="0"/>
        <v>2695.2400000000002</v>
      </c>
      <c r="I20" s="321">
        <f t="shared" si="2"/>
        <v>27304.76</v>
      </c>
      <c r="J20" s="322"/>
    </row>
    <row r="21" spans="1:10" s="308" customFormat="1" ht="12.75" customHeight="1" x14ac:dyDescent="0.25">
      <c r="A21" s="332"/>
      <c r="B21" s="318"/>
      <c r="C21" s="318"/>
      <c r="D21" s="363"/>
      <c r="E21" s="320"/>
      <c r="F21" s="320">
        <f t="shared" si="1"/>
        <v>30000</v>
      </c>
      <c r="G21" s="321"/>
      <c r="H21" s="321">
        <f t="shared" si="0"/>
        <v>2695.2400000000002</v>
      </c>
      <c r="I21" s="321">
        <f t="shared" si="2"/>
        <v>27304.76</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30000</v>
      </c>
      <c r="F23" s="184"/>
      <c r="G23" s="184">
        <f>SUM(G9:G22)</f>
        <v>2695.2400000000002</v>
      </c>
      <c r="H23" s="184"/>
      <c r="I23" s="184">
        <f>SUM(E23-G23)</f>
        <v>27304.76</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AAE7-1FE2-4428-A3C6-E9201DC70318}">
  <sheetPr codeName="Sheet34">
    <pageSetUpPr fitToPage="1"/>
  </sheetPr>
  <dimension ref="A1:G16"/>
  <sheetViews>
    <sheetView zoomScaleNormal="100" workbookViewId="0">
      <selection activeCell="B26" sqref="B26"/>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94</v>
      </c>
      <c r="C1" s="86"/>
      <c r="D1" s="6"/>
      <c r="E1" s="6"/>
      <c r="F1" s="6"/>
      <c r="G1" s="6"/>
    </row>
    <row r="2" spans="1:7" ht="15.75" x14ac:dyDescent="0.25">
      <c r="A2" s="84"/>
      <c r="B2" s="88" t="s">
        <v>76</v>
      </c>
      <c r="C2" s="87"/>
      <c r="D2" s="6"/>
      <c r="E2" s="6"/>
      <c r="F2" s="6"/>
      <c r="G2" s="6"/>
    </row>
    <row r="3" spans="1:7" ht="15.75" x14ac:dyDescent="0.25">
      <c r="A3" s="84"/>
      <c r="B3" s="89" t="s">
        <v>77</v>
      </c>
      <c r="C3" s="87"/>
      <c r="D3" s="6"/>
      <c r="E3" s="90" t="s">
        <v>79</v>
      </c>
      <c r="F3" s="6"/>
      <c r="G3" s="6"/>
    </row>
    <row r="4" spans="1:7" ht="15.75" x14ac:dyDescent="0.25">
      <c r="A4" s="84"/>
      <c r="B4" s="91" t="s">
        <v>36</v>
      </c>
      <c r="C4" s="92" t="s">
        <v>3</v>
      </c>
      <c r="D4" s="6"/>
      <c r="E4" s="6"/>
      <c r="F4" s="6"/>
      <c r="G4" s="6"/>
    </row>
    <row r="5" spans="1:7" ht="15.75" x14ac:dyDescent="0.25">
      <c r="A5" s="84"/>
      <c r="B5" s="93" t="s">
        <v>63</v>
      </c>
      <c r="C5" s="87"/>
      <c r="D5" s="6"/>
      <c r="E5" s="95" t="s">
        <v>1053</v>
      </c>
      <c r="F5" s="489"/>
      <c r="G5" s="6"/>
    </row>
    <row r="6" spans="1:7" ht="15.75" x14ac:dyDescent="0.25">
      <c r="A6" s="84"/>
      <c r="B6" s="93" t="s">
        <v>78</v>
      </c>
      <c r="C6" s="94"/>
      <c r="D6" s="95" t="s">
        <v>3</v>
      </c>
      <c r="E6" s="6"/>
      <c r="F6" s="6"/>
      <c r="G6" s="6"/>
    </row>
    <row r="7" spans="1:7" ht="36" customHeight="1" thickBot="1" x14ac:dyDescent="0.3">
      <c r="A7" s="84"/>
      <c r="B7" s="96" t="s">
        <v>3</v>
      </c>
      <c r="C7" s="97" t="s">
        <v>0</v>
      </c>
      <c r="D7" s="98" t="s">
        <v>1</v>
      </c>
      <c r="E7" s="99" t="s">
        <v>2</v>
      </c>
      <c r="F7" s="100" t="s">
        <v>37</v>
      </c>
      <c r="G7" s="100" t="s">
        <v>38</v>
      </c>
    </row>
    <row r="8" spans="1:7" ht="28.35" customHeight="1" x14ac:dyDescent="0.25">
      <c r="A8" s="84"/>
      <c r="B8" s="87" t="s">
        <v>39</v>
      </c>
      <c r="C8" s="101">
        <f>'#9481.00 Funds Rec''d '!H24</f>
        <v>1400000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713</v>
      </c>
      <c r="C10" s="376"/>
      <c r="D10" s="379">
        <f>'#9481.00 Horizon Architecture'!D23</f>
        <v>49974.5</v>
      </c>
      <c r="E10" s="379">
        <f>'#9481.00 Horizon Architecture'!F23</f>
        <v>14106.5</v>
      </c>
      <c r="F10" s="379">
        <f>'#9481.00 Horizon Architecture'!H23</f>
        <v>35868</v>
      </c>
      <c r="G10" s="378"/>
    </row>
    <row r="11" spans="1:7" s="308" customFormat="1" ht="12.75" customHeight="1" x14ac:dyDescent="0.25">
      <c r="A11" s="374"/>
      <c r="B11" s="375" t="s">
        <v>41</v>
      </c>
      <c r="C11" s="376"/>
      <c r="D11" s="379">
        <f>'#9481.00 PM TIME '!E25</f>
        <v>10000</v>
      </c>
      <c r="E11" s="379">
        <f>'#9481.00 PM TIME '!G25</f>
        <v>5009.9699999999993</v>
      </c>
      <c r="F11" s="379">
        <f>'#9481.00 PM TIME '!I25</f>
        <v>4990.0300000000007</v>
      </c>
      <c r="G11" s="378"/>
    </row>
    <row r="12" spans="1:7" s="308" customFormat="1" ht="12.75" customHeight="1" x14ac:dyDescent="0.25">
      <c r="A12" s="374"/>
      <c r="B12" s="375" t="s">
        <v>42</v>
      </c>
      <c r="C12" s="377"/>
      <c r="D12" s="367">
        <f>'#9481.00 Misc'!G22</f>
        <v>3776.77</v>
      </c>
      <c r="E12" s="367">
        <f>'#9481.00 Misc'!G22</f>
        <v>3776.77</v>
      </c>
      <c r="F12" s="379">
        <f>D12-E12</f>
        <v>0</v>
      </c>
      <c r="G12" s="378"/>
    </row>
    <row r="13" spans="1:7" s="308" customFormat="1" ht="12.75" customHeight="1" x14ac:dyDescent="0.25">
      <c r="A13" s="374"/>
      <c r="B13" s="375" t="s">
        <v>141</v>
      </c>
      <c r="C13" s="377"/>
      <c r="D13" s="367">
        <f>'#9481.00 McGough Construction'!D23</f>
        <v>12584.85</v>
      </c>
      <c r="E13" s="367">
        <f>'#9481.00 McGough Construction'!F23</f>
        <v>5746</v>
      </c>
      <c r="F13" s="379">
        <f>'#9481.00 McGough Construction'!H23</f>
        <v>6838.85</v>
      </c>
      <c r="G13" s="378"/>
    </row>
    <row r="14" spans="1:7" s="308" customFormat="1" ht="12.75" customHeight="1" x14ac:dyDescent="0.25">
      <c r="A14" s="374"/>
      <c r="B14" s="375"/>
      <c r="C14" s="377"/>
      <c r="D14" s="367"/>
      <c r="E14" s="367"/>
      <c r="F14" s="379"/>
      <c r="G14" s="378"/>
    </row>
    <row r="15" spans="1:7" ht="24" customHeight="1" thickBot="1" x14ac:dyDescent="0.3">
      <c r="A15" s="107"/>
      <c r="B15" s="108" t="s">
        <v>43</v>
      </c>
      <c r="C15" s="109">
        <f>SUM(C8:C14)</f>
        <v>1400000</v>
      </c>
      <c r="D15" s="109">
        <f>SUM(D8:D14)</f>
        <v>76336.12</v>
      </c>
      <c r="E15" s="109">
        <f>SUM(E8:E14)</f>
        <v>28639.24</v>
      </c>
      <c r="F15" s="109">
        <f>SUM(D15-E15)</f>
        <v>47696.87999999999</v>
      </c>
      <c r="G15" s="109">
        <f>C8-D15</f>
        <v>1323663.8799999999</v>
      </c>
    </row>
    <row r="16"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7EE5-85E7-4DD1-9CD6-D71BE330348E}">
  <sheetPr codeName="Sheet35">
    <pageSetUpPr fitToPage="1"/>
  </sheetPr>
  <dimension ref="A1:H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7" width="14" bestFit="1" customWidth="1"/>
    <col min="8" max="8" width="14.2851562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#9481.00'!B1</f>
        <v>DOC 5JD 150 DSM St Renovation</v>
      </c>
      <c r="B1" s="7"/>
      <c r="C1" s="2"/>
      <c r="D1" s="3"/>
      <c r="E1" s="3"/>
      <c r="F1" s="7"/>
      <c r="G1" s="7"/>
      <c r="H1" s="7"/>
    </row>
    <row r="2" spans="1:8" x14ac:dyDescent="0.25">
      <c r="A2" s="112" t="str">
        <f>'RECAP #9481.00'!B2</f>
        <v>Project # 9481.00</v>
      </c>
      <c r="B2" s="7"/>
      <c r="C2" s="113" t="s">
        <v>3</v>
      </c>
      <c r="D2" s="1"/>
      <c r="E2" s="1"/>
      <c r="F2" s="7"/>
      <c r="G2" s="7"/>
      <c r="H2" s="7"/>
    </row>
    <row r="3" spans="1:8" x14ac:dyDescent="0.25">
      <c r="A3" s="114" t="str">
        <f>'RECAP #9481.00'!B3</f>
        <v>Program code 948100</v>
      </c>
      <c r="B3" s="7"/>
      <c r="C3" s="113" t="s">
        <v>3</v>
      </c>
      <c r="D3" s="115" t="str">
        <f>'RECAP #9481.00'!E3</f>
        <v>Major Program 4E01</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#9481.00'!B6</f>
        <v>Project Manager - Brandon A</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78" t="s">
        <v>5</v>
      </c>
      <c r="H8" s="179" t="s">
        <v>8</v>
      </c>
    </row>
    <row r="9" spans="1:8" s="308" customFormat="1" ht="12.75" customHeight="1" x14ac:dyDescent="0.25">
      <c r="A9" s="331"/>
      <c r="B9" s="332"/>
      <c r="C9" s="333"/>
      <c r="D9" s="334" t="s">
        <v>96</v>
      </c>
      <c r="E9" s="334" t="s">
        <v>97</v>
      </c>
      <c r="F9" s="335">
        <v>45867</v>
      </c>
      <c r="G9" s="380">
        <v>1400000</v>
      </c>
      <c r="H9" s="380">
        <v>1400000</v>
      </c>
    </row>
    <row r="10" spans="1:8" s="308" customFormat="1" ht="12.75" customHeight="1" x14ac:dyDescent="0.25">
      <c r="A10" s="331"/>
      <c r="B10" s="331"/>
      <c r="C10" s="336"/>
      <c r="D10" s="334"/>
      <c r="E10" s="331"/>
      <c r="F10" s="331"/>
      <c r="G10" s="337"/>
      <c r="H10" s="337"/>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ht="15.75" thickBot="1" x14ac:dyDescent="0.3">
      <c r="A24" s="29"/>
      <c r="B24" s="30" t="s">
        <v>9</v>
      </c>
      <c r="C24" s="31">
        <f>SUM(C9:C23)</f>
        <v>0</v>
      </c>
      <c r="D24" s="32" t="s">
        <v>10</v>
      </c>
      <c r="E24" s="33"/>
      <c r="F24" s="34"/>
      <c r="G24" s="131">
        <f>SUM(G9:G23)</f>
        <v>1400000</v>
      </c>
      <c r="H24" s="131">
        <f>SUM(H9:H23)</f>
        <v>1400000</v>
      </c>
    </row>
    <row r="25" spans="1:8" ht="15" customHeight="1" thickTop="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6131C-ED0B-491E-986D-5B639A2D4914}">
  <sheetPr codeName="Sheet36">
    <pageSetUpPr fitToPage="1"/>
  </sheetPr>
  <dimension ref="A1:I50"/>
  <sheetViews>
    <sheetView zoomScaleNormal="100" workbookViewId="0">
      <selection activeCell="A25" sqref="A25"/>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
        <v>713</v>
      </c>
      <c r="B1" s="86"/>
      <c r="C1" s="6"/>
      <c r="D1" s="6"/>
      <c r="E1" s="6"/>
      <c r="F1" s="132"/>
      <c r="G1" s="132"/>
      <c r="H1" s="133"/>
      <c r="I1" s="133"/>
    </row>
    <row r="2" spans="1:9" ht="15.75" x14ac:dyDescent="0.25">
      <c r="A2" s="88" t="str">
        <f>'RECAP #9481.00'!B2</f>
        <v>Project # 9481.00</v>
      </c>
      <c r="B2" s="87"/>
      <c r="C2" s="6"/>
      <c r="D2" s="6"/>
      <c r="E2" s="6"/>
      <c r="F2" s="132"/>
      <c r="G2" s="132"/>
      <c r="H2" s="133"/>
      <c r="I2" s="133"/>
    </row>
    <row r="3" spans="1:9" ht="15.75" x14ac:dyDescent="0.25">
      <c r="A3" s="89" t="str">
        <f>'RECAP #9481.00'!B3</f>
        <v>Program code 948100</v>
      </c>
      <c r="B3" s="87"/>
      <c r="C3" s="6"/>
      <c r="D3" s="90" t="str">
        <f>'RECAP #9481.00'!E3</f>
        <v>Major Program 4E01</v>
      </c>
      <c r="E3" s="6"/>
      <c r="F3" s="132"/>
      <c r="G3" s="132"/>
      <c r="H3" s="133"/>
      <c r="I3" s="133"/>
    </row>
    <row r="4" spans="1:9" ht="15.75" x14ac:dyDescent="0.25">
      <c r="A4" s="116" t="s">
        <v>713</v>
      </c>
      <c r="B4" s="134"/>
      <c r="C4" s="135"/>
      <c r="D4" s="136" t="s">
        <v>715</v>
      </c>
      <c r="E4" s="132"/>
      <c r="F4" s="132"/>
      <c r="G4" s="132"/>
      <c r="H4" s="133"/>
      <c r="I4" s="133"/>
    </row>
    <row r="5" spans="1:9" ht="15.75" x14ac:dyDescent="0.25">
      <c r="A5" s="137" t="s">
        <v>734</v>
      </c>
      <c r="B5" s="138"/>
      <c r="C5" s="139"/>
      <c r="D5" s="140" t="s">
        <v>788</v>
      </c>
      <c r="E5" s="141"/>
      <c r="F5" s="142"/>
      <c r="G5" s="142"/>
      <c r="H5" s="138"/>
      <c r="I5" s="133"/>
    </row>
    <row r="6" spans="1:9" ht="15.75" x14ac:dyDescent="0.25">
      <c r="A6" s="93" t="str">
        <f>'RECAP #9481.00'!B6</f>
        <v>Project Manager - Brandon A</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789</v>
      </c>
      <c r="B9" s="318">
        <v>46164</v>
      </c>
      <c r="C9" s="324" t="s">
        <v>146</v>
      </c>
      <c r="D9" s="186">
        <v>49974.5</v>
      </c>
      <c r="E9" s="320">
        <f>D9</f>
        <v>49974.5</v>
      </c>
      <c r="F9" s="321"/>
      <c r="G9" s="321"/>
      <c r="H9" s="321">
        <f>E9</f>
        <v>49974.5</v>
      </c>
      <c r="I9" s="322"/>
    </row>
    <row r="10" spans="1:9" s="308" customFormat="1" ht="12.75" customHeight="1" x14ac:dyDescent="0.25">
      <c r="A10" s="317" t="s">
        <v>1013</v>
      </c>
      <c r="B10" s="323">
        <v>46216</v>
      </c>
      <c r="C10" s="324" t="s">
        <v>1014</v>
      </c>
      <c r="D10" s="320"/>
      <c r="E10" s="320">
        <f t="shared" ref="E10:E21" si="0">E9+D10</f>
        <v>49974.5</v>
      </c>
      <c r="F10" s="325">
        <v>14106.5</v>
      </c>
      <c r="G10" s="321">
        <f t="shared" ref="G10:G21" si="1">G9+F10</f>
        <v>14106.5</v>
      </c>
      <c r="H10" s="321">
        <f t="shared" ref="H10:H21" si="2">H9-F10+D10</f>
        <v>35868</v>
      </c>
      <c r="I10" s="322"/>
    </row>
    <row r="11" spans="1:9" s="308" customFormat="1" ht="12.75" customHeight="1" x14ac:dyDescent="0.25">
      <c r="A11" s="317"/>
      <c r="B11" s="318"/>
      <c r="C11" s="324"/>
      <c r="D11" s="320"/>
      <c r="E11" s="320">
        <f t="shared" si="0"/>
        <v>49974.5</v>
      </c>
      <c r="F11" s="326"/>
      <c r="G11" s="321">
        <f t="shared" si="1"/>
        <v>14106.5</v>
      </c>
      <c r="H11" s="321">
        <f t="shared" si="2"/>
        <v>35868</v>
      </c>
      <c r="I11" s="322"/>
    </row>
    <row r="12" spans="1:9" s="308" customFormat="1" ht="12.75" customHeight="1" x14ac:dyDescent="0.25">
      <c r="A12" s="317"/>
      <c r="B12" s="318"/>
      <c r="C12" s="324"/>
      <c r="D12" s="320"/>
      <c r="E12" s="320">
        <f t="shared" si="0"/>
        <v>49974.5</v>
      </c>
      <c r="F12" s="326"/>
      <c r="G12" s="321">
        <f t="shared" si="1"/>
        <v>14106.5</v>
      </c>
      <c r="H12" s="321">
        <f t="shared" si="2"/>
        <v>35868</v>
      </c>
      <c r="I12" s="322"/>
    </row>
    <row r="13" spans="1:9" s="308" customFormat="1" ht="12.75" customHeight="1" x14ac:dyDescent="0.25">
      <c r="A13" s="317"/>
      <c r="B13" s="318"/>
      <c r="C13" s="324"/>
      <c r="D13" s="320"/>
      <c r="E13" s="320">
        <f t="shared" si="0"/>
        <v>49974.5</v>
      </c>
      <c r="F13" s="326"/>
      <c r="G13" s="321">
        <f t="shared" si="1"/>
        <v>14106.5</v>
      </c>
      <c r="H13" s="321">
        <f t="shared" si="2"/>
        <v>35868</v>
      </c>
      <c r="I13" s="322"/>
    </row>
    <row r="14" spans="1:9" s="308" customFormat="1" ht="12.75" customHeight="1" x14ac:dyDescent="0.25">
      <c r="A14" s="317"/>
      <c r="B14" s="318"/>
      <c r="C14" s="324"/>
      <c r="D14" s="320"/>
      <c r="E14" s="320">
        <f t="shared" si="0"/>
        <v>49974.5</v>
      </c>
      <c r="F14" s="321"/>
      <c r="G14" s="321">
        <f t="shared" si="1"/>
        <v>14106.5</v>
      </c>
      <c r="H14" s="321">
        <f t="shared" si="2"/>
        <v>35868</v>
      </c>
      <c r="I14" s="322"/>
    </row>
    <row r="15" spans="1:9" s="308" customFormat="1" ht="12.75" customHeight="1" x14ac:dyDescent="0.25">
      <c r="A15" s="317"/>
      <c r="B15" s="318"/>
      <c r="C15" s="324"/>
      <c r="D15" s="320"/>
      <c r="E15" s="320">
        <f t="shared" si="0"/>
        <v>49974.5</v>
      </c>
      <c r="F15" s="326"/>
      <c r="G15" s="321">
        <f t="shared" si="1"/>
        <v>14106.5</v>
      </c>
      <c r="H15" s="321">
        <f t="shared" si="2"/>
        <v>35868</v>
      </c>
      <c r="I15" s="322"/>
    </row>
    <row r="16" spans="1:9" s="308" customFormat="1" ht="12.75" customHeight="1" x14ac:dyDescent="0.25">
      <c r="A16" s="317"/>
      <c r="B16" s="318"/>
      <c r="C16" s="324"/>
      <c r="D16" s="320"/>
      <c r="E16" s="320">
        <f t="shared" si="0"/>
        <v>49974.5</v>
      </c>
      <c r="F16" s="326"/>
      <c r="G16" s="321">
        <f t="shared" si="1"/>
        <v>14106.5</v>
      </c>
      <c r="H16" s="321">
        <f t="shared" si="2"/>
        <v>35868</v>
      </c>
      <c r="I16" s="322"/>
    </row>
    <row r="17" spans="1:9" s="308" customFormat="1" ht="12.75" customHeight="1" x14ac:dyDescent="0.25">
      <c r="A17" s="317"/>
      <c r="B17" s="318"/>
      <c r="C17" s="324"/>
      <c r="D17" s="320"/>
      <c r="E17" s="320">
        <f t="shared" si="0"/>
        <v>49974.5</v>
      </c>
      <c r="F17" s="326"/>
      <c r="G17" s="321">
        <f t="shared" si="1"/>
        <v>14106.5</v>
      </c>
      <c r="H17" s="321">
        <f t="shared" si="2"/>
        <v>35868</v>
      </c>
      <c r="I17" s="322"/>
    </row>
    <row r="18" spans="1:9" s="308" customFormat="1" ht="12.75" customHeight="1" x14ac:dyDescent="0.25">
      <c r="A18" s="317"/>
      <c r="B18" s="318"/>
      <c r="C18" s="324"/>
      <c r="D18" s="320"/>
      <c r="E18" s="320">
        <f t="shared" si="0"/>
        <v>49974.5</v>
      </c>
      <c r="F18" s="326"/>
      <c r="G18" s="321">
        <f t="shared" si="1"/>
        <v>14106.5</v>
      </c>
      <c r="H18" s="321">
        <f t="shared" si="2"/>
        <v>35868</v>
      </c>
      <c r="I18" s="322"/>
    </row>
    <row r="19" spans="1:9" s="308" customFormat="1" ht="12.75" customHeight="1" x14ac:dyDescent="0.25">
      <c r="A19" s="317"/>
      <c r="B19" s="318"/>
      <c r="C19" s="324"/>
      <c r="D19" s="320"/>
      <c r="E19" s="320">
        <f t="shared" si="0"/>
        <v>49974.5</v>
      </c>
      <c r="F19" s="321"/>
      <c r="G19" s="321">
        <f t="shared" si="1"/>
        <v>14106.5</v>
      </c>
      <c r="H19" s="321">
        <f t="shared" si="2"/>
        <v>35868</v>
      </c>
      <c r="I19" s="322"/>
    </row>
    <row r="20" spans="1:9" s="308" customFormat="1" ht="12.75" customHeight="1" x14ac:dyDescent="0.25">
      <c r="A20" s="317"/>
      <c r="B20" s="318"/>
      <c r="C20" s="324"/>
      <c r="D20" s="320"/>
      <c r="E20" s="320">
        <f t="shared" si="0"/>
        <v>49974.5</v>
      </c>
      <c r="F20" s="321"/>
      <c r="G20" s="321">
        <f t="shared" si="1"/>
        <v>14106.5</v>
      </c>
      <c r="H20" s="321">
        <f t="shared" si="2"/>
        <v>35868</v>
      </c>
      <c r="I20" s="322"/>
    </row>
    <row r="21" spans="1:9" s="308" customFormat="1" ht="12.75" customHeight="1" x14ac:dyDescent="0.25">
      <c r="A21" s="317"/>
      <c r="B21" s="318"/>
      <c r="C21" s="327"/>
      <c r="D21" s="320"/>
      <c r="E21" s="320">
        <f t="shared" si="0"/>
        <v>49974.5</v>
      </c>
      <c r="F21" s="321"/>
      <c r="G21" s="321">
        <f t="shared" si="1"/>
        <v>14106.5</v>
      </c>
      <c r="H21" s="321">
        <f t="shared" si="2"/>
        <v>35868</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49974.5</v>
      </c>
      <c r="E23" s="184"/>
      <c r="F23" s="184">
        <f>SUM(F9:F22)</f>
        <v>14106.5</v>
      </c>
      <c r="G23" s="184"/>
      <c r="H23" s="184">
        <f>D23-F23</f>
        <v>35868</v>
      </c>
      <c r="I23" s="322"/>
    </row>
    <row r="24" spans="1:9" s="308" customFormat="1" ht="12.75" customHeight="1" thickTop="1" x14ac:dyDescent="0.25"/>
    <row r="25" spans="1:9" s="308" customFormat="1" ht="12.75" customHeight="1" x14ac:dyDescent="0.25"/>
    <row r="26" spans="1:9" s="308" customFormat="1" ht="12.75" customHeight="1" x14ac:dyDescent="0.25">
      <c r="C26" s="308" t="s">
        <v>447</v>
      </c>
      <c r="D26" s="321">
        <v>14106.5</v>
      </c>
      <c r="E26" s="321"/>
      <c r="F26" s="321">
        <f>14106.5</f>
        <v>14106.5</v>
      </c>
      <c r="G26" s="321"/>
      <c r="H26" s="321">
        <f>D26-F26</f>
        <v>0</v>
      </c>
    </row>
    <row r="27" spans="1:9" s="308" customFormat="1" ht="12.75" customHeight="1" x14ac:dyDescent="0.25">
      <c r="C27" s="308" t="s">
        <v>304</v>
      </c>
      <c r="D27" s="321">
        <v>20228</v>
      </c>
      <c r="E27" s="321"/>
      <c r="F27" s="321"/>
      <c r="G27" s="321"/>
      <c r="H27" s="321">
        <f t="shared" ref="H27:H29" si="3">D27-F27</f>
        <v>20228</v>
      </c>
    </row>
    <row r="28" spans="1:9" s="308" customFormat="1" ht="12.75" customHeight="1" x14ac:dyDescent="0.25">
      <c r="C28" s="328" t="s">
        <v>790</v>
      </c>
      <c r="D28" s="321">
        <v>2372</v>
      </c>
      <c r="E28" s="321"/>
      <c r="F28" s="321"/>
      <c r="G28" s="321"/>
      <c r="H28" s="321">
        <f t="shared" si="3"/>
        <v>2372</v>
      </c>
    </row>
    <row r="29" spans="1:9" s="308" customFormat="1" ht="12.75" customHeight="1" x14ac:dyDescent="0.25">
      <c r="C29" s="328" t="s">
        <v>306</v>
      </c>
      <c r="D29" s="321">
        <v>13268</v>
      </c>
      <c r="E29" s="185"/>
      <c r="F29" s="321"/>
      <c r="G29" s="185"/>
      <c r="H29" s="308">
        <f t="shared" si="3"/>
        <v>13268</v>
      </c>
    </row>
    <row r="30" spans="1:9" s="308" customFormat="1" ht="12.75" customHeight="1" thickBot="1" x14ac:dyDescent="0.3">
      <c r="C30" s="359" t="s">
        <v>157</v>
      </c>
      <c r="D30" s="360">
        <f>SUM(D26:D29)</f>
        <v>49974.5</v>
      </c>
      <c r="E30" s="326"/>
      <c r="F30" s="360">
        <f>SUM(F26:F29)</f>
        <v>14106.5</v>
      </c>
      <c r="G30" s="326"/>
      <c r="H30" s="360">
        <f>SUM(H26:H29)</f>
        <v>35868</v>
      </c>
    </row>
    <row r="31" spans="1:9" s="308" customFormat="1" ht="12.75" customHeight="1" thickTop="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sheetData>
  <conditionalFormatting sqref="I9:I23">
    <cfRule type="cellIs" dxfId="28"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DABE9-03D4-4CEE-8E98-BDEB9EA5B10D}">
  <sheetPr codeName="Sheet37">
    <pageSetUpPr fitToPage="1"/>
  </sheetPr>
  <dimension ref="A1:J31"/>
  <sheetViews>
    <sheetView zoomScaleNormal="100" workbookViewId="0">
      <selection activeCell="F31" sqref="F31"/>
    </sheetView>
  </sheetViews>
  <sheetFormatPr defaultColWidth="11.42578125" defaultRowHeight="15" customHeight="1" x14ac:dyDescent="0.25"/>
  <cols>
    <col min="1" max="1" width="24.5703125" customWidth="1"/>
    <col min="2" max="3" width="9.42578125" customWidth="1"/>
    <col min="4" max="4" width="47" customWidth="1"/>
    <col min="5" max="5" width="11.140625" customWidth="1"/>
    <col min="6" max="6" width="13.5703125" customWidth="1"/>
    <col min="7" max="7" width="11.28515625" customWidth="1"/>
    <col min="8" max="8" width="10.5703125" customWidth="1"/>
    <col min="9" max="9" width="11.5703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#9481.00'!B1</f>
        <v>DOC 5JD 150 DSM St Renovation</v>
      </c>
      <c r="B1" s="86"/>
      <c r="C1" s="86"/>
      <c r="D1" s="6"/>
      <c r="E1" s="6"/>
      <c r="F1" s="6"/>
      <c r="G1" s="132"/>
      <c r="H1" s="132"/>
      <c r="I1" s="133"/>
      <c r="J1" s="133"/>
    </row>
    <row r="2" spans="1:10" ht="15.75" x14ac:dyDescent="0.25">
      <c r="A2" s="88" t="str">
        <f>'RECAP #9481.00'!B2</f>
        <v>Project # 9481.00</v>
      </c>
      <c r="B2" s="87"/>
      <c r="C2" s="87"/>
      <c r="D2" s="6"/>
      <c r="E2" s="6"/>
      <c r="F2" s="6"/>
      <c r="G2" s="132"/>
      <c r="H2" s="132"/>
      <c r="I2" s="133"/>
      <c r="J2" s="133"/>
    </row>
    <row r="3" spans="1:10" ht="15.75" x14ac:dyDescent="0.25">
      <c r="A3" s="89" t="str">
        <f>'RECAP #9481.00'!B3</f>
        <v>Program code 948100</v>
      </c>
      <c r="B3" s="87"/>
      <c r="C3" s="87"/>
      <c r="D3" s="6"/>
      <c r="E3" s="90" t="str">
        <f>'RECAP #9481.00'!E3</f>
        <v>Major Program 4E01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#9481.00'!B6</f>
        <v>Project Manager - Brandon A</v>
      </c>
      <c r="B6" s="93"/>
      <c r="C6" s="93"/>
      <c r="D6" s="143"/>
      <c r="E6" s="140" t="s">
        <v>91</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10000</v>
      </c>
      <c r="F9" s="320">
        <f>E9</f>
        <v>10000</v>
      </c>
      <c r="G9" s="321"/>
      <c r="H9" s="321"/>
      <c r="I9" s="321">
        <f>F9</f>
        <v>10000</v>
      </c>
      <c r="J9" s="322"/>
    </row>
    <row r="10" spans="1:10" s="308" customFormat="1" ht="12.75" customHeight="1" x14ac:dyDescent="0.25">
      <c r="A10" s="364" t="s">
        <v>320</v>
      </c>
      <c r="B10" s="318">
        <v>45968</v>
      </c>
      <c r="C10" s="361" t="s">
        <v>274</v>
      </c>
      <c r="D10" s="402" t="s">
        <v>323</v>
      </c>
      <c r="E10" s="320"/>
      <c r="F10" s="320">
        <f t="shared" ref="F10:F23" si="0">F9+E10</f>
        <v>10000</v>
      </c>
      <c r="G10" s="325">
        <f>133.53+166.81</f>
        <v>300.34000000000003</v>
      </c>
      <c r="H10" s="321">
        <f t="shared" ref="H10:H23" si="1">H9+G10</f>
        <v>300.34000000000003</v>
      </c>
      <c r="I10" s="321">
        <f t="shared" ref="I10:I23" si="2">I9-G10+E10</f>
        <v>9699.66</v>
      </c>
      <c r="J10" s="322"/>
    </row>
    <row r="11" spans="1:10" s="308" customFormat="1" ht="12.75" customHeight="1" x14ac:dyDescent="0.25">
      <c r="A11" s="364" t="s">
        <v>320</v>
      </c>
      <c r="B11" s="318">
        <v>45968</v>
      </c>
      <c r="C11" s="361">
        <v>9500</v>
      </c>
      <c r="D11" s="332" t="s">
        <v>324</v>
      </c>
      <c r="E11" s="320"/>
      <c r="F11" s="320">
        <f t="shared" si="0"/>
        <v>10000</v>
      </c>
      <c r="G11" s="325">
        <f>167.5+403.7</f>
        <v>571.20000000000005</v>
      </c>
      <c r="H11" s="321">
        <f t="shared" si="1"/>
        <v>871.54000000000008</v>
      </c>
      <c r="I11" s="321">
        <f t="shared" si="2"/>
        <v>9128.4599999999991</v>
      </c>
      <c r="J11" s="322"/>
    </row>
    <row r="12" spans="1:10" s="308" customFormat="1" ht="12.75" customHeight="1" x14ac:dyDescent="0.25">
      <c r="A12" s="332" t="s">
        <v>329</v>
      </c>
      <c r="B12" s="318">
        <v>45974</v>
      </c>
      <c r="C12" s="361">
        <v>2507</v>
      </c>
      <c r="D12" s="328" t="s">
        <v>330</v>
      </c>
      <c r="E12" s="320"/>
      <c r="F12" s="320">
        <f t="shared" si="0"/>
        <v>10000</v>
      </c>
      <c r="G12" s="373">
        <v>-300.33999999999997</v>
      </c>
      <c r="H12" s="321">
        <f t="shared" si="1"/>
        <v>571.20000000000005</v>
      </c>
      <c r="I12" s="321">
        <f t="shared" si="2"/>
        <v>9428.7999999999993</v>
      </c>
      <c r="J12" s="322"/>
    </row>
    <row r="13" spans="1:10" s="308" customFormat="1" ht="12.75" customHeight="1" x14ac:dyDescent="0.25">
      <c r="A13" s="332" t="s">
        <v>329</v>
      </c>
      <c r="B13" s="318">
        <v>45974</v>
      </c>
      <c r="C13" s="361">
        <v>9500</v>
      </c>
      <c r="D13" s="328" t="s">
        <v>330</v>
      </c>
      <c r="E13" s="320"/>
      <c r="F13" s="320">
        <f t="shared" si="0"/>
        <v>10000</v>
      </c>
      <c r="G13" s="373">
        <v>-571.20000000000005</v>
      </c>
      <c r="H13" s="321">
        <f t="shared" si="1"/>
        <v>0</v>
      </c>
      <c r="I13" s="321">
        <f t="shared" si="2"/>
        <v>10000</v>
      </c>
      <c r="J13" s="322"/>
    </row>
    <row r="14" spans="1:10" s="308" customFormat="1" ht="12.75" customHeight="1" x14ac:dyDescent="0.2">
      <c r="A14" s="171" t="s">
        <v>383</v>
      </c>
      <c r="B14" s="153">
        <v>45996</v>
      </c>
      <c r="C14" s="155" t="s">
        <v>274</v>
      </c>
      <c r="D14" s="181" t="s">
        <v>384</v>
      </c>
      <c r="E14" s="320"/>
      <c r="F14" s="320">
        <f t="shared" si="0"/>
        <v>10000</v>
      </c>
      <c r="G14" s="373">
        <v>-5.66</v>
      </c>
      <c r="H14" s="321">
        <f t="shared" si="1"/>
        <v>-5.66</v>
      </c>
      <c r="I14" s="321">
        <f t="shared" si="2"/>
        <v>10005.66</v>
      </c>
      <c r="J14" s="322"/>
    </row>
    <row r="15" spans="1:10" s="308" customFormat="1" ht="12.75" customHeight="1" x14ac:dyDescent="0.2">
      <c r="A15" s="171" t="s">
        <v>383</v>
      </c>
      <c r="B15" s="153">
        <v>45996</v>
      </c>
      <c r="C15" s="401">
        <v>9500</v>
      </c>
      <c r="D15" s="126" t="s">
        <v>385</v>
      </c>
      <c r="E15" s="320"/>
      <c r="F15" s="320">
        <f t="shared" si="0"/>
        <v>10000</v>
      </c>
      <c r="G15" s="325">
        <v>1308.2</v>
      </c>
      <c r="H15" s="321">
        <f t="shared" si="1"/>
        <v>1302.54</v>
      </c>
      <c r="I15" s="321">
        <f t="shared" si="2"/>
        <v>8697.4599999999991</v>
      </c>
      <c r="J15" s="322"/>
    </row>
    <row r="16" spans="1:10" s="308" customFormat="1" ht="12.75" customHeight="1" x14ac:dyDescent="0.2">
      <c r="A16" s="171" t="s">
        <v>418</v>
      </c>
      <c r="B16" s="153">
        <v>46030</v>
      </c>
      <c r="C16" s="155" t="s">
        <v>274</v>
      </c>
      <c r="D16" s="181" t="s">
        <v>419</v>
      </c>
      <c r="E16" s="320"/>
      <c r="F16" s="320">
        <f t="shared" si="0"/>
        <v>10000</v>
      </c>
      <c r="G16" s="325">
        <v>108.95</v>
      </c>
      <c r="H16" s="321">
        <f t="shared" si="1"/>
        <v>1411.49</v>
      </c>
      <c r="I16" s="321">
        <f t="shared" si="2"/>
        <v>8588.5099999999984</v>
      </c>
      <c r="J16" s="322"/>
    </row>
    <row r="17" spans="1:10" s="308" customFormat="1" ht="12.75" customHeight="1" x14ac:dyDescent="0.2">
      <c r="A17" s="171" t="s">
        <v>418</v>
      </c>
      <c r="B17" s="153">
        <v>46030</v>
      </c>
      <c r="C17" s="401">
        <v>9500</v>
      </c>
      <c r="D17" s="126" t="s">
        <v>420</v>
      </c>
      <c r="E17" s="320"/>
      <c r="F17" s="320">
        <f t="shared" si="0"/>
        <v>10000</v>
      </c>
      <c r="G17" s="325">
        <v>1240</v>
      </c>
      <c r="H17" s="321">
        <f t="shared" si="1"/>
        <v>2651.49</v>
      </c>
      <c r="I17" s="321">
        <f t="shared" si="2"/>
        <v>7348.5099999999984</v>
      </c>
      <c r="J17" s="322"/>
    </row>
    <row r="18" spans="1:10" s="308" customFormat="1" ht="12.75" customHeight="1" x14ac:dyDescent="0.2">
      <c r="A18" s="171" t="s">
        <v>844</v>
      </c>
      <c r="B18" s="153">
        <v>46181</v>
      </c>
      <c r="C18" s="155" t="s">
        <v>274</v>
      </c>
      <c r="D18" s="181" t="s">
        <v>845</v>
      </c>
      <c r="E18" s="320"/>
      <c r="F18" s="320">
        <f t="shared" si="0"/>
        <v>10000</v>
      </c>
      <c r="G18" s="325">
        <v>101.68</v>
      </c>
      <c r="H18" s="321">
        <f t="shared" si="1"/>
        <v>2753.1699999999996</v>
      </c>
      <c r="I18" s="321">
        <f t="shared" si="2"/>
        <v>7246.8299999999981</v>
      </c>
      <c r="J18" s="322"/>
    </row>
    <row r="19" spans="1:10" s="308" customFormat="1" ht="12.75" customHeight="1" x14ac:dyDescent="0.2">
      <c r="A19" s="171" t="s">
        <v>844</v>
      </c>
      <c r="B19" s="153">
        <v>46181</v>
      </c>
      <c r="C19" s="401">
        <v>9500</v>
      </c>
      <c r="D19" s="126" t="s">
        <v>846</v>
      </c>
      <c r="E19" s="320"/>
      <c r="F19" s="320">
        <f t="shared" si="0"/>
        <v>10000</v>
      </c>
      <c r="G19" s="325">
        <v>1246.3</v>
      </c>
      <c r="H19" s="321">
        <f t="shared" si="1"/>
        <v>3999.4699999999993</v>
      </c>
      <c r="I19" s="321">
        <f t="shared" si="2"/>
        <v>6000.5299999999979</v>
      </c>
      <c r="J19" s="322"/>
    </row>
    <row r="20" spans="1:10" s="308" customFormat="1" ht="12.75" customHeight="1" x14ac:dyDescent="0.2">
      <c r="A20" s="171" t="s">
        <v>989</v>
      </c>
      <c r="B20" s="153">
        <v>46211</v>
      </c>
      <c r="C20" s="155" t="s">
        <v>274</v>
      </c>
      <c r="D20" s="181" t="s">
        <v>992</v>
      </c>
      <c r="E20" s="320"/>
      <c r="F20" s="320">
        <f t="shared" si="0"/>
        <v>10000</v>
      </c>
      <c r="G20" s="325">
        <v>78.069999999999993</v>
      </c>
      <c r="H20" s="321">
        <f t="shared" si="1"/>
        <v>4077.5399999999995</v>
      </c>
      <c r="I20" s="321">
        <f t="shared" si="2"/>
        <v>5922.4599999999982</v>
      </c>
      <c r="J20" s="322"/>
    </row>
    <row r="21" spans="1:10" s="308" customFormat="1" ht="12.75" customHeight="1" x14ac:dyDescent="0.2">
      <c r="A21" s="171" t="s">
        <v>989</v>
      </c>
      <c r="B21" s="153">
        <v>46211</v>
      </c>
      <c r="C21" s="401">
        <v>9500</v>
      </c>
      <c r="D21" s="126" t="s">
        <v>993</v>
      </c>
      <c r="E21" s="320"/>
      <c r="F21" s="320">
        <f t="shared" si="0"/>
        <v>10000</v>
      </c>
      <c r="G21" s="325">
        <v>901.5</v>
      </c>
      <c r="H21" s="321">
        <f t="shared" si="1"/>
        <v>4979.0399999999991</v>
      </c>
      <c r="I21" s="321">
        <f t="shared" si="2"/>
        <v>5020.9599999999982</v>
      </c>
      <c r="J21" s="322"/>
    </row>
    <row r="22" spans="1:10" s="308" customFormat="1" ht="12.75" customHeight="1" x14ac:dyDescent="0.2">
      <c r="A22" s="171" t="s">
        <v>1036</v>
      </c>
      <c r="B22" s="153">
        <v>46218</v>
      </c>
      <c r="C22" s="155" t="s">
        <v>274</v>
      </c>
      <c r="D22" s="181" t="s">
        <v>1037</v>
      </c>
      <c r="E22" s="320"/>
      <c r="F22" s="320">
        <f t="shared" si="0"/>
        <v>10000</v>
      </c>
      <c r="G22" s="325">
        <v>30.93</v>
      </c>
      <c r="H22" s="321">
        <f t="shared" si="1"/>
        <v>5009.9699999999993</v>
      </c>
      <c r="I22" s="321">
        <f t="shared" si="2"/>
        <v>4990.0299999999979</v>
      </c>
      <c r="J22" s="322"/>
    </row>
    <row r="23" spans="1:10" s="308" customFormat="1" ht="12.75" customHeight="1" x14ac:dyDescent="0.2">
      <c r="A23" s="171"/>
      <c r="B23" s="153"/>
      <c r="C23" s="401"/>
      <c r="D23" s="126"/>
      <c r="E23" s="320"/>
      <c r="F23" s="320">
        <f t="shared" si="0"/>
        <v>10000</v>
      </c>
      <c r="G23" s="326"/>
      <c r="H23" s="321">
        <f t="shared" si="1"/>
        <v>5009.9699999999993</v>
      </c>
      <c r="I23" s="321">
        <f t="shared" si="2"/>
        <v>4990.0299999999979</v>
      </c>
      <c r="J23" s="322"/>
    </row>
    <row r="24" spans="1:10" s="308" customFormat="1" ht="12.75" customHeight="1" x14ac:dyDescent="0.25">
      <c r="A24" s="332"/>
      <c r="B24" s="324"/>
      <c r="C24" s="361"/>
      <c r="D24" s="328"/>
      <c r="E24" s="321"/>
      <c r="F24" s="321"/>
      <c r="G24" s="321"/>
      <c r="H24" s="321"/>
      <c r="I24" s="321"/>
      <c r="J24" s="322"/>
    </row>
    <row r="25" spans="1:10" s="308" customFormat="1" ht="12.75" customHeight="1" thickBot="1" x14ac:dyDescent="0.3">
      <c r="A25" s="332"/>
      <c r="B25" s="329"/>
      <c r="C25" s="329"/>
      <c r="D25" s="330" t="s">
        <v>54</v>
      </c>
      <c r="E25" s="184">
        <f>SUM(E9:E24)</f>
        <v>10000</v>
      </c>
      <c r="F25" s="184"/>
      <c r="G25" s="184">
        <f>SUM(G9:G24)</f>
        <v>5009.9699999999993</v>
      </c>
      <c r="H25" s="184"/>
      <c r="I25" s="184">
        <f>E25-G25</f>
        <v>4990.0300000000007</v>
      </c>
      <c r="J25" s="322"/>
    </row>
    <row r="26" spans="1:10" s="308" customFormat="1" ht="12.75" customHeight="1" thickTop="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57CB5-043C-46CD-97F6-1A131B6F2A85}">
  <sheetPr codeName="Sheet38">
    <pageSetUpPr fitToPage="1"/>
  </sheetPr>
  <dimension ref="A1:H30"/>
  <sheetViews>
    <sheetView zoomScaleNormal="100" workbookViewId="0">
      <selection activeCell="L23" sqref="L2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7.7109375" customWidth="1"/>
    <col min="6" max="6" width="19"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'RECAP #9481.00'!B1</f>
        <v>DOC 5JD 150 DSM St Renovation</v>
      </c>
      <c r="B1" s="86"/>
      <c r="C1" s="86"/>
      <c r="D1" s="86"/>
      <c r="E1" s="6"/>
      <c r="F1" s="6"/>
      <c r="G1" s="6"/>
      <c r="H1" s="132"/>
    </row>
    <row r="2" spans="1:8" ht="15.75" x14ac:dyDescent="0.25">
      <c r="A2" s="88" t="str">
        <f>'RECAP #9481.00'!B2</f>
        <v>Project # 9481.00</v>
      </c>
      <c r="B2" s="87"/>
      <c r="C2" s="87"/>
      <c r="D2" s="87"/>
      <c r="E2" s="6"/>
      <c r="F2" s="6"/>
      <c r="G2" s="6"/>
      <c r="H2" s="132"/>
    </row>
    <row r="3" spans="1:8" ht="15.75" x14ac:dyDescent="0.25">
      <c r="A3" s="89" t="str">
        <f>'RECAP #9481.00'!B3</f>
        <v>Program code 948100</v>
      </c>
      <c r="B3" s="87"/>
      <c r="C3" s="87"/>
      <c r="D3" s="87"/>
      <c r="E3" s="90" t="str">
        <f>'RECAP #9481.00'!E3</f>
        <v>Major Program 4E01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#9481.00'!B6</f>
        <v>Project Manager - Brandon A</v>
      </c>
      <c r="B6" s="93"/>
      <c r="C6" s="93"/>
      <c r="D6" s="93"/>
      <c r="E6" s="90" t="s">
        <v>286</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64" t="s">
        <v>148</v>
      </c>
      <c r="B9" s="318">
        <v>45876</v>
      </c>
      <c r="C9" s="404">
        <v>2507</v>
      </c>
      <c r="D9" s="363"/>
      <c r="E9" s="363" t="s">
        <v>151</v>
      </c>
      <c r="F9" s="407" t="s">
        <v>152</v>
      </c>
      <c r="G9" s="408">
        <v>570</v>
      </c>
      <c r="H9" s="366">
        <f>G9</f>
        <v>570</v>
      </c>
    </row>
    <row r="10" spans="1:8" s="308" customFormat="1" ht="12.75" customHeight="1" x14ac:dyDescent="0.25">
      <c r="A10" s="364" t="s">
        <v>213</v>
      </c>
      <c r="B10" s="318">
        <v>45908</v>
      </c>
      <c r="C10" s="404">
        <v>2507</v>
      </c>
      <c r="D10" s="318"/>
      <c r="E10" s="363" t="s">
        <v>215</v>
      </c>
      <c r="F10" s="407" t="s">
        <v>214</v>
      </c>
      <c r="G10" s="408">
        <v>166.25</v>
      </c>
      <c r="H10" s="366">
        <f>H9+G10</f>
        <v>736.25</v>
      </c>
    </row>
    <row r="11" spans="1:8" s="308" customFormat="1" ht="12.75" customHeight="1" x14ac:dyDescent="0.25">
      <c r="A11" s="364" t="s">
        <v>320</v>
      </c>
      <c r="B11" s="318">
        <v>45968</v>
      </c>
      <c r="C11" s="361" t="s">
        <v>274</v>
      </c>
      <c r="D11" s="318"/>
      <c r="E11" s="363" t="s">
        <v>321</v>
      </c>
      <c r="F11" s="407" t="s">
        <v>322</v>
      </c>
      <c r="G11" s="408">
        <v>47.5</v>
      </c>
      <c r="H11" s="366">
        <f t="shared" ref="H11:H20" si="0">H10+G11</f>
        <v>783.75</v>
      </c>
    </row>
    <row r="12" spans="1:8" s="308" customFormat="1" ht="12.75" customHeight="1" x14ac:dyDescent="0.25">
      <c r="A12" s="171" t="s">
        <v>989</v>
      </c>
      <c r="B12" s="153">
        <v>46211</v>
      </c>
      <c r="C12" s="155" t="s">
        <v>274</v>
      </c>
      <c r="D12"/>
      <c r="E12" t="s">
        <v>990</v>
      </c>
      <c r="F12" s="183" t="s">
        <v>991</v>
      </c>
      <c r="G12" s="408">
        <v>332.5</v>
      </c>
      <c r="H12" s="366">
        <f t="shared" si="0"/>
        <v>1116.25</v>
      </c>
    </row>
    <row r="13" spans="1:8" s="308" customFormat="1" ht="12.75" customHeight="1" x14ac:dyDescent="0.2">
      <c r="A13" s="364" t="s">
        <v>1002</v>
      </c>
      <c r="B13" s="318">
        <v>46212</v>
      </c>
      <c r="C13" s="401">
        <v>9255</v>
      </c>
      <c r="D13" s="318" t="s">
        <v>372</v>
      </c>
      <c r="E13" s="363" t="s">
        <v>1003</v>
      </c>
      <c r="F13" s="407" t="s">
        <v>1004</v>
      </c>
      <c r="G13" s="408">
        <v>2543.52</v>
      </c>
      <c r="H13" s="366">
        <f t="shared" si="0"/>
        <v>3659.77</v>
      </c>
    </row>
    <row r="14" spans="1:8" s="308" customFormat="1" ht="12.75" customHeight="1" x14ac:dyDescent="0.2">
      <c r="A14" s="364" t="s">
        <v>1040</v>
      </c>
      <c r="B14" s="318">
        <v>46219</v>
      </c>
      <c r="C14" s="401">
        <v>9255</v>
      </c>
      <c r="D14" s="318" t="s">
        <v>372</v>
      </c>
      <c r="E14" s="363" t="s">
        <v>1038</v>
      </c>
      <c r="F14" s="407" t="s">
        <v>1039</v>
      </c>
      <c r="G14" s="408">
        <v>117</v>
      </c>
      <c r="H14" s="366">
        <f t="shared" si="0"/>
        <v>3776.77</v>
      </c>
    </row>
    <row r="15" spans="1:8" s="308" customFormat="1" ht="12.75" customHeight="1" x14ac:dyDescent="0.25">
      <c r="A15" s="361"/>
      <c r="B15" s="318"/>
      <c r="C15" s="318"/>
      <c r="D15" s="318"/>
      <c r="E15" s="368"/>
      <c r="F15" s="367"/>
      <c r="G15" s="366"/>
      <c r="H15" s="366">
        <f t="shared" si="0"/>
        <v>3776.77</v>
      </c>
    </row>
    <row r="16" spans="1:8" s="308" customFormat="1" ht="12.75" customHeight="1" x14ac:dyDescent="0.25">
      <c r="A16" s="361"/>
      <c r="B16" s="318"/>
      <c r="C16" s="318"/>
      <c r="D16" s="318"/>
      <c r="E16" s="363"/>
      <c r="F16" s="367"/>
      <c r="G16" s="366"/>
      <c r="H16" s="366">
        <f t="shared" si="0"/>
        <v>3776.77</v>
      </c>
    </row>
    <row r="17" spans="1:8" s="308" customFormat="1" ht="12.75" customHeight="1" x14ac:dyDescent="0.25">
      <c r="A17" s="317"/>
      <c r="B17" s="318"/>
      <c r="C17" s="318"/>
      <c r="D17" s="318"/>
      <c r="E17" s="363"/>
      <c r="F17" s="367"/>
      <c r="G17" s="366"/>
      <c r="H17" s="366">
        <f t="shared" si="0"/>
        <v>3776.77</v>
      </c>
    </row>
    <row r="18" spans="1:8" s="308" customFormat="1" ht="12.75" customHeight="1" x14ac:dyDescent="0.25">
      <c r="A18" s="317"/>
      <c r="B18" s="318"/>
      <c r="C18" s="318"/>
      <c r="D18" s="318"/>
      <c r="E18" s="363"/>
      <c r="F18" s="367"/>
      <c r="G18" s="366"/>
      <c r="H18" s="366">
        <f t="shared" si="0"/>
        <v>3776.77</v>
      </c>
    </row>
    <row r="19" spans="1:8" s="308" customFormat="1" ht="12.75" customHeight="1" x14ac:dyDescent="0.25">
      <c r="A19" s="317"/>
      <c r="B19" s="318"/>
      <c r="C19" s="318"/>
      <c r="D19" s="318"/>
      <c r="E19" s="363"/>
      <c r="F19" s="367"/>
      <c r="G19" s="366"/>
      <c r="H19" s="366">
        <f t="shared" si="0"/>
        <v>3776.77</v>
      </c>
    </row>
    <row r="20" spans="1:8" s="308" customFormat="1" ht="12.75" customHeight="1" x14ac:dyDescent="0.25">
      <c r="A20" s="317"/>
      <c r="B20" s="318"/>
      <c r="C20" s="318"/>
      <c r="D20" s="318"/>
      <c r="E20" s="363"/>
      <c r="F20" s="367"/>
      <c r="G20" s="366"/>
      <c r="H20" s="366">
        <f t="shared" si="0"/>
        <v>3776.77</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3776.77</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sheetData>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5F450-4677-40CE-9971-A546F6C64D4C}">
  <sheetPr>
    <pageSetUpPr fitToPage="1"/>
  </sheetPr>
  <dimension ref="A1:I49"/>
  <sheetViews>
    <sheetView zoomScaleNormal="100" workbookViewId="0">
      <selection activeCell="L26" sqref="L2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#9481.00'!B1</f>
        <v>DOC 5JD 150 DSM St Renovation</v>
      </c>
      <c r="B1" s="86"/>
      <c r="C1" s="6"/>
      <c r="D1" s="6"/>
      <c r="E1" s="6"/>
      <c r="F1" s="132"/>
      <c r="G1" s="132"/>
      <c r="H1" s="133"/>
      <c r="I1" s="133"/>
    </row>
    <row r="2" spans="1:9" ht="15.75" x14ac:dyDescent="0.25">
      <c r="A2" s="88" t="str">
        <f>'RECAP #9481.00'!B2</f>
        <v>Project # 9481.00</v>
      </c>
      <c r="B2" s="87"/>
      <c r="C2" s="6"/>
      <c r="D2" s="6"/>
      <c r="E2" s="6"/>
      <c r="F2" s="132"/>
      <c r="G2" s="132"/>
      <c r="H2" s="133"/>
      <c r="I2" s="133"/>
    </row>
    <row r="3" spans="1:9" ht="15.75" x14ac:dyDescent="0.25">
      <c r="A3" s="89" t="str">
        <f>'RECAP #9481.00'!B3</f>
        <v>Program code 948100</v>
      </c>
      <c r="B3" s="87"/>
      <c r="C3" s="6"/>
      <c r="D3" s="90" t="str">
        <f>'RECAP #9481.00'!E3</f>
        <v>Major Program 4E01</v>
      </c>
      <c r="E3" s="6"/>
      <c r="F3" s="132"/>
      <c r="G3" s="132"/>
      <c r="H3" s="133"/>
      <c r="I3" s="133"/>
    </row>
    <row r="4" spans="1:9" ht="15.75" x14ac:dyDescent="0.25">
      <c r="A4" s="116" t="s">
        <v>141</v>
      </c>
      <c r="B4" s="134"/>
      <c r="C4" s="135"/>
      <c r="D4" s="136" t="s">
        <v>142</v>
      </c>
      <c r="E4" s="132"/>
      <c r="F4" s="132"/>
      <c r="G4" s="132"/>
      <c r="H4" s="133"/>
      <c r="I4" s="133"/>
    </row>
    <row r="5" spans="1:9" ht="15.75" x14ac:dyDescent="0.25">
      <c r="A5" s="137" t="s">
        <v>559</v>
      </c>
      <c r="B5" s="138"/>
      <c r="C5" s="139"/>
      <c r="D5" s="140" t="s">
        <v>191</v>
      </c>
      <c r="E5" s="141"/>
      <c r="F5" s="142"/>
      <c r="G5" s="142"/>
      <c r="H5" s="138"/>
      <c r="I5" s="133"/>
    </row>
    <row r="6" spans="1:9" ht="15.75" x14ac:dyDescent="0.25">
      <c r="A6" s="93" t="str">
        <f>'RECAP #9481.00'!B6</f>
        <v>Project Manager - Brandon A</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798</v>
      </c>
      <c r="B9" s="318">
        <v>46168</v>
      </c>
      <c r="C9" s="324" t="s">
        <v>146</v>
      </c>
      <c r="D9" s="186">
        <v>12584.85</v>
      </c>
      <c r="E9" s="320">
        <f>D9</f>
        <v>12584.85</v>
      </c>
      <c r="F9" s="321"/>
      <c r="G9" s="321"/>
      <c r="H9" s="321">
        <f>E9</f>
        <v>12584.85</v>
      </c>
      <c r="I9" s="322"/>
    </row>
    <row r="10" spans="1:9" s="308" customFormat="1" ht="12.75" customHeight="1" x14ac:dyDescent="0.25">
      <c r="A10" s="317" t="s">
        <v>847</v>
      </c>
      <c r="B10" s="323">
        <v>46182</v>
      </c>
      <c r="C10" s="324" t="s">
        <v>848</v>
      </c>
      <c r="D10" s="320"/>
      <c r="E10" s="320">
        <f t="shared" ref="E10:E21" si="0">E9+D10</f>
        <v>12584.85</v>
      </c>
      <c r="F10" s="325">
        <v>5114.32</v>
      </c>
      <c r="G10" s="321">
        <f t="shared" ref="G10:G21" si="1">G9+F10</f>
        <v>5114.32</v>
      </c>
      <c r="H10" s="321">
        <f t="shared" ref="H10:H21" si="2">H9-F10+D10</f>
        <v>7470.5300000000007</v>
      </c>
      <c r="I10" s="322"/>
    </row>
    <row r="11" spans="1:9" s="308" customFormat="1" ht="12.75" customHeight="1" x14ac:dyDescent="0.25">
      <c r="A11" s="317" t="s">
        <v>1015</v>
      </c>
      <c r="B11" s="318">
        <v>46216</v>
      </c>
      <c r="C11" s="324" t="s">
        <v>1016</v>
      </c>
      <c r="D11" s="320"/>
      <c r="E11" s="320">
        <f t="shared" si="0"/>
        <v>12584.85</v>
      </c>
      <c r="F11" s="325">
        <v>631.67999999999995</v>
      </c>
      <c r="G11" s="321">
        <f t="shared" si="1"/>
        <v>5746</v>
      </c>
      <c r="H11" s="321">
        <f t="shared" si="2"/>
        <v>6838.85</v>
      </c>
      <c r="I11" s="322"/>
    </row>
    <row r="12" spans="1:9" s="308" customFormat="1" ht="12.75" customHeight="1" x14ac:dyDescent="0.25">
      <c r="A12" s="317"/>
      <c r="B12" s="318"/>
      <c r="C12" s="324"/>
      <c r="D12" s="320"/>
      <c r="E12" s="320">
        <f t="shared" si="0"/>
        <v>12584.85</v>
      </c>
      <c r="F12" s="326"/>
      <c r="G12" s="321">
        <f t="shared" si="1"/>
        <v>5746</v>
      </c>
      <c r="H12" s="321">
        <f t="shared" si="2"/>
        <v>6838.85</v>
      </c>
      <c r="I12" s="322"/>
    </row>
    <row r="13" spans="1:9" s="308" customFormat="1" ht="12.75" customHeight="1" x14ac:dyDescent="0.25">
      <c r="A13" s="317"/>
      <c r="B13" s="318"/>
      <c r="C13" s="324"/>
      <c r="D13" s="320"/>
      <c r="E13" s="320">
        <f t="shared" si="0"/>
        <v>12584.85</v>
      </c>
      <c r="F13" s="326"/>
      <c r="G13" s="321">
        <f t="shared" si="1"/>
        <v>5746</v>
      </c>
      <c r="H13" s="321">
        <f t="shared" si="2"/>
        <v>6838.85</v>
      </c>
      <c r="I13" s="322"/>
    </row>
    <row r="14" spans="1:9" s="308" customFormat="1" ht="12.75" customHeight="1" x14ac:dyDescent="0.25">
      <c r="A14" s="317"/>
      <c r="B14" s="318"/>
      <c r="C14" s="324"/>
      <c r="D14" s="320"/>
      <c r="E14" s="320">
        <f t="shared" si="0"/>
        <v>12584.85</v>
      </c>
      <c r="F14" s="321"/>
      <c r="G14" s="321">
        <f t="shared" si="1"/>
        <v>5746</v>
      </c>
      <c r="H14" s="321">
        <f t="shared" si="2"/>
        <v>6838.85</v>
      </c>
      <c r="I14" s="322"/>
    </row>
    <row r="15" spans="1:9" s="308" customFormat="1" ht="12.75" customHeight="1" x14ac:dyDescent="0.25">
      <c r="A15" s="317"/>
      <c r="B15" s="318"/>
      <c r="C15" s="324"/>
      <c r="D15" s="320"/>
      <c r="E15" s="320">
        <f t="shared" si="0"/>
        <v>12584.85</v>
      </c>
      <c r="F15" s="326"/>
      <c r="G15" s="321">
        <f t="shared" si="1"/>
        <v>5746</v>
      </c>
      <c r="H15" s="321">
        <f t="shared" si="2"/>
        <v>6838.85</v>
      </c>
      <c r="I15" s="322"/>
    </row>
    <row r="16" spans="1:9" s="308" customFormat="1" ht="12.75" customHeight="1" x14ac:dyDescent="0.25">
      <c r="A16" s="317"/>
      <c r="B16" s="318"/>
      <c r="C16" s="324"/>
      <c r="D16" s="320"/>
      <c r="E16" s="320">
        <f t="shared" si="0"/>
        <v>12584.85</v>
      </c>
      <c r="F16" s="326"/>
      <c r="G16" s="321">
        <f t="shared" si="1"/>
        <v>5746</v>
      </c>
      <c r="H16" s="321">
        <f t="shared" si="2"/>
        <v>6838.85</v>
      </c>
      <c r="I16" s="322"/>
    </row>
    <row r="17" spans="1:9" s="308" customFormat="1" ht="12.75" customHeight="1" x14ac:dyDescent="0.25">
      <c r="A17" s="317"/>
      <c r="B17" s="318"/>
      <c r="C17" s="324"/>
      <c r="D17" s="320"/>
      <c r="E17" s="320">
        <f t="shared" si="0"/>
        <v>12584.85</v>
      </c>
      <c r="F17" s="326"/>
      <c r="G17" s="321">
        <f t="shared" si="1"/>
        <v>5746</v>
      </c>
      <c r="H17" s="321">
        <f t="shared" si="2"/>
        <v>6838.85</v>
      </c>
      <c r="I17" s="322"/>
    </row>
    <row r="18" spans="1:9" s="308" customFormat="1" ht="12.75" customHeight="1" x14ac:dyDescent="0.25">
      <c r="A18" s="317"/>
      <c r="B18" s="318"/>
      <c r="C18" s="324"/>
      <c r="D18" s="320"/>
      <c r="E18" s="320">
        <f t="shared" si="0"/>
        <v>12584.85</v>
      </c>
      <c r="F18" s="326"/>
      <c r="G18" s="321">
        <f t="shared" si="1"/>
        <v>5746</v>
      </c>
      <c r="H18" s="321">
        <f t="shared" si="2"/>
        <v>6838.85</v>
      </c>
      <c r="I18" s="322"/>
    </row>
    <row r="19" spans="1:9" s="308" customFormat="1" ht="12.75" customHeight="1" x14ac:dyDescent="0.25">
      <c r="A19" s="317"/>
      <c r="B19" s="318"/>
      <c r="C19" s="324"/>
      <c r="D19" s="320"/>
      <c r="E19" s="320">
        <f t="shared" si="0"/>
        <v>12584.85</v>
      </c>
      <c r="F19" s="321"/>
      <c r="G19" s="321">
        <f t="shared" si="1"/>
        <v>5746</v>
      </c>
      <c r="H19" s="321">
        <f t="shared" si="2"/>
        <v>6838.85</v>
      </c>
      <c r="I19" s="322"/>
    </row>
    <row r="20" spans="1:9" s="308" customFormat="1" ht="12.75" customHeight="1" x14ac:dyDescent="0.25">
      <c r="A20" s="317"/>
      <c r="B20" s="318"/>
      <c r="C20" s="324"/>
      <c r="D20" s="320"/>
      <c r="E20" s="320">
        <f t="shared" si="0"/>
        <v>12584.85</v>
      </c>
      <c r="F20" s="321"/>
      <c r="G20" s="321">
        <f t="shared" si="1"/>
        <v>5746</v>
      </c>
      <c r="H20" s="321">
        <f t="shared" si="2"/>
        <v>6838.85</v>
      </c>
      <c r="I20" s="322"/>
    </row>
    <row r="21" spans="1:9" s="308" customFormat="1" ht="12.75" customHeight="1" x14ac:dyDescent="0.25">
      <c r="A21" s="317"/>
      <c r="B21" s="318"/>
      <c r="C21" s="327"/>
      <c r="D21" s="320"/>
      <c r="E21" s="320">
        <f t="shared" si="0"/>
        <v>12584.85</v>
      </c>
      <c r="F21" s="321"/>
      <c r="G21" s="321">
        <f t="shared" si="1"/>
        <v>5746</v>
      </c>
      <c r="H21" s="321">
        <f t="shared" si="2"/>
        <v>6838.85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12584.85</v>
      </c>
      <c r="E23" s="184"/>
      <c r="F23" s="184">
        <f>SUM(F9:F22)</f>
        <v>5746</v>
      </c>
      <c r="G23" s="184"/>
      <c r="H23" s="184">
        <f>D23-F23</f>
        <v>6838.85</v>
      </c>
      <c r="I23" s="322"/>
    </row>
    <row r="24" spans="1:9" s="308" customFormat="1" ht="12.75" customHeight="1" thickTop="1" x14ac:dyDescent="0.25"/>
    <row r="25" spans="1:9" s="308" customFormat="1" ht="12.75" customHeight="1" x14ac:dyDescent="0.25"/>
    <row r="26" spans="1:9" s="308" customFormat="1" ht="12.75" customHeight="1" x14ac:dyDescent="0.25">
      <c r="D26" s="321"/>
      <c r="E26" s="321"/>
      <c r="F26" s="321"/>
      <c r="G26" s="321"/>
      <c r="H26" s="321"/>
    </row>
    <row r="27" spans="1:9" s="308" customFormat="1" ht="12.75" customHeight="1" x14ac:dyDescent="0.25">
      <c r="C27" s="328"/>
      <c r="D27" s="321"/>
      <c r="E27" s="321"/>
      <c r="F27" s="321"/>
      <c r="G27" s="321"/>
      <c r="H27" s="321"/>
    </row>
    <row r="28" spans="1:9" s="308" customFormat="1" ht="12.75" customHeight="1" x14ac:dyDescent="0.25">
      <c r="C28" s="328"/>
      <c r="D28" s="321"/>
      <c r="E28" s="185"/>
      <c r="F28" s="321"/>
      <c r="G28" s="185"/>
    </row>
    <row r="29" spans="1:9" s="308" customFormat="1" ht="12.75" customHeight="1" x14ac:dyDescent="0.25">
      <c r="C29" s="359"/>
      <c r="D29" s="411"/>
      <c r="E29" s="326"/>
      <c r="F29" s="411"/>
      <c r="G29" s="326"/>
      <c r="H29" s="411"/>
    </row>
    <row r="30" spans="1:9" s="308" customFormat="1" ht="12.75" customHeight="1" x14ac:dyDescent="0.25"/>
    <row r="31" spans="1:9" s="308" customFormat="1" ht="12.75" customHeight="1" x14ac:dyDescent="0.25"/>
    <row r="32" spans="1:9" s="308" customFormat="1" ht="12.75" customHeight="1" x14ac:dyDescent="0.25"/>
    <row r="33" spans="7:7" s="308" customFormat="1" ht="12.75" customHeight="1" x14ac:dyDescent="0.25"/>
    <row r="34" spans="7:7" s="308" customFormat="1" ht="12.75" customHeight="1" x14ac:dyDescent="0.25">
      <c r="G34" s="402"/>
    </row>
    <row r="35" spans="7:7" s="308" customFormat="1" ht="12.75" customHeight="1" x14ac:dyDescent="0.25"/>
    <row r="36" spans="7:7" s="308" customFormat="1" ht="12.75" customHeight="1" x14ac:dyDescent="0.25"/>
    <row r="37" spans="7:7" s="308" customFormat="1" ht="12.75" customHeight="1" x14ac:dyDescent="0.25"/>
    <row r="38" spans="7:7" s="308" customFormat="1" ht="12.75" customHeight="1" x14ac:dyDescent="0.25"/>
    <row r="39" spans="7:7" s="308" customFormat="1" ht="12.75" customHeight="1" x14ac:dyDescent="0.25"/>
    <row r="40" spans="7:7" s="308" customFormat="1" ht="12.75" customHeight="1" x14ac:dyDescent="0.25"/>
    <row r="41" spans="7:7" s="308" customFormat="1" ht="12.75" customHeight="1" x14ac:dyDescent="0.25"/>
    <row r="42" spans="7:7" s="308" customFormat="1" ht="12.75" customHeight="1" x14ac:dyDescent="0.25"/>
    <row r="43" spans="7:7" s="308" customFormat="1" ht="12.75" customHeight="1" x14ac:dyDescent="0.25"/>
    <row r="44" spans="7:7" s="308" customFormat="1" ht="12.75" customHeight="1" x14ac:dyDescent="0.25"/>
    <row r="45" spans="7:7" s="308" customFormat="1" ht="12.75" customHeight="1" x14ac:dyDescent="0.25"/>
    <row r="46" spans="7:7" s="308" customFormat="1" ht="12.75" customHeight="1" x14ac:dyDescent="0.25"/>
    <row r="47" spans="7:7" s="308" customFormat="1" ht="12.75" customHeight="1" x14ac:dyDescent="0.25"/>
    <row r="48" spans="7:7" s="308" customFormat="1" ht="12.75" customHeight="1" x14ac:dyDescent="0.25"/>
    <row r="49" s="308" customFormat="1" ht="12.75" customHeight="1" x14ac:dyDescent="0.25"/>
  </sheetData>
  <conditionalFormatting sqref="I9:I23">
    <cfRule type="cellIs" dxfId="27"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395C8-8139-4DC8-A3A5-7D836DEEC9B5}">
  <sheetPr codeName="Sheet39">
    <pageSetUpPr fitToPage="1"/>
  </sheetPr>
  <dimension ref="A1:G19"/>
  <sheetViews>
    <sheetView zoomScaleNormal="100" workbookViewId="0">
      <selection activeCell="B22" sqref="B22"/>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119</v>
      </c>
      <c r="C1" s="86"/>
      <c r="D1" s="6"/>
      <c r="E1" s="6"/>
      <c r="F1" s="6"/>
      <c r="G1" s="6"/>
    </row>
    <row r="2" spans="1:7" ht="15.75" x14ac:dyDescent="0.25">
      <c r="A2" s="84"/>
      <c r="B2" s="88" t="s">
        <v>120</v>
      </c>
      <c r="C2" s="87"/>
      <c r="D2" s="6"/>
      <c r="E2" s="6"/>
      <c r="F2" s="6"/>
      <c r="G2" s="6"/>
    </row>
    <row r="3" spans="1:7" ht="15.75" x14ac:dyDescent="0.25">
      <c r="A3" s="84"/>
      <c r="B3" s="89" t="s">
        <v>121</v>
      </c>
      <c r="C3" s="87"/>
      <c r="D3" s="6"/>
      <c r="E3" s="90" t="s">
        <v>123</v>
      </c>
      <c r="F3" s="6"/>
      <c r="G3" s="6"/>
    </row>
    <row r="4" spans="1:7" ht="15.75" x14ac:dyDescent="0.25">
      <c r="A4" s="84"/>
      <c r="B4" s="91" t="s">
        <v>36</v>
      </c>
      <c r="C4" s="92" t="s">
        <v>3</v>
      </c>
      <c r="D4" s="6"/>
      <c r="E4" s="6"/>
      <c r="F4" s="6"/>
      <c r="G4" s="6"/>
    </row>
    <row r="5" spans="1:7" ht="15.75" x14ac:dyDescent="0.25">
      <c r="A5" s="84"/>
      <c r="B5" s="93" t="s">
        <v>63</v>
      </c>
      <c r="C5" s="87"/>
      <c r="D5" s="6"/>
      <c r="E5" s="95" t="s">
        <v>1053</v>
      </c>
      <c r="F5" s="489"/>
      <c r="G5" s="6"/>
    </row>
    <row r="6" spans="1:7" ht="15.75" x14ac:dyDescent="0.25">
      <c r="A6" s="84"/>
      <c r="B6" s="93" t="s">
        <v>481</v>
      </c>
      <c r="C6" s="94"/>
      <c r="D6" s="95" t="s">
        <v>3</v>
      </c>
      <c r="E6" s="6"/>
      <c r="F6" s="6"/>
      <c r="G6" s="6"/>
    </row>
    <row r="7" spans="1:7" ht="30" customHeight="1" thickBot="1" x14ac:dyDescent="0.3">
      <c r="A7" s="84"/>
      <c r="B7" s="96" t="s">
        <v>3</v>
      </c>
      <c r="C7" s="97" t="s">
        <v>0</v>
      </c>
      <c r="D7" s="98" t="s">
        <v>1</v>
      </c>
      <c r="E7" s="99" t="s">
        <v>2</v>
      </c>
      <c r="F7" s="100" t="s">
        <v>37</v>
      </c>
      <c r="G7" s="100" t="s">
        <v>38</v>
      </c>
    </row>
    <row r="8" spans="1:7" ht="28.35" customHeight="1" x14ac:dyDescent="0.25">
      <c r="A8" s="84"/>
      <c r="B8" s="87" t="s">
        <v>39</v>
      </c>
      <c r="C8" s="101">
        <f>'#9482.00 Funds Rec''d'!H24</f>
        <v>559000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81" t="s">
        <v>325</v>
      </c>
      <c r="B10" s="375" t="s">
        <v>141</v>
      </c>
      <c r="C10" s="376"/>
      <c r="D10" s="379">
        <f>'#9482.00 McGough Construction'!D23</f>
        <v>12990.91</v>
      </c>
      <c r="E10" s="379">
        <f>'#9482.00 McGough Construction'!F23</f>
        <v>12990.91</v>
      </c>
      <c r="F10" s="379">
        <f>'#9482.00 McGough Construction'!H23</f>
        <v>0</v>
      </c>
      <c r="G10" s="378"/>
    </row>
    <row r="11" spans="1:7" s="308" customFormat="1" ht="12.75" customHeight="1" x14ac:dyDescent="0.25">
      <c r="A11" s="374"/>
      <c r="B11" s="375" t="s">
        <v>41</v>
      </c>
      <c r="C11" s="376"/>
      <c r="D11" s="379">
        <f>'#9482.00 PM TIME'!E37</f>
        <v>23000</v>
      </c>
      <c r="E11" s="379">
        <f>'#9482.00 PM TIME'!G37</f>
        <v>16954.060000000001</v>
      </c>
      <c r="F11" s="379">
        <f>'#9482.00 PM TIME'!I37</f>
        <v>6045.9399999999987</v>
      </c>
      <c r="G11" s="378"/>
    </row>
    <row r="12" spans="1:7" s="308" customFormat="1" ht="12.75" customHeight="1" x14ac:dyDescent="0.25">
      <c r="A12" s="374"/>
      <c r="B12" s="375" t="s">
        <v>42</v>
      </c>
      <c r="C12" s="377"/>
      <c r="D12" s="367">
        <f>'#9482.00 Misc'!G22</f>
        <v>2729.49</v>
      </c>
      <c r="E12" s="367">
        <f>'#9482.00 Misc'!G22</f>
        <v>2729.49</v>
      </c>
      <c r="F12" s="379">
        <f>D12-E12</f>
        <v>0</v>
      </c>
      <c r="G12" s="378"/>
    </row>
    <row r="13" spans="1:7" s="308" customFormat="1" ht="12.75" customHeight="1" x14ac:dyDescent="0.25">
      <c r="A13" s="381"/>
      <c r="B13" s="375" t="s">
        <v>228</v>
      </c>
      <c r="C13" s="377"/>
      <c r="D13" s="367">
        <f>'#9482.00 KCL Engineering'!D23</f>
        <v>45090</v>
      </c>
      <c r="E13" s="367">
        <f>'#9482.00 KCL Engineering'!F23</f>
        <v>35090</v>
      </c>
      <c r="F13" s="379">
        <f>'#9482.00 KCL Engineering'!H23</f>
        <v>10000</v>
      </c>
      <c r="G13" s="378"/>
    </row>
    <row r="14" spans="1:7" s="308" customFormat="1" ht="12.75" customHeight="1" x14ac:dyDescent="0.25">
      <c r="A14" s="381" t="s">
        <v>325</v>
      </c>
      <c r="B14" s="375" t="s">
        <v>401</v>
      </c>
      <c r="C14" s="377"/>
      <c r="D14" s="367">
        <f>'#9482.00 Systems Management'!D23</f>
        <v>1240</v>
      </c>
      <c r="E14" s="367">
        <f>'#9482.00 Systems Management'!F23</f>
        <v>1240</v>
      </c>
      <c r="F14" s="379">
        <f>'#9482.00 Systems Management'!H23</f>
        <v>0</v>
      </c>
      <c r="G14" s="378"/>
    </row>
    <row r="15" spans="1:7" s="308" customFormat="1" ht="12.75" customHeight="1" x14ac:dyDescent="0.25">
      <c r="A15" s="374"/>
      <c r="B15" s="375" t="s">
        <v>562</v>
      </c>
      <c r="C15" s="377"/>
      <c r="D15" s="367">
        <f>'#9482.00 McGough Constructi (2)'!D23</f>
        <v>32715.96</v>
      </c>
      <c r="E15" s="367">
        <f>'#9482.00 McGough Constructi (2)'!F23</f>
        <v>3989.6799999999994</v>
      </c>
      <c r="F15" s="379">
        <f>'#9482.00 McGough Constructi (2)'!H23</f>
        <v>28726.28</v>
      </c>
      <c r="G15" s="378"/>
    </row>
    <row r="16" spans="1:7" s="308" customFormat="1" ht="12.75" customHeight="1" x14ac:dyDescent="0.25">
      <c r="A16" s="374"/>
      <c r="B16" s="375" t="s">
        <v>568</v>
      </c>
      <c r="C16" s="377"/>
      <c r="D16" s="367">
        <f>'#9482.00 Air-Con Mechanical'!D23</f>
        <v>419975</v>
      </c>
      <c r="E16" s="367">
        <f>'#9482.00 Air-Con Mechanical'!F23</f>
        <v>4074</v>
      </c>
      <c r="F16" s="379">
        <f>'#9482.00 Air-Con Mechanical'!H23</f>
        <v>415901</v>
      </c>
      <c r="G16" s="378"/>
    </row>
    <row r="17" spans="1:7" s="308" customFormat="1" ht="12.75" customHeight="1" x14ac:dyDescent="0.25">
      <c r="A17" s="374"/>
      <c r="B17" s="375"/>
      <c r="C17" s="377"/>
      <c r="D17" s="367"/>
      <c r="E17" s="367"/>
      <c r="F17" s="379"/>
      <c r="G17" s="378"/>
    </row>
    <row r="18" spans="1:7" ht="24" customHeight="1" thickBot="1" x14ac:dyDescent="0.3">
      <c r="A18" s="107"/>
      <c r="B18" s="108" t="s">
        <v>43</v>
      </c>
      <c r="C18" s="109">
        <f>SUM(C8:C17)</f>
        <v>559000</v>
      </c>
      <c r="D18" s="109">
        <f>SUM(D8:D17)</f>
        <v>537741.36</v>
      </c>
      <c r="E18" s="109">
        <f>SUM(E8:E17)</f>
        <v>77068.139999999985</v>
      </c>
      <c r="F18" s="109">
        <f>SUM(D18-E18)</f>
        <v>460673.22</v>
      </c>
      <c r="G18" s="109">
        <f>C8-D18</f>
        <v>21258.640000000014</v>
      </c>
    </row>
    <row r="19"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42311-8EEF-44A7-A859-95030122D981}">
  <sheetPr codeName="Sheet40">
    <pageSetUpPr fitToPage="1"/>
  </sheetPr>
  <dimension ref="A1:H25"/>
  <sheetViews>
    <sheetView topLeftCell="A3"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#9482.00'!B1</f>
        <v>IDB - Chiller Replacement</v>
      </c>
      <c r="B1" s="7"/>
      <c r="C1" s="2"/>
      <c r="D1" s="3"/>
      <c r="E1" s="3"/>
      <c r="F1" s="7"/>
      <c r="G1" s="7"/>
      <c r="H1" s="7"/>
    </row>
    <row r="2" spans="1:8" x14ac:dyDescent="0.25">
      <c r="A2" s="112" t="str">
        <f>'RECAP #9482.00'!B2</f>
        <v>Project # 9482.00</v>
      </c>
      <c r="B2" s="7"/>
      <c r="C2" s="113" t="s">
        <v>3</v>
      </c>
      <c r="D2" s="1"/>
      <c r="E2" s="1"/>
      <c r="F2" s="7"/>
      <c r="G2" s="7"/>
      <c r="H2" s="7"/>
    </row>
    <row r="3" spans="1:8" x14ac:dyDescent="0.25">
      <c r="A3" s="114" t="str">
        <f>'RECAP #9482.00'!B3</f>
        <v>Program code 948200</v>
      </c>
      <c r="B3" s="7"/>
      <c r="C3" s="113" t="s">
        <v>3</v>
      </c>
      <c r="D3" s="115" t="str">
        <f>'RECAP #9482.00'!E3</f>
        <v>Major Program 4F09</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#9482.00'!B6</f>
        <v>Project Manager - James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406" t="s">
        <v>124</v>
      </c>
      <c r="F9" s="335">
        <v>45869</v>
      </c>
      <c r="G9" s="380">
        <v>50000</v>
      </c>
      <c r="H9" s="380">
        <v>50000</v>
      </c>
    </row>
    <row r="10" spans="1:8" s="308" customFormat="1" ht="12.75" customHeight="1" x14ac:dyDescent="0.25">
      <c r="A10" s="331"/>
      <c r="B10" s="331"/>
      <c r="C10" s="336"/>
      <c r="D10" s="334" t="s">
        <v>528</v>
      </c>
      <c r="E10" s="406" t="s">
        <v>804</v>
      </c>
      <c r="F10" s="331">
        <v>46079</v>
      </c>
      <c r="G10" s="410">
        <v>509000</v>
      </c>
      <c r="H10" s="410">
        <v>509000</v>
      </c>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ht="15.75" thickBot="1" x14ac:dyDescent="0.3">
      <c r="A24" s="29"/>
      <c r="B24" s="30" t="s">
        <v>9</v>
      </c>
      <c r="C24" s="31">
        <f>SUM(C9:C23)</f>
        <v>0</v>
      </c>
      <c r="D24" s="32" t="s">
        <v>10</v>
      </c>
      <c r="E24" s="33"/>
      <c r="F24" s="34"/>
      <c r="G24" s="131">
        <f>SUM(G9:G23)</f>
        <v>559000</v>
      </c>
      <c r="H24" s="131">
        <f>SUM(H9:H22)</f>
        <v>559000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EB1A-528C-47D8-9BDB-B562C0418D37}">
  <sheetPr codeName="Sheet41">
    <tabColor rgb="FF0070C0"/>
    <pageSetUpPr fitToPage="1"/>
  </sheetPr>
  <dimension ref="A1:I29"/>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6.7109375" style="267" customWidth="1"/>
    <col min="4" max="4" width="14.42578125" style="267" customWidth="1"/>
    <col min="5" max="5" width="13.5703125" style="267" customWidth="1"/>
    <col min="6" max="6" width="12.42578125" style="267" customWidth="1"/>
    <col min="7" max="7" width="10.5703125" style="267" customWidth="1"/>
    <col min="8" max="8" width="10.5703125" style="267" bestFit="1" customWidth="1"/>
    <col min="9" max="9" width="6.42578125" style="267" bestFit="1"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#9482.00'!B1</f>
        <v>IDB - Chiller Replacement</v>
      </c>
      <c r="B1" s="116"/>
      <c r="C1" s="193"/>
      <c r="D1" s="193"/>
      <c r="E1" s="193"/>
      <c r="F1" s="194"/>
      <c r="G1" s="194"/>
      <c r="H1" s="195"/>
      <c r="I1" s="195"/>
    </row>
    <row r="2" spans="1:9" ht="15.75" x14ac:dyDescent="0.25">
      <c r="A2" s="134" t="str">
        <f>'RECAP #9482.00'!B2</f>
        <v>Project # 9482.00</v>
      </c>
      <c r="B2" s="196"/>
      <c r="C2" s="193"/>
      <c r="D2" s="193"/>
      <c r="E2" s="193"/>
      <c r="F2" s="194"/>
      <c r="G2" s="194"/>
      <c r="H2" s="195"/>
      <c r="I2" s="195"/>
    </row>
    <row r="3" spans="1:9" ht="15.75" x14ac:dyDescent="0.25">
      <c r="A3" s="197" t="str">
        <f>'RECAP #9482.00'!B3</f>
        <v>Program code 948200</v>
      </c>
      <c r="B3" s="196"/>
      <c r="C3" s="193"/>
      <c r="D3" s="198" t="str">
        <f>'RECAP #9482.00'!E3</f>
        <v>Major Program 4F09</v>
      </c>
      <c r="E3" s="193"/>
      <c r="F3" s="194"/>
      <c r="G3" s="194"/>
      <c r="H3" s="195"/>
      <c r="I3" s="195"/>
    </row>
    <row r="4" spans="1:9" ht="15.75" x14ac:dyDescent="0.25">
      <c r="A4" s="116" t="s">
        <v>141</v>
      </c>
      <c r="B4" s="134"/>
      <c r="C4" s="195"/>
      <c r="D4" s="199" t="s">
        <v>142</v>
      </c>
      <c r="E4" s="194"/>
      <c r="F4" s="194"/>
      <c r="G4" s="194"/>
      <c r="H4" s="195"/>
      <c r="I4" s="195"/>
    </row>
    <row r="5" spans="1:9" ht="15.75" x14ac:dyDescent="0.25">
      <c r="A5" s="200" t="s">
        <v>147</v>
      </c>
      <c r="B5" s="195"/>
      <c r="C5" s="201"/>
      <c r="D5" s="140" t="s">
        <v>143</v>
      </c>
      <c r="E5" s="145"/>
      <c r="F5" s="194"/>
      <c r="G5" s="194"/>
      <c r="H5" s="195"/>
      <c r="I5" s="195"/>
    </row>
    <row r="6" spans="1:9" ht="15.75" x14ac:dyDescent="0.25">
      <c r="A6" s="134" t="str">
        <f>'RECAP #9482.00'!B6</f>
        <v>Project Manager - James T</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145</v>
      </c>
      <c r="B9" s="383">
        <v>45880</v>
      </c>
      <c r="C9" s="391" t="s">
        <v>146</v>
      </c>
      <c r="D9" s="385">
        <v>8969.4</v>
      </c>
      <c r="E9" s="386">
        <f>D9</f>
        <v>8969.4</v>
      </c>
      <c r="F9" s="387"/>
      <c r="G9" s="387"/>
      <c r="H9" s="387">
        <f>E9</f>
        <v>8969.4</v>
      </c>
      <c r="I9" s="388"/>
    </row>
    <row r="10" spans="1:9" s="389" customFormat="1" ht="12.75" customHeight="1" x14ac:dyDescent="0.25">
      <c r="A10" s="382" t="s">
        <v>203</v>
      </c>
      <c r="B10" s="390">
        <v>45912</v>
      </c>
      <c r="C10" s="391" t="s">
        <v>204</v>
      </c>
      <c r="D10" s="386"/>
      <c r="E10" s="386">
        <f t="shared" ref="E10:E21" si="0">E9+D10</f>
        <v>8969.4</v>
      </c>
      <c r="F10" s="392">
        <v>1188</v>
      </c>
      <c r="G10" s="387">
        <f t="shared" ref="G10:G21" si="1">G9+F10</f>
        <v>1188</v>
      </c>
      <c r="H10" s="387">
        <f t="shared" ref="H10:H21" si="2">H9-F10+D10</f>
        <v>7781.4</v>
      </c>
      <c r="I10" s="388"/>
    </row>
    <row r="11" spans="1:9" s="389" customFormat="1" ht="12.75" customHeight="1" x14ac:dyDescent="0.25">
      <c r="A11" s="382" t="s">
        <v>280</v>
      </c>
      <c r="B11" s="383">
        <v>45944</v>
      </c>
      <c r="C11" s="391" t="s">
        <v>281</v>
      </c>
      <c r="D11" s="386"/>
      <c r="E11" s="386">
        <f t="shared" si="0"/>
        <v>8969.4</v>
      </c>
      <c r="F11" s="392">
        <v>1360.26</v>
      </c>
      <c r="G11" s="387">
        <f t="shared" si="1"/>
        <v>2548.2600000000002</v>
      </c>
      <c r="H11" s="387">
        <f t="shared" si="2"/>
        <v>6421.1399999999994</v>
      </c>
      <c r="I11" s="388"/>
    </row>
    <row r="12" spans="1:9" s="389" customFormat="1" ht="12.75" customHeight="1" x14ac:dyDescent="0.25">
      <c r="A12" s="382" t="s">
        <v>316</v>
      </c>
      <c r="B12" s="383">
        <v>45967</v>
      </c>
      <c r="C12" s="391" t="s">
        <v>317</v>
      </c>
      <c r="D12" s="386"/>
      <c r="E12" s="386">
        <f t="shared" si="0"/>
        <v>8969.4</v>
      </c>
      <c r="F12" s="392">
        <v>1226.6099999999999</v>
      </c>
      <c r="G12" s="387">
        <f t="shared" si="1"/>
        <v>3774.87</v>
      </c>
      <c r="H12" s="387">
        <f t="shared" si="2"/>
        <v>5194.53</v>
      </c>
      <c r="I12" s="388"/>
    </row>
    <row r="13" spans="1:9" s="389" customFormat="1" ht="12.75" customHeight="1" x14ac:dyDescent="0.25">
      <c r="A13" s="382" t="s">
        <v>356</v>
      </c>
      <c r="B13" s="383">
        <v>46002</v>
      </c>
      <c r="C13" s="391" t="s">
        <v>357</v>
      </c>
      <c r="D13" s="386"/>
      <c r="E13" s="386">
        <f t="shared" si="0"/>
        <v>8969.4</v>
      </c>
      <c r="F13" s="392">
        <v>1630.53</v>
      </c>
      <c r="G13" s="387">
        <f t="shared" si="1"/>
        <v>5405.4</v>
      </c>
      <c r="H13" s="387">
        <f t="shared" si="2"/>
        <v>3564</v>
      </c>
      <c r="I13" s="388"/>
    </row>
    <row r="14" spans="1:9" s="389" customFormat="1" ht="12.75" customHeight="1" x14ac:dyDescent="0.25">
      <c r="A14" s="382" t="s">
        <v>415</v>
      </c>
      <c r="B14" s="383">
        <v>46034</v>
      </c>
      <c r="C14" s="391" t="s">
        <v>416</v>
      </c>
      <c r="D14" s="386"/>
      <c r="E14" s="386">
        <f t="shared" si="0"/>
        <v>8969.4</v>
      </c>
      <c r="F14" s="392">
        <v>2028.51</v>
      </c>
      <c r="G14" s="387">
        <f t="shared" si="1"/>
        <v>7433.91</v>
      </c>
      <c r="H14" s="387">
        <f t="shared" si="2"/>
        <v>1535.49</v>
      </c>
      <c r="I14" s="388"/>
    </row>
    <row r="15" spans="1:9" s="389" customFormat="1" ht="12.75" customHeight="1" x14ac:dyDescent="0.25">
      <c r="A15" s="382" t="s">
        <v>145</v>
      </c>
      <c r="B15" s="383">
        <v>46097</v>
      </c>
      <c r="C15" s="391" t="s">
        <v>212</v>
      </c>
      <c r="D15" s="385">
        <v>1741.91</v>
      </c>
      <c r="E15" s="386">
        <f t="shared" si="0"/>
        <v>10711.31</v>
      </c>
      <c r="F15" s="392"/>
      <c r="G15" s="387">
        <f t="shared" si="1"/>
        <v>7433.91</v>
      </c>
      <c r="H15" s="387">
        <f t="shared" si="2"/>
        <v>3277.4</v>
      </c>
      <c r="I15" s="388"/>
    </row>
    <row r="16" spans="1:9" s="389" customFormat="1" ht="12.75" customHeight="1" x14ac:dyDescent="0.25">
      <c r="A16" s="382" t="s">
        <v>145</v>
      </c>
      <c r="B16" s="383">
        <v>46105</v>
      </c>
      <c r="C16" s="391" t="s">
        <v>287</v>
      </c>
      <c r="D16" s="385">
        <v>2279.6</v>
      </c>
      <c r="E16" s="386">
        <f t="shared" si="0"/>
        <v>12990.91</v>
      </c>
      <c r="F16" s="392"/>
      <c r="G16" s="387">
        <f t="shared" si="1"/>
        <v>7433.91</v>
      </c>
      <c r="H16" s="387">
        <f t="shared" si="2"/>
        <v>5557</v>
      </c>
      <c r="I16" s="388"/>
    </row>
    <row r="17" spans="1:9" s="389" customFormat="1" ht="12.75" customHeight="1" x14ac:dyDescent="0.25">
      <c r="A17" s="382" t="s">
        <v>622</v>
      </c>
      <c r="B17" s="383">
        <v>46120</v>
      </c>
      <c r="C17" s="391" t="s">
        <v>623</v>
      </c>
      <c r="D17" s="386"/>
      <c r="E17" s="386">
        <f t="shared" si="0"/>
        <v>12990.91</v>
      </c>
      <c r="F17" s="392">
        <v>5557</v>
      </c>
      <c r="G17" s="387">
        <f t="shared" si="1"/>
        <v>12990.91</v>
      </c>
      <c r="H17" s="387">
        <f t="shared" si="2"/>
        <v>0</v>
      </c>
      <c r="I17" s="388"/>
    </row>
    <row r="18" spans="1:9" s="389" customFormat="1" ht="12.75" customHeight="1" x14ac:dyDescent="0.25">
      <c r="A18" s="382"/>
      <c r="B18" s="383"/>
      <c r="C18" s="391"/>
      <c r="D18" s="386"/>
      <c r="E18" s="386">
        <f t="shared" si="0"/>
        <v>12990.91</v>
      </c>
      <c r="F18" s="392"/>
      <c r="G18" s="387">
        <f t="shared" si="1"/>
        <v>12990.91</v>
      </c>
      <c r="H18" s="387">
        <f t="shared" si="2"/>
        <v>0</v>
      </c>
      <c r="I18" s="388"/>
    </row>
    <row r="19" spans="1:9" s="389" customFormat="1" ht="12.75" customHeight="1" x14ac:dyDescent="0.25">
      <c r="A19" s="382"/>
      <c r="B19" s="383"/>
      <c r="C19" s="391"/>
      <c r="D19" s="386"/>
      <c r="E19" s="386">
        <f t="shared" si="0"/>
        <v>12990.91</v>
      </c>
      <c r="F19" s="387"/>
      <c r="G19" s="387">
        <f t="shared" si="1"/>
        <v>12990.91</v>
      </c>
      <c r="H19" s="387">
        <f t="shared" si="2"/>
        <v>0</v>
      </c>
      <c r="I19" s="388"/>
    </row>
    <row r="20" spans="1:9" s="389" customFormat="1" ht="12.75" customHeight="1" x14ac:dyDescent="0.25">
      <c r="A20" s="382"/>
      <c r="B20" s="383"/>
      <c r="C20" s="391"/>
      <c r="D20" s="386"/>
      <c r="E20" s="386">
        <f t="shared" si="0"/>
        <v>12990.91</v>
      </c>
      <c r="F20" s="387"/>
      <c r="G20" s="387">
        <f t="shared" si="1"/>
        <v>12990.91</v>
      </c>
      <c r="H20" s="387">
        <f t="shared" si="2"/>
        <v>0</v>
      </c>
      <c r="I20" s="388"/>
    </row>
    <row r="21" spans="1:9" s="389" customFormat="1" ht="12.75" customHeight="1" x14ac:dyDescent="0.25">
      <c r="A21" s="382"/>
      <c r="B21" s="383"/>
      <c r="C21" s="393"/>
      <c r="D21" s="386"/>
      <c r="E21" s="386">
        <f t="shared" si="0"/>
        <v>12990.91</v>
      </c>
      <c r="F21" s="387"/>
      <c r="G21" s="387">
        <f t="shared" si="1"/>
        <v>12990.91</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12990.91</v>
      </c>
      <c r="E23" s="396"/>
      <c r="F23" s="396">
        <f>SUM(F9:F22)</f>
        <v>12990.91</v>
      </c>
      <c r="G23" s="396"/>
      <c r="H23" s="396">
        <f>D23-F23</f>
        <v>0</v>
      </c>
      <c r="I23" s="397" t="s">
        <v>341</v>
      </c>
    </row>
    <row r="24" spans="1:9" s="389" customFormat="1" ht="12.75" customHeight="1" thickTop="1" x14ac:dyDescent="0.25"/>
    <row r="25" spans="1:9" s="389" customFormat="1" ht="12.75" customHeight="1" x14ac:dyDescent="0.25"/>
    <row r="26" spans="1:9" s="389" customFormat="1" ht="12.75" customHeight="1" x14ac:dyDescent="0.25"/>
    <row r="27" spans="1:9" s="389" customFormat="1" ht="12.75" customHeight="1" x14ac:dyDescent="0.25"/>
    <row r="28" spans="1:9" s="389" customFormat="1" ht="12.75" customHeight="1" x14ac:dyDescent="0.25"/>
    <row r="29" spans="1:9" s="389" customFormat="1" ht="12.75" customHeight="1" x14ac:dyDescent="0.25"/>
  </sheetData>
  <conditionalFormatting sqref="I9:I22">
    <cfRule type="cellIs" dxfId="26" priority="1" operator="greaterThan">
      <formula>$H$23</formula>
    </cfRule>
  </conditionalFormatting>
  <pageMargins left="0.25" right="0.25" top="0.85" bottom="0.75" header="0.08" footer="0.3"/>
  <pageSetup scale="7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F51BC-548E-405E-AC99-F2FD3EB47A17}">
  <sheetPr codeName="Sheet42">
    <pageSetUpPr fitToPage="1"/>
  </sheetPr>
  <dimension ref="A1:J42"/>
  <sheetViews>
    <sheetView topLeftCell="A6" zoomScaleNormal="100" workbookViewId="0">
      <selection activeCell="A37" sqref="A37"/>
    </sheetView>
  </sheetViews>
  <sheetFormatPr defaultColWidth="11.42578125" defaultRowHeight="15" customHeight="1" x14ac:dyDescent="0.25"/>
  <cols>
    <col min="1" max="1" width="24.5703125" customWidth="1"/>
    <col min="2" max="3" width="9.42578125" customWidth="1"/>
    <col min="4" max="4" width="41.42578125" customWidth="1"/>
    <col min="5" max="5" width="21.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#9482.00'!B1</f>
        <v>IDB - Chiller Replacement</v>
      </c>
      <c r="B1" s="86"/>
      <c r="C1" s="86"/>
      <c r="D1" s="6"/>
      <c r="E1" s="6"/>
      <c r="F1" s="6"/>
      <c r="G1" s="132"/>
      <c r="H1" s="132"/>
      <c r="I1" s="133"/>
      <c r="J1" s="133"/>
    </row>
    <row r="2" spans="1:10" ht="15.75" x14ac:dyDescent="0.25">
      <c r="A2" s="88" t="str">
        <f>'RECAP #9482.00'!B2</f>
        <v>Project # 9482.00</v>
      </c>
      <c r="B2" s="87"/>
      <c r="C2" s="87"/>
      <c r="D2" s="6"/>
      <c r="E2" s="6"/>
      <c r="F2" s="6"/>
      <c r="G2" s="132"/>
      <c r="H2" s="132"/>
      <c r="I2" s="133"/>
      <c r="J2" s="133"/>
    </row>
    <row r="3" spans="1:10" ht="15.75" x14ac:dyDescent="0.25">
      <c r="A3" s="89" t="str">
        <f>'RECAP #9482.00'!B3</f>
        <v>Program code 948200</v>
      </c>
      <c r="B3" s="87"/>
      <c r="C3" s="87"/>
      <c r="D3" s="6"/>
      <c r="E3" s="90" t="str">
        <f>'RECAP #9482.00'!E3</f>
        <v>Major Program 4F09</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#9482.00'!B6</f>
        <v>Project Manager - James T</v>
      </c>
      <c r="B6" s="93"/>
      <c r="C6" s="93"/>
      <c r="D6" s="143"/>
      <c r="E6" s="140" t="s">
        <v>125</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5000+3000+15000</f>
        <v>23000</v>
      </c>
      <c r="F9" s="320">
        <f>E9</f>
        <v>23000</v>
      </c>
      <c r="G9" s="321"/>
      <c r="H9" s="321"/>
      <c r="I9" s="321">
        <f>F9</f>
        <v>23000</v>
      </c>
      <c r="J9" s="322"/>
    </row>
    <row r="10" spans="1:10" s="308" customFormat="1" ht="12.75" customHeight="1" x14ac:dyDescent="0.25">
      <c r="A10" s="364" t="s">
        <v>148</v>
      </c>
      <c r="B10" s="318">
        <v>45876</v>
      </c>
      <c r="C10" s="361">
        <v>2507</v>
      </c>
      <c r="D10" s="402" t="s">
        <v>149</v>
      </c>
      <c r="E10" s="320"/>
      <c r="F10" s="320">
        <f>F9+E10</f>
        <v>23000</v>
      </c>
      <c r="G10" s="325">
        <f>23.59+33.67</f>
        <v>57.260000000000005</v>
      </c>
      <c r="H10" s="321">
        <f t="shared" ref="H10:H35" si="0">H9+G10</f>
        <v>57.260000000000005</v>
      </c>
      <c r="I10" s="321">
        <f>I9-G10+E10</f>
        <v>22942.74</v>
      </c>
      <c r="J10" s="322"/>
    </row>
    <row r="11" spans="1:10" s="308" customFormat="1" ht="12.75" customHeight="1" x14ac:dyDescent="0.25">
      <c r="A11" s="364" t="s">
        <v>148</v>
      </c>
      <c r="B11" s="318">
        <v>45876</v>
      </c>
      <c r="C11" s="361">
        <v>9500</v>
      </c>
      <c r="D11" s="332" t="s">
        <v>150</v>
      </c>
      <c r="E11" s="320"/>
      <c r="F11" s="320">
        <f t="shared" ref="F11:F35" si="1">F10+E11</f>
        <v>23000</v>
      </c>
      <c r="G11" s="325">
        <f>40+591.8</f>
        <v>631.79999999999995</v>
      </c>
      <c r="H11" s="321">
        <f t="shared" si="0"/>
        <v>689.06</v>
      </c>
      <c r="I11" s="321">
        <f t="shared" ref="I11:I35" si="2">I10-G11+E11</f>
        <v>22310.940000000002</v>
      </c>
      <c r="J11" s="322"/>
    </row>
    <row r="12" spans="1:10" s="308" customFormat="1" ht="12.75" customHeight="1" x14ac:dyDescent="0.25">
      <c r="A12" s="364" t="s">
        <v>213</v>
      </c>
      <c r="B12" s="318">
        <v>45908</v>
      </c>
      <c r="C12" s="361">
        <v>2507</v>
      </c>
      <c r="D12" s="402" t="s">
        <v>216</v>
      </c>
      <c r="E12" s="320"/>
      <c r="F12" s="320">
        <f t="shared" si="1"/>
        <v>23000</v>
      </c>
      <c r="G12" s="325">
        <v>84.01</v>
      </c>
      <c r="H12" s="321">
        <f t="shared" si="0"/>
        <v>773.06999999999994</v>
      </c>
      <c r="I12" s="321">
        <f t="shared" si="2"/>
        <v>22226.930000000004</v>
      </c>
      <c r="J12" s="322"/>
    </row>
    <row r="13" spans="1:10" s="308" customFormat="1" ht="12.75" customHeight="1" x14ac:dyDescent="0.25">
      <c r="A13" s="364" t="s">
        <v>213</v>
      </c>
      <c r="B13" s="318">
        <v>45908</v>
      </c>
      <c r="C13" s="361">
        <v>9500</v>
      </c>
      <c r="D13" s="332" t="s">
        <v>217</v>
      </c>
      <c r="E13" s="320"/>
      <c r="F13" s="320">
        <f t="shared" si="1"/>
        <v>23000</v>
      </c>
      <c r="G13" s="325">
        <v>645.1</v>
      </c>
      <c r="H13" s="321">
        <f t="shared" si="0"/>
        <v>1418.17</v>
      </c>
      <c r="I13" s="321">
        <f t="shared" si="2"/>
        <v>21581.830000000005</v>
      </c>
      <c r="J13" s="322"/>
    </row>
    <row r="14" spans="1:10" s="308" customFormat="1" ht="12.75" customHeight="1" x14ac:dyDescent="0.25">
      <c r="A14" s="364" t="s">
        <v>273</v>
      </c>
      <c r="B14" s="318">
        <v>45937</v>
      </c>
      <c r="C14" s="361" t="s">
        <v>274</v>
      </c>
      <c r="D14" s="402" t="s">
        <v>275</v>
      </c>
      <c r="E14" s="320"/>
      <c r="F14" s="320">
        <f t="shared" si="1"/>
        <v>23000</v>
      </c>
      <c r="G14" s="325">
        <v>146.86000000000001</v>
      </c>
      <c r="H14" s="321">
        <f t="shared" si="0"/>
        <v>1565.0300000000002</v>
      </c>
      <c r="I14" s="321">
        <f t="shared" si="2"/>
        <v>21434.970000000005</v>
      </c>
      <c r="J14" s="322"/>
    </row>
    <row r="15" spans="1:10" s="308" customFormat="1" ht="12.75" customHeight="1" x14ac:dyDescent="0.25">
      <c r="A15" s="364" t="s">
        <v>273</v>
      </c>
      <c r="B15" s="318">
        <v>45937</v>
      </c>
      <c r="C15" s="361">
        <v>9500</v>
      </c>
      <c r="D15" s="332" t="s">
        <v>276</v>
      </c>
      <c r="E15" s="320"/>
      <c r="F15" s="320">
        <f t="shared" si="1"/>
        <v>23000</v>
      </c>
      <c r="G15" s="325">
        <v>755.5</v>
      </c>
      <c r="H15" s="321">
        <f t="shared" si="0"/>
        <v>2320.5300000000002</v>
      </c>
      <c r="I15" s="321">
        <f t="shared" si="2"/>
        <v>20679.470000000005</v>
      </c>
      <c r="J15" s="322"/>
    </row>
    <row r="16" spans="1:10" s="308" customFormat="1" ht="12.75" customHeight="1" x14ac:dyDescent="0.25">
      <c r="A16" s="364" t="s">
        <v>320</v>
      </c>
      <c r="B16" s="318">
        <v>45968</v>
      </c>
      <c r="C16" s="361" t="s">
        <v>274</v>
      </c>
      <c r="D16" s="402" t="s">
        <v>323</v>
      </c>
      <c r="E16" s="320"/>
      <c r="F16" s="320">
        <f t="shared" si="1"/>
        <v>23000</v>
      </c>
      <c r="G16" s="325">
        <v>239.96</v>
      </c>
      <c r="H16" s="321">
        <f t="shared" si="0"/>
        <v>2560.4900000000002</v>
      </c>
      <c r="I16" s="321">
        <f t="shared" si="2"/>
        <v>20439.510000000006</v>
      </c>
      <c r="J16" s="322"/>
    </row>
    <row r="17" spans="1:10" s="308" customFormat="1" ht="12.75" customHeight="1" x14ac:dyDescent="0.25">
      <c r="A17" s="364" t="s">
        <v>320</v>
      </c>
      <c r="B17" s="318">
        <v>45968</v>
      </c>
      <c r="C17" s="361">
        <v>9500</v>
      </c>
      <c r="D17" s="332" t="s">
        <v>324</v>
      </c>
      <c r="E17" s="320"/>
      <c r="F17" s="320">
        <f t="shared" si="1"/>
        <v>23000</v>
      </c>
      <c r="G17" s="325">
        <v>2379.6999999999998</v>
      </c>
      <c r="H17" s="321">
        <f t="shared" si="0"/>
        <v>4940.1900000000005</v>
      </c>
      <c r="I17" s="321">
        <f t="shared" si="2"/>
        <v>18059.810000000005</v>
      </c>
      <c r="J17" s="322"/>
    </row>
    <row r="18" spans="1:10" s="308" customFormat="1" ht="12.75" customHeight="1" x14ac:dyDescent="0.2">
      <c r="A18" s="171" t="s">
        <v>383</v>
      </c>
      <c r="B18" s="153">
        <v>45996</v>
      </c>
      <c r="C18" s="155" t="s">
        <v>274</v>
      </c>
      <c r="D18" s="181" t="s">
        <v>384</v>
      </c>
      <c r="E18" s="320"/>
      <c r="F18" s="320">
        <f t="shared" si="1"/>
        <v>23000</v>
      </c>
      <c r="G18" s="325">
        <v>180.55</v>
      </c>
      <c r="H18" s="321">
        <f t="shared" si="0"/>
        <v>5120.7400000000007</v>
      </c>
      <c r="I18" s="321">
        <f t="shared" si="2"/>
        <v>17879.260000000006</v>
      </c>
      <c r="J18" s="322"/>
    </row>
    <row r="19" spans="1:10" s="308" customFormat="1" ht="12.75" customHeight="1" x14ac:dyDescent="0.2">
      <c r="A19" s="171" t="s">
        <v>383</v>
      </c>
      <c r="B19" s="153">
        <v>45996</v>
      </c>
      <c r="C19" s="401">
        <v>9500</v>
      </c>
      <c r="D19" s="126" t="s">
        <v>385</v>
      </c>
      <c r="E19" s="320"/>
      <c r="F19" s="320">
        <f t="shared" si="1"/>
        <v>23000</v>
      </c>
      <c r="G19" s="325">
        <v>1150.5</v>
      </c>
      <c r="H19" s="321">
        <f t="shared" si="0"/>
        <v>6271.2400000000007</v>
      </c>
      <c r="I19" s="321">
        <f t="shared" si="2"/>
        <v>16728.760000000006</v>
      </c>
      <c r="J19" s="322"/>
    </row>
    <row r="20" spans="1:10" s="308" customFormat="1" ht="12.75" customHeight="1" x14ac:dyDescent="0.2">
      <c r="A20" s="171" t="s">
        <v>418</v>
      </c>
      <c r="B20" s="153">
        <v>46030</v>
      </c>
      <c r="C20" s="155" t="s">
        <v>274</v>
      </c>
      <c r="D20" s="181" t="s">
        <v>419</v>
      </c>
      <c r="E20" s="320"/>
      <c r="F20" s="320">
        <f t="shared" si="1"/>
        <v>23000</v>
      </c>
      <c r="G20" s="325">
        <v>92.08</v>
      </c>
      <c r="H20" s="321">
        <f t="shared" si="0"/>
        <v>6363.3200000000006</v>
      </c>
      <c r="I20" s="321">
        <f t="shared" si="2"/>
        <v>16636.680000000004</v>
      </c>
      <c r="J20" s="322"/>
    </row>
    <row r="21" spans="1:10" s="308" customFormat="1" ht="12.75" customHeight="1" x14ac:dyDescent="0.2">
      <c r="A21" s="171" t="s">
        <v>418</v>
      </c>
      <c r="B21" s="153">
        <v>46030</v>
      </c>
      <c r="C21" s="401">
        <v>9500</v>
      </c>
      <c r="D21" s="126" t="s">
        <v>420</v>
      </c>
      <c r="E21" s="320"/>
      <c r="F21" s="320">
        <f t="shared" si="1"/>
        <v>23000</v>
      </c>
      <c r="G21" s="325">
        <v>1044.3</v>
      </c>
      <c r="H21" s="321">
        <f t="shared" si="0"/>
        <v>7407.6200000000008</v>
      </c>
      <c r="I21" s="321">
        <f t="shared" si="2"/>
        <v>15592.380000000005</v>
      </c>
      <c r="J21" s="322"/>
    </row>
    <row r="22" spans="1:10" s="308" customFormat="1" ht="12.75" customHeight="1" x14ac:dyDescent="0.2">
      <c r="A22" s="171" t="s">
        <v>492</v>
      </c>
      <c r="B22" s="153">
        <v>46062</v>
      </c>
      <c r="C22" s="155" t="s">
        <v>274</v>
      </c>
      <c r="D22" s="181" t="s">
        <v>493</v>
      </c>
      <c r="E22" s="320"/>
      <c r="F22" s="320">
        <f t="shared" si="1"/>
        <v>23000</v>
      </c>
      <c r="G22" s="325">
        <v>110.16</v>
      </c>
      <c r="H22" s="321">
        <f t="shared" si="0"/>
        <v>7517.7800000000007</v>
      </c>
      <c r="I22" s="321">
        <f t="shared" si="2"/>
        <v>15482.220000000005</v>
      </c>
      <c r="J22" s="322"/>
    </row>
    <row r="23" spans="1:10" s="308" customFormat="1" ht="12.75" customHeight="1" x14ac:dyDescent="0.2">
      <c r="A23" s="171" t="s">
        <v>492</v>
      </c>
      <c r="B23" s="153">
        <v>46062</v>
      </c>
      <c r="C23" s="401">
        <v>9500</v>
      </c>
      <c r="D23" s="126" t="s">
        <v>494</v>
      </c>
      <c r="E23" s="320"/>
      <c r="F23" s="320">
        <f t="shared" si="1"/>
        <v>23000</v>
      </c>
      <c r="G23" s="325">
        <v>1368</v>
      </c>
      <c r="H23" s="321">
        <f t="shared" si="0"/>
        <v>8885.7800000000007</v>
      </c>
      <c r="I23" s="321">
        <f t="shared" si="2"/>
        <v>14114.220000000005</v>
      </c>
      <c r="J23" s="322"/>
    </row>
    <row r="24" spans="1:10" s="308" customFormat="1" ht="12.75" customHeight="1" x14ac:dyDescent="0.2">
      <c r="A24" s="171" t="s">
        <v>550</v>
      </c>
      <c r="B24" s="153">
        <v>46090</v>
      </c>
      <c r="C24" s="155" t="s">
        <v>274</v>
      </c>
      <c r="D24" s="181" t="s">
        <v>551</v>
      </c>
      <c r="E24" s="320"/>
      <c r="F24" s="320">
        <f t="shared" si="1"/>
        <v>23000</v>
      </c>
      <c r="G24" s="325">
        <v>185.73</v>
      </c>
      <c r="H24" s="321">
        <f t="shared" si="0"/>
        <v>9071.51</v>
      </c>
      <c r="I24" s="321">
        <f t="shared" si="2"/>
        <v>13928.490000000005</v>
      </c>
      <c r="J24" s="322"/>
    </row>
    <row r="25" spans="1:10" s="308" customFormat="1" ht="12.75" customHeight="1" x14ac:dyDescent="0.2">
      <c r="A25" s="171" t="s">
        <v>550</v>
      </c>
      <c r="B25" s="153">
        <v>46090</v>
      </c>
      <c r="C25" s="401">
        <v>9500</v>
      </c>
      <c r="D25" s="126" t="s">
        <v>552</v>
      </c>
      <c r="E25" s="320"/>
      <c r="F25" s="320">
        <f t="shared" si="1"/>
        <v>23000</v>
      </c>
      <c r="G25" s="325">
        <v>2138.3000000000002</v>
      </c>
      <c r="H25" s="321">
        <f t="shared" si="0"/>
        <v>11209.810000000001</v>
      </c>
      <c r="I25" s="321">
        <f t="shared" si="2"/>
        <v>11790.190000000006</v>
      </c>
      <c r="J25" s="322"/>
    </row>
    <row r="26" spans="1:10" s="308" customFormat="1" ht="12.75" customHeight="1" x14ac:dyDescent="0.2">
      <c r="A26" s="171" t="s">
        <v>626</v>
      </c>
      <c r="B26" s="153">
        <v>46118</v>
      </c>
      <c r="C26" s="155" t="s">
        <v>274</v>
      </c>
      <c r="D26" s="181" t="s">
        <v>627</v>
      </c>
      <c r="E26" s="320"/>
      <c r="F26" s="320">
        <f t="shared" si="1"/>
        <v>23000</v>
      </c>
      <c r="G26" s="325">
        <v>197.88</v>
      </c>
      <c r="H26" s="321">
        <f t="shared" si="0"/>
        <v>11407.69</v>
      </c>
      <c r="I26" s="321">
        <f t="shared" si="2"/>
        <v>11592.310000000007</v>
      </c>
      <c r="J26" s="322"/>
    </row>
    <row r="27" spans="1:10" s="308" customFormat="1" ht="12.75" customHeight="1" x14ac:dyDescent="0.2">
      <c r="A27" s="171" t="s">
        <v>626</v>
      </c>
      <c r="B27" s="153">
        <v>46118</v>
      </c>
      <c r="C27" s="401">
        <v>9500</v>
      </c>
      <c r="D27" s="126" t="s">
        <v>628</v>
      </c>
      <c r="E27" s="320"/>
      <c r="F27" s="320">
        <f t="shared" si="1"/>
        <v>23000</v>
      </c>
      <c r="G27" s="325">
        <v>1611.6</v>
      </c>
      <c r="H27" s="321">
        <f t="shared" si="0"/>
        <v>13019.29</v>
      </c>
      <c r="I27" s="321">
        <f t="shared" si="2"/>
        <v>9980.7100000000064</v>
      </c>
      <c r="J27" s="322"/>
    </row>
    <row r="28" spans="1:10" s="308" customFormat="1" ht="12.75" customHeight="1" x14ac:dyDescent="0.2">
      <c r="A28" s="171" t="s">
        <v>752</v>
      </c>
      <c r="B28" s="153">
        <v>46149</v>
      </c>
      <c r="C28" s="155" t="s">
        <v>274</v>
      </c>
      <c r="D28" s="181" t="s">
        <v>753</v>
      </c>
      <c r="E28" s="320"/>
      <c r="F28" s="320">
        <f t="shared" si="1"/>
        <v>23000</v>
      </c>
      <c r="G28" s="325">
        <v>88</v>
      </c>
      <c r="H28" s="321">
        <f t="shared" si="0"/>
        <v>13107.29</v>
      </c>
      <c r="I28" s="321">
        <f t="shared" si="2"/>
        <v>9892.7100000000064</v>
      </c>
      <c r="J28" s="322"/>
    </row>
    <row r="29" spans="1:10" s="308" customFormat="1" ht="12.75" customHeight="1" x14ac:dyDescent="0.2">
      <c r="A29" s="171" t="s">
        <v>752</v>
      </c>
      <c r="B29" s="153">
        <v>46149</v>
      </c>
      <c r="C29" s="401">
        <v>9500</v>
      </c>
      <c r="D29" s="126" t="s">
        <v>754</v>
      </c>
      <c r="E29" s="320"/>
      <c r="F29" s="320">
        <f t="shared" si="1"/>
        <v>23000</v>
      </c>
      <c r="G29" s="325">
        <v>919.8</v>
      </c>
      <c r="H29" s="321">
        <f t="shared" si="0"/>
        <v>14027.09</v>
      </c>
      <c r="I29" s="321">
        <f t="shared" si="2"/>
        <v>8972.9100000000071</v>
      </c>
      <c r="J29" s="322"/>
    </row>
    <row r="30" spans="1:10" s="308" customFormat="1" ht="12.75" customHeight="1" x14ac:dyDescent="0.2">
      <c r="A30" s="171" t="s">
        <v>844</v>
      </c>
      <c r="B30" s="153">
        <v>46181</v>
      </c>
      <c r="C30" s="155" t="s">
        <v>274</v>
      </c>
      <c r="D30" s="181" t="s">
        <v>845</v>
      </c>
      <c r="E30" s="320"/>
      <c r="F30" s="320">
        <f t="shared" si="1"/>
        <v>23000</v>
      </c>
      <c r="G30" s="325">
        <v>56.41</v>
      </c>
      <c r="H30" s="321">
        <f t="shared" si="0"/>
        <v>14083.5</v>
      </c>
      <c r="I30" s="321">
        <f t="shared" si="2"/>
        <v>8916.5000000000073</v>
      </c>
      <c r="J30" s="322"/>
    </row>
    <row r="31" spans="1:10" s="308" customFormat="1" ht="12.75" customHeight="1" x14ac:dyDescent="0.2">
      <c r="A31" s="171" t="s">
        <v>844</v>
      </c>
      <c r="B31" s="153">
        <v>46181</v>
      </c>
      <c r="C31" s="401">
        <v>9500</v>
      </c>
      <c r="D31" s="126" t="s">
        <v>846</v>
      </c>
      <c r="E31" s="320"/>
      <c r="F31" s="320">
        <f t="shared" si="1"/>
        <v>23000</v>
      </c>
      <c r="G31" s="325">
        <v>686</v>
      </c>
      <c r="H31" s="321">
        <f t="shared" si="0"/>
        <v>14769.5</v>
      </c>
      <c r="I31" s="321">
        <f t="shared" si="2"/>
        <v>8230.5000000000073</v>
      </c>
      <c r="J31" s="322"/>
    </row>
    <row r="32" spans="1:10" s="308" customFormat="1" ht="12.75" customHeight="1" x14ac:dyDescent="0.2">
      <c r="A32" s="171" t="s">
        <v>989</v>
      </c>
      <c r="B32" s="153">
        <v>46211</v>
      </c>
      <c r="C32" s="155" t="s">
        <v>274</v>
      </c>
      <c r="D32" s="181" t="s">
        <v>992</v>
      </c>
      <c r="E32" s="320"/>
      <c r="F32" s="320">
        <f t="shared" si="1"/>
        <v>23000</v>
      </c>
      <c r="G32" s="325">
        <v>168.93</v>
      </c>
      <c r="H32" s="321">
        <f t="shared" si="0"/>
        <v>14938.43</v>
      </c>
      <c r="I32" s="321">
        <f t="shared" si="2"/>
        <v>8061.570000000007</v>
      </c>
      <c r="J32" s="322"/>
    </row>
    <row r="33" spans="1:10" s="308" customFormat="1" ht="12.75" customHeight="1" x14ac:dyDescent="0.2">
      <c r="A33" s="171" t="s">
        <v>989</v>
      </c>
      <c r="B33" s="153">
        <v>46211</v>
      </c>
      <c r="C33" s="401">
        <v>9500</v>
      </c>
      <c r="D33" s="126" t="s">
        <v>993</v>
      </c>
      <c r="E33" s="320"/>
      <c r="F33" s="320">
        <f t="shared" si="1"/>
        <v>23000</v>
      </c>
      <c r="G33" s="325">
        <v>1947.9</v>
      </c>
      <c r="H33" s="321">
        <f t="shared" si="0"/>
        <v>16886.330000000002</v>
      </c>
      <c r="I33" s="321">
        <f t="shared" si="2"/>
        <v>6113.6700000000073</v>
      </c>
      <c r="J33" s="322"/>
    </row>
    <row r="34" spans="1:10" s="308" customFormat="1" ht="12.75" customHeight="1" x14ac:dyDescent="0.2">
      <c r="A34" s="171" t="s">
        <v>1036</v>
      </c>
      <c r="B34" s="153">
        <v>46218</v>
      </c>
      <c r="C34" s="155" t="s">
        <v>274</v>
      </c>
      <c r="D34" s="181" t="s">
        <v>1037</v>
      </c>
      <c r="E34" s="320"/>
      <c r="F34" s="320">
        <f t="shared" si="1"/>
        <v>23000</v>
      </c>
      <c r="G34" s="325">
        <v>67.73</v>
      </c>
      <c r="H34" s="321">
        <f t="shared" si="0"/>
        <v>16954.060000000001</v>
      </c>
      <c r="I34" s="321">
        <f t="shared" si="2"/>
        <v>6045.9400000000078</v>
      </c>
      <c r="J34" s="322"/>
    </row>
    <row r="35" spans="1:10" s="308" customFormat="1" ht="12.75" customHeight="1" x14ac:dyDescent="0.2">
      <c r="A35" s="171"/>
      <c r="B35" s="153"/>
      <c r="C35" s="401"/>
      <c r="D35" s="126"/>
      <c r="E35" s="320"/>
      <c r="F35" s="320">
        <f t="shared" si="1"/>
        <v>23000</v>
      </c>
      <c r="G35" s="326"/>
      <c r="H35" s="321">
        <f t="shared" si="0"/>
        <v>16954.060000000001</v>
      </c>
      <c r="I35" s="321">
        <f t="shared" si="2"/>
        <v>6045.9400000000078</v>
      </c>
      <c r="J35" s="322"/>
    </row>
    <row r="36" spans="1:10" s="308" customFormat="1" ht="12.75" customHeight="1" x14ac:dyDescent="0.25">
      <c r="A36" s="332"/>
      <c r="B36" s="324"/>
      <c r="C36" s="361"/>
      <c r="D36" s="328"/>
      <c r="E36" s="321"/>
      <c r="F36" s="321"/>
      <c r="G36" s="321"/>
      <c r="H36" s="321"/>
      <c r="I36" s="321"/>
      <c r="J36" s="322"/>
    </row>
    <row r="37" spans="1:10" s="308" customFormat="1" ht="12.75" customHeight="1" thickBot="1" x14ac:dyDescent="0.3">
      <c r="A37" s="332"/>
      <c r="B37" s="329"/>
      <c r="C37" s="361"/>
      <c r="D37" s="330" t="s">
        <v>54</v>
      </c>
      <c r="E37" s="184">
        <f>SUM(E9:E36)</f>
        <v>23000</v>
      </c>
      <c r="F37" s="184"/>
      <c r="G37" s="184">
        <f>SUM(G9:G36)</f>
        <v>16954.060000000001</v>
      </c>
      <c r="H37" s="184"/>
      <c r="I37" s="473">
        <f>SUM(E37-G37)</f>
        <v>6045.9399999999987</v>
      </c>
      <c r="J37" s="322"/>
    </row>
    <row r="38" spans="1:10" s="308" customFormat="1" ht="12.75" customHeight="1" thickTop="1" x14ac:dyDescent="0.25"/>
    <row r="39" spans="1:10" s="308" customFormat="1" ht="12.75" customHeight="1" x14ac:dyDescent="0.25"/>
    <row r="40" spans="1:10" s="308" customFormat="1" ht="12.75" customHeight="1" x14ac:dyDescent="0.25"/>
    <row r="41" spans="1:10" s="308" customFormat="1" ht="12.75" customHeight="1" x14ac:dyDescent="0.25"/>
    <row r="42" spans="1:10" s="308" customFormat="1" ht="12.75" customHeight="1" x14ac:dyDescent="0.25"/>
  </sheetData>
  <pageMargins left="0.25" right="0.25" top="0.85" bottom="0.75" header="0.08" footer="0.3"/>
  <pageSetup scale="61"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3B3CD-292E-40EC-9076-10EF8B4AC791}">
  <sheetPr>
    <pageSetUpPr fitToPage="1"/>
  </sheetPr>
  <dimension ref="A1:H23"/>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2.5703125" customWidth="1"/>
    <col min="6" max="6" width="13.4257812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'#9239.04 PM TIME'!A1</f>
        <v>DOC-NCF-IPI Homes for Iowa Facility Project Phase II Fencing</v>
      </c>
      <c r="B1" s="86"/>
      <c r="C1" s="86"/>
      <c r="D1" s="86"/>
      <c r="E1" s="6"/>
      <c r="F1" s="6"/>
      <c r="G1" s="6"/>
      <c r="H1" s="132"/>
    </row>
    <row r="2" spans="1:8" ht="15.75" x14ac:dyDescent="0.25">
      <c r="A2" s="88" t="str">
        <f>'RECAP #9239.04'!B2</f>
        <v>Project # 9239.04</v>
      </c>
      <c r="B2" s="87"/>
      <c r="C2" s="87"/>
      <c r="D2" s="87"/>
      <c r="E2" s="6"/>
      <c r="F2" s="6"/>
      <c r="G2" s="6"/>
      <c r="H2" s="132"/>
    </row>
    <row r="3" spans="1:8" ht="15.75" x14ac:dyDescent="0.25">
      <c r="A3" s="89" t="str">
        <f>'RECAP #9239.04'!B3</f>
        <v>Program code 923904</v>
      </c>
      <c r="B3" s="87"/>
      <c r="C3" s="87"/>
      <c r="D3" s="87"/>
      <c r="E3" s="90" t="str">
        <f>'RECAP #9239.04'!E3</f>
        <v>Major Program 4B01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#9239.04'!B6</f>
        <v>Project Manager - Brad T.</v>
      </c>
      <c r="B6" s="93"/>
      <c r="C6" s="93"/>
      <c r="D6" s="93"/>
      <c r="E6" s="90" t="s">
        <v>769</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t="s">
        <v>917</v>
      </c>
      <c r="B9" s="153">
        <v>46196</v>
      </c>
      <c r="C9" s="180">
        <v>9500</v>
      </c>
      <c r="D9" s="160" t="s">
        <v>372</v>
      </c>
      <c r="E9" s="171" t="s">
        <v>472</v>
      </c>
      <c r="F9" s="172" t="s">
        <v>916</v>
      </c>
      <c r="G9" s="325">
        <v>358.64</v>
      </c>
      <c r="H9" s="162">
        <f>G9</f>
        <v>358.64</v>
      </c>
    </row>
    <row r="10" spans="1:8" x14ac:dyDescent="0.25">
      <c r="A10" s="165"/>
      <c r="B10" s="153"/>
      <c r="C10" s="160"/>
      <c r="D10" s="160"/>
      <c r="E10" s="141"/>
      <c r="F10" s="106"/>
      <c r="G10" s="162"/>
      <c r="H10" s="162">
        <f>H9+G10</f>
        <v>358.64</v>
      </c>
    </row>
    <row r="11" spans="1:8" x14ac:dyDescent="0.25">
      <c r="A11" s="165"/>
      <c r="B11" s="153"/>
      <c r="C11" s="153"/>
      <c r="D11" s="153"/>
      <c r="E11" s="141"/>
      <c r="F11" s="106"/>
      <c r="G11" s="162"/>
      <c r="H11" s="162">
        <f t="shared" ref="H11:H20" si="0">H10+G11</f>
        <v>358.64</v>
      </c>
    </row>
    <row r="12" spans="1:8" x14ac:dyDescent="0.25">
      <c r="A12" s="165" t="s">
        <v>3</v>
      </c>
      <c r="B12" s="153" t="s">
        <v>3</v>
      </c>
      <c r="C12" s="153"/>
      <c r="D12" s="153"/>
      <c r="E12" s="141" t="s">
        <v>3</v>
      </c>
      <c r="F12" s="106"/>
      <c r="G12" s="162"/>
      <c r="H12" s="162">
        <f t="shared" si="0"/>
        <v>358.64</v>
      </c>
    </row>
    <row r="13" spans="1:8" x14ac:dyDescent="0.25">
      <c r="A13" s="165" t="s">
        <v>3</v>
      </c>
      <c r="B13" s="153" t="s">
        <v>3</v>
      </c>
      <c r="C13" s="153"/>
      <c r="D13" s="153"/>
      <c r="E13" s="141" t="s">
        <v>3</v>
      </c>
      <c r="F13" s="106"/>
      <c r="G13" s="162"/>
      <c r="H13" s="162">
        <f t="shared" si="0"/>
        <v>358.64</v>
      </c>
    </row>
    <row r="14" spans="1:8" x14ac:dyDescent="0.25">
      <c r="A14" s="165"/>
      <c r="B14" s="153"/>
      <c r="C14" s="153"/>
      <c r="D14" s="153"/>
      <c r="E14" s="141"/>
      <c r="F14" s="106"/>
      <c r="G14" s="162"/>
      <c r="H14" s="162">
        <f t="shared" si="0"/>
        <v>358.64</v>
      </c>
    </row>
    <row r="15" spans="1:8" x14ac:dyDescent="0.25">
      <c r="A15" s="165"/>
      <c r="B15" s="153"/>
      <c r="C15" s="153"/>
      <c r="D15" s="153"/>
      <c r="E15" s="173"/>
      <c r="F15" s="106"/>
      <c r="G15" s="162"/>
      <c r="H15" s="162">
        <f t="shared" si="0"/>
        <v>358.64</v>
      </c>
    </row>
    <row r="16" spans="1:8" x14ac:dyDescent="0.25">
      <c r="A16" s="165"/>
      <c r="B16" s="153"/>
      <c r="C16" s="153"/>
      <c r="D16" s="153"/>
      <c r="E16" s="141"/>
      <c r="F16" s="106"/>
      <c r="G16" s="162"/>
      <c r="H16" s="162">
        <f t="shared" si="0"/>
        <v>358.64</v>
      </c>
    </row>
    <row r="17" spans="1:8" x14ac:dyDescent="0.25">
      <c r="A17" s="152"/>
      <c r="B17" s="153"/>
      <c r="C17" s="153"/>
      <c r="D17" s="153"/>
      <c r="E17" s="141"/>
      <c r="F17" s="106"/>
      <c r="G17" s="162"/>
      <c r="H17" s="162">
        <f t="shared" si="0"/>
        <v>358.64</v>
      </c>
    </row>
    <row r="18" spans="1:8" x14ac:dyDescent="0.25">
      <c r="A18" s="152"/>
      <c r="B18" s="153"/>
      <c r="C18" s="153"/>
      <c r="D18" s="153"/>
      <c r="E18" s="141"/>
      <c r="F18" s="106"/>
      <c r="G18" s="162"/>
      <c r="H18" s="162">
        <f t="shared" si="0"/>
        <v>358.64</v>
      </c>
    </row>
    <row r="19" spans="1:8" x14ac:dyDescent="0.25">
      <c r="A19" s="152"/>
      <c r="B19" s="153"/>
      <c r="C19" s="153"/>
      <c r="D19" s="153"/>
      <c r="E19" s="141"/>
      <c r="F19" s="106"/>
      <c r="G19" s="162"/>
      <c r="H19" s="162">
        <f t="shared" si="0"/>
        <v>358.64</v>
      </c>
    </row>
    <row r="20" spans="1:8" x14ac:dyDescent="0.25">
      <c r="A20" s="152"/>
      <c r="B20" s="153"/>
      <c r="C20" s="153"/>
      <c r="D20" s="153"/>
      <c r="E20" s="141"/>
      <c r="F20" s="106"/>
      <c r="G20" s="162"/>
      <c r="H20" s="162">
        <f t="shared" si="0"/>
        <v>358.64</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358.64</v>
      </c>
      <c r="H22" s="177"/>
    </row>
    <row r="23" spans="1:8" ht="15" customHeight="1" thickTop="1" x14ac:dyDescent="0.25"/>
  </sheetData>
  <pageMargins left="0.25" right="0.25" top="0.85" bottom="0.75" header="0.08" footer="0.3"/>
  <pageSetup scale="79"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526D-D95B-4E79-93A9-D133F060CE5A}">
  <sheetPr codeName="Sheet43">
    <pageSetUpPr fitToPage="1"/>
  </sheetPr>
  <dimension ref="A1:H93"/>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85546875" customWidth="1"/>
    <col min="6" max="6" width="13.4257812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'#9482.00 PM TIME'!A1</f>
        <v>IDB - Chiller Replacement</v>
      </c>
      <c r="B1" s="86"/>
      <c r="C1" s="86"/>
      <c r="D1" s="86"/>
      <c r="E1" s="6"/>
      <c r="F1" s="6"/>
      <c r="G1" s="6"/>
      <c r="H1" s="132"/>
    </row>
    <row r="2" spans="1:8" ht="15.75" x14ac:dyDescent="0.25">
      <c r="A2" s="88" t="str">
        <f>'RECAP #9482.00'!B2</f>
        <v>Project # 9482.00</v>
      </c>
      <c r="B2" s="87"/>
      <c r="C2" s="87"/>
      <c r="D2" s="87"/>
      <c r="E2" s="6"/>
      <c r="F2" s="6"/>
      <c r="G2" s="6"/>
      <c r="H2" s="132"/>
    </row>
    <row r="3" spans="1:8" ht="15.75" x14ac:dyDescent="0.25">
      <c r="A3" s="89" t="str">
        <f>'RECAP #9482.00'!B3</f>
        <v>Program code 948200</v>
      </c>
      <c r="B3" s="87"/>
      <c r="C3" s="87"/>
      <c r="D3" s="87"/>
      <c r="E3" s="90" t="str">
        <f>'RECAP #9482.00'!E3</f>
        <v>Major Program 4F09</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#9482.00'!B6</f>
        <v>Project Manager - James T</v>
      </c>
      <c r="B6" s="93"/>
      <c r="C6" s="93"/>
      <c r="D6" s="93"/>
      <c r="E6" s="90" t="s">
        <v>404</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
      <c r="A9" s="327" t="s">
        <v>473</v>
      </c>
      <c r="B9" s="318">
        <v>46056</v>
      </c>
      <c r="C9" s="361" t="s">
        <v>209</v>
      </c>
      <c r="D9" s="361" t="s">
        <v>372</v>
      </c>
      <c r="E9" s="171" t="s">
        <v>472</v>
      </c>
      <c r="F9" s="365" t="s">
        <v>474</v>
      </c>
      <c r="G9" s="325">
        <v>52.16</v>
      </c>
      <c r="H9" s="366">
        <f>G9</f>
        <v>52.16</v>
      </c>
    </row>
    <row r="10" spans="1:8" s="308" customFormat="1" ht="12.75" customHeight="1" x14ac:dyDescent="0.25">
      <c r="A10" s="364" t="s">
        <v>491</v>
      </c>
      <c r="B10" s="318">
        <v>46059</v>
      </c>
      <c r="C10" s="361" t="s">
        <v>209</v>
      </c>
      <c r="D10" s="361" t="s">
        <v>372</v>
      </c>
      <c r="E10" s="363" t="s">
        <v>490</v>
      </c>
      <c r="F10" s="407" t="s">
        <v>489</v>
      </c>
      <c r="G10" s="325">
        <v>853.25</v>
      </c>
      <c r="H10" s="366">
        <f>H9+G10</f>
        <v>905.41</v>
      </c>
    </row>
    <row r="11" spans="1:8" s="308" customFormat="1" ht="12.75" customHeight="1" x14ac:dyDescent="0.25">
      <c r="A11" s="364" t="s">
        <v>535</v>
      </c>
      <c r="B11" s="318">
        <v>46085</v>
      </c>
      <c r="C11" s="361" t="s">
        <v>209</v>
      </c>
      <c r="D11" s="361" t="s">
        <v>372</v>
      </c>
      <c r="E11" s="363" t="s">
        <v>490</v>
      </c>
      <c r="F11" s="407" t="s">
        <v>534</v>
      </c>
      <c r="G11" s="325">
        <v>1595</v>
      </c>
      <c r="H11" s="366">
        <f t="shared" ref="H11:H20" si="0">H10+G11</f>
        <v>2500.41</v>
      </c>
    </row>
    <row r="12" spans="1:8" s="308" customFormat="1" ht="12.75" customHeight="1" x14ac:dyDescent="0.25">
      <c r="A12" s="364" t="s">
        <v>621</v>
      </c>
      <c r="B12" s="318">
        <v>46114</v>
      </c>
      <c r="C12" s="361" t="s">
        <v>209</v>
      </c>
      <c r="D12" s="361" t="s">
        <v>372</v>
      </c>
      <c r="E12" s="363" t="s">
        <v>522</v>
      </c>
      <c r="F12" s="407" t="s">
        <v>620</v>
      </c>
      <c r="G12" s="325">
        <v>229.08</v>
      </c>
      <c r="H12" s="366">
        <f t="shared" si="0"/>
        <v>2729.49</v>
      </c>
    </row>
    <row r="13" spans="1:8" s="308" customFormat="1" ht="12.75" customHeight="1" x14ac:dyDescent="0.25">
      <c r="A13" s="361"/>
      <c r="B13" s="318"/>
      <c r="C13" s="318"/>
      <c r="D13" s="318"/>
      <c r="E13" s="363"/>
      <c r="F13" s="367"/>
      <c r="G13" s="366"/>
      <c r="H13" s="366">
        <f t="shared" si="0"/>
        <v>2729.49</v>
      </c>
    </row>
    <row r="14" spans="1:8" s="308" customFormat="1" ht="12.75" customHeight="1" x14ac:dyDescent="0.25">
      <c r="A14" s="361"/>
      <c r="B14" s="318"/>
      <c r="C14" s="318"/>
      <c r="D14" s="318"/>
      <c r="E14" s="363"/>
      <c r="F14" s="367"/>
      <c r="G14" s="366"/>
      <c r="H14" s="366">
        <f t="shared" si="0"/>
        <v>2729.49</v>
      </c>
    </row>
    <row r="15" spans="1:8" s="308" customFormat="1" ht="12.75" customHeight="1" x14ac:dyDescent="0.25">
      <c r="A15" s="361"/>
      <c r="B15" s="318"/>
      <c r="C15" s="318"/>
      <c r="D15" s="318"/>
      <c r="E15" s="368"/>
      <c r="F15" s="367"/>
      <c r="G15" s="366"/>
      <c r="H15" s="366">
        <f t="shared" si="0"/>
        <v>2729.49</v>
      </c>
    </row>
    <row r="16" spans="1:8" s="308" customFormat="1" ht="12.75" customHeight="1" x14ac:dyDescent="0.25">
      <c r="A16" s="361"/>
      <c r="B16" s="318"/>
      <c r="C16" s="318"/>
      <c r="D16" s="318"/>
      <c r="E16" s="363"/>
      <c r="F16" s="367"/>
      <c r="G16" s="366"/>
      <c r="H16" s="366">
        <f t="shared" si="0"/>
        <v>2729.49</v>
      </c>
    </row>
    <row r="17" spans="1:8" s="308" customFormat="1" ht="12.75" customHeight="1" x14ac:dyDescent="0.25">
      <c r="A17" s="317"/>
      <c r="B17" s="318"/>
      <c r="C17" s="318"/>
      <c r="D17" s="318"/>
      <c r="E17" s="363"/>
      <c r="F17" s="367"/>
      <c r="G17" s="366"/>
      <c r="H17" s="366">
        <f t="shared" si="0"/>
        <v>2729.49</v>
      </c>
    </row>
    <row r="18" spans="1:8" s="308" customFormat="1" ht="12.75" customHeight="1" x14ac:dyDescent="0.25">
      <c r="A18" s="317"/>
      <c r="B18" s="318"/>
      <c r="C18" s="318"/>
      <c r="D18" s="318"/>
      <c r="E18" s="363"/>
      <c r="F18" s="367"/>
      <c r="G18" s="366"/>
      <c r="H18" s="366">
        <f t="shared" si="0"/>
        <v>2729.49</v>
      </c>
    </row>
    <row r="19" spans="1:8" s="308" customFormat="1" ht="12.75" customHeight="1" x14ac:dyDescent="0.25">
      <c r="A19" s="317"/>
      <c r="B19" s="318"/>
      <c r="C19" s="318"/>
      <c r="D19" s="318"/>
      <c r="E19" s="363"/>
      <c r="F19" s="367"/>
      <c r="G19" s="366"/>
      <c r="H19" s="366">
        <f t="shared" si="0"/>
        <v>2729.49</v>
      </c>
    </row>
    <row r="20" spans="1:8" s="308" customFormat="1" ht="12.75" customHeight="1" x14ac:dyDescent="0.25">
      <c r="A20" s="317"/>
      <c r="B20" s="318"/>
      <c r="C20" s="318"/>
      <c r="D20" s="318"/>
      <c r="E20" s="363"/>
      <c r="F20" s="367"/>
      <c r="G20" s="366"/>
      <c r="H20" s="366">
        <f t="shared" si="0"/>
        <v>2729.49</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2729.49</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28F8F-7990-4069-8ACF-9CBB1CD9906D}">
  <sheetPr codeName="Sheet44">
    <pageSetUpPr fitToPage="1"/>
  </sheetPr>
  <dimension ref="A1:I45"/>
  <sheetViews>
    <sheetView zoomScaleNormal="100" workbookViewId="0">
      <selection activeCell="A28" sqref="A28"/>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#9482.00'!B1</f>
        <v>IDB - Chiller Replacement</v>
      </c>
      <c r="B1" s="86"/>
      <c r="C1" s="6"/>
      <c r="D1" s="6"/>
      <c r="E1" s="6"/>
      <c r="F1" s="132"/>
      <c r="G1" s="132"/>
      <c r="H1" s="133"/>
      <c r="I1" s="133"/>
    </row>
    <row r="2" spans="1:9" ht="15.75" x14ac:dyDescent="0.25">
      <c r="A2" s="88" t="str">
        <f>'RECAP #9482.00'!B2</f>
        <v>Project # 9482.00</v>
      </c>
      <c r="B2" s="87"/>
      <c r="C2" s="6"/>
      <c r="D2" s="6"/>
      <c r="E2" s="6"/>
      <c r="F2" s="132"/>
      <c r="G2" s="132"/>
      <c r="H2" s="133"/>
      <c r="I2" s="133"/>
    </row>
    <row r="3" spans="1:9" ht="15.75" x14ac:dyDescent="0.25">
      <c r="A3" s="89" t="str">
        <f>'RECAP #9482.00'!B3</f>
        <v>Program code 948200</v>
      </c>
      <c r="B3" s="87"/>
      <c r="C3" s="6"/>
      <c r="D3" s="90" t="str">
        <f>'RECAP #9482.00'!E3</f>
        <v>Major Program 4F09</v>
      </c>
      <c r="E3" s="6"/>
      <c r="F3" s="132"/>
      <c r="G3" s="132"/>
      <c r="H3" s="133"/>
      <c r="I3" s="133"/>
    </row>
    <row r="4" spans="1:9" ht="15.75" x14ac:dyDescent="0.25">
      <c r="A4" s="116" t="s">
        <v>228</v>
      </c>
      <c r="B4" s="134"/>
      <c r="C4" s="135"/>
      <c r="D4" s="136" t="s">
        <v>229</v>
      </c>
      <c r="E4" s="132"/>
      <c r="F4" s="132"/>
      <c r="G4" s="132"/>
      <c r="H4" s="133"/>
      <c r="I4" s="133"/>
    </row>
    <row r="5" spans="1:9" ht="15.75" x14ac:dyDescent="0.25">
      <c r="A5" s="137" t="s">
        <v>182</v>
      </c>
      <c r="B5" s="138"/>
      <c r="C5" s="139"/>
      <c r="D5" s="140" t="s">
        <v>230</v>
      </c>
      <c r="E5" s="141"/>
      <c r="F5" s="142"/>
      <c r="G5" s="142"/>
      <c r="H5" s="138"/>
      <c r="I5" s="133"/>
    </row>
    <row r="6" spans="1:9" ht="15.75" x14ac:dyDescent="0.25">
      <c r="A6" s="93" t="str">
        <f>'RECAP #9482.00'!B6</f>
        <v>Project Manager - James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231</v>
      </c>
      <c r="B9" s="318">
        <v>45923</v>
      </c>
      <c r="C9" s="324" t="s">
        <v>146</v>
      </c>
      <c r="D9" s="319">
        <v>30090</v>
      </c>
      <c r="E9" s="320">
        <f>D9</f>
        <v>30090</v>
      </c>
      <c r="F9" s="321"/>
      <c r="G9" s="321"/>
      <c r="H9" s="321">
        <f>E9</f>
        <v>30090</v>
      </c>
      <c r="I9" s="322"/>
    </row>
    <row r="10" spans="1:9" s="308" customFormat="1" ht="12.75" customHeight="1" x14ac:dyDescent="0.25">
      <c r="A10" s="317" t="s">
        <v>334</v>
      </c>
      <c r="B10" s="323">
        <v>45981</v>
      </c>
      <c r="C10" s="324" t="s">
        <v>335</v>
      </c>
      <c r="D10" s="320"/>
      <c r="E10" s="320">
        <f t="shared" ref="E10:E21" si="0">E9+D10</f>
        <v>30090</v>
      </c>
      <c r="F10" s="325">
        <v>9990</v>
      </c>
      <c r="G10" s="321">
        <f t="shared" ref="G10:G21" si="1">G9+F10</f>
        <v>9990</v>
      </c>
      <c r="H10" s="321">
        <f t="shared" ref="H10:H21" si="2">H9-F10+D10</f>
        <v>20100</v>
      </c>
      <c r="I10" s="322"/>
    </row>
    <row r="11" spans="1:9" s="308" customFormat="1" ht="12.75" customHeight="1" x14ac:dyDescent="0.25">
      <c r="A11" s="317" t="s">
        <v>585</v>
      </c>
      <c r="B11" s="318">
        <v>46104</v>
      </c>
      <c r="C11" s="324" t="s">
        <v>586</v>
      </c>
      <c r="D11" s="320"/>
      <c r="E11" s="320">
        <f t="shared" si="0"/>
        <v>30090</v>
      </c>
      <c r="F11" s="325">
        <v>20100</v>
      </c>
      <c r="G11" s="321">
        <f t="shared" si="1"/>
        <v>30090</v>
      </c>
      <c r="H11" s="321">
        <f t="shared" si="2"/>
        <v>0</v>
      </c>
      <c r="I11" s="322"/>
    </row>
    <row r="12" spans="1:9" s="308" customFormat="1" ht="12.75" customHeight="1" x14ac:dyDescent="0.25">
      <c r="A12" s="317" t="s">
        <v>587</v>
      </c>
      <c r="B12" s="318">
        <v>46105</v>
      </c>
      <c r="C12" s="324" t="s">
        <v>726</v>
      </c>
      <c r="D12" s="319">
        <v>10000</v>
      </c>
      <c r="E12" s="320">
        <f t="shared" si="0"/>
        <v>40090</v>
      </c>
      <c r="F12" s="326"/>
      <c r="G12" s="321">
        <f t="shared" si="1"/>
        <v>30090</v>
      </c>
      <c r="H12" s="321">
        <f t="shared" si="2"/>
        <v>10000</v>
      </c>
      <c r="I12" s="322"/>
    </row>
    <row r="13" spans="1:9" s="308" customFormat="1" ht="12.75" customHeight="1" x14ac:dyDescent="0.25">
      <c r="A13" s="317" t="s">
        <v>587</v>
      </c>
      <c r="B13" s="318">
        <v>46192</v>
      </c>
      <c r="C13" s="324" t="s">
        <v>287</v>
      </c>
      <c r="D13" s="319">
        <v>5000</v>
      </c>
      <c r="E13" s="320">
        <f t="shared" si="0"/>
        <v>45090</v>
      </c>
      <c r="F13" s="326"/>
      <c r="G13" s="321">
        <f t="shared" si="1"/>
        <v>30090</v>
      </c>
      <c r="H13" s="321">
        <f t="shared" si="2"/>
        <v>15000</v>
      </c>
      <c r="I13" s="322"/>
    </row>
    <row r="14" spans="1:9" s="308" customFormat="1" ht="12.75" customHeight="1" x14ac:dyDescent="0.25">
      <c r="A14" s="317" t="s">
        <v>997</v>
      </c>
      <c r="B14" s="318">
        <v>46212</v>
      </c>
      <c r="C14" s="324" t="s">
        <v>996</v>
      </c>
      <c r="D14" s="320"/>
      <c r="E14" s="320">
        <f t="shared" si="0"/>
        <v>45090</v>
      </c>
      <c r="F14" s="325">
        <v>5000</v>
      </c>
      <c r="G14" s="321">
        <f t="shared" si="1"/>
        <v>35090</v>
      </c>
      <c r="H14" s="321">
        <f t="shared" si="2"/>
        <v>10000</v>
      </c>
      <c r="I14" s="322"/>
    </row>
    <row r="15" spans="1:9" s="308" customFormat="1" ht="12.75" customHeight="1" x14ac:dyDescent="0.25">
      <c r="A15" s="317"/>
      <c r="B15" s="318"/>
      <c r="C15" s="324"/>
      <c r="D15" s="320"/>
      <c r="E15" s="320">
        <f t="shared" si="0"/>
        <v>45090</v>
      </c>
      <c r="F15" s="326"/>
      <c r="G15" s="321">
        <f t="shared" si="1"/>
        <v>35090</v>
      </c>
      <c r="H15" s="321">
        <f t="shared" si="2"/>
        <v>10000</v>
      </c>
      <c r="I15" s="322"/>
    </row>
    <row r="16" spans="1:9" s="308" customFormat="1" ht="12.75" customHeight="1" x14ac:dyDescent="0.25">
      <c r="A16" s="317"/>
      <c r="B16" s="318"/>
      <c r="C16" s="324"/>
      <c r="D16" s="320"/>
      <c r="E16" s="320">
        <f t="shared" si="0"/>
        <v>45090</v>
      </c>
      <c r="F16" s="326"/>
      <c r="G16" s="321">
        <f t="shared" si="1"/>
        <v>35090</v>
      </c>
      <c r="H16" s="321">
        <f t="shared" si="2"/>
        <v>10000</v>
      </c>
      <c r="I16" s="322"/>
    </row>
    <row r="17" spans="1:9" s="308" customFormat="1" ht="12.75" customHeight="1" x14ac:dyDescent="0.25">
      <c r="A17" s="317"/>
      <c r="B17" s="318"/>
      <c r="C17" s="324"/>
      <c r="D17" s="320"/>
      <c r="E17" s="320">
        <f t="shared" si="0"/>
        <v>45090</v>
      </c>
      <c r="F17" s="326"/>
      <c r="G17" s="321">
        <f t="shared" si="1"/>
        <v>35090</v>
      </c>
      <c r="H17" s="321">
        <f t="shared" si="2"/>
        <v>10000</v>
      </c>
      <c r="I17" s="322"/>
    </row>
    <row r="18" spans="1:9" s="308" customFormat="1" ht="12.75" customHeight="1" x14ac:dyDescent="0.25">
      <c r="A18" s="317"/>
      <c r="B18" s="318"/>
      <c r="C18" s="324"/>
      <c r="D18" s="320"/>
      <c r="E18" s="320">
        <f t="shared" si="0"/>
        <v>45090</v>
      </c>
      <c r="F18" s="326"/>
      <c r="G18" s="321">
        <f t="shared" si="1"/>
        <v>35090</v>
      </c>
      <c r="H18" s="321">
        <f t="shared" si="2"/>
        <v>10000</v>
      </c>
      <c r="I18" s="322"/>
    </row>
    <row r="19" spans="1:9" s="308" customFormat="1" ht="12.75" customHeight="1" x14ac:dyDescent="0.25">
      <c r="A19" s="317"/>
      <c r="B19" s="318"/>
      <c r="C19" s="324"/>
      <c r="D19" s="320"/>
      <c r="E19" s="320">
        <f t="shared" si="0"/>
        <v>45090</v>
      </c>
      <c r="F19" s="321"/>
      <c r="G19" s="321">
        <f t="shared" si="1"/>
        <v>35090</v>
      </c>
      <c r="H19" s="321">
        <f t="shared" si="2"/>
        <v>10000</v>
      </c>
      <c r="I19" s="322"/>
    </row>
    <row r="20" spans="1:9" s="308" customFormat="1" ht="12.75" customHeight="1" x14ac:dyDescent="0.25">
      <c r="A20" s="317"/>
      <c r="B20" s="318"/>
      <c r="C20" s="324"/>
      <c r="D20" s="320"/>
      <c r="E20" s="320">
        <f t="shared" si="0"/>
        <v>45090</v>
      </c>
      <c r="F20" s="321"/>
      <c r="G20" s="321">
        <f t="shared" si="1"/>
        <v>35090</v>
      </c>
      <c r="H20" s="321">
        <f t="shared" si="2"/>
        <v>10000</v>
      </c>
      <c r="I20" s="322"/>
    </row>
    <row r="21" spans="1:9" s="308" customFormat="1" ht="12.75" customHeight="1" x14ac:dyDescent="0.25">
      <c r="A21" s="317"/>
      <c r="B21" s="318"/>
      <c r="C21" s="327"/>
      <c r="D21" s="320"/>
      <c r="E21" s="320">
        <f t="shared" si="0"/>
        <v>45090</v>
      </c>
      <c r="F21" s="321"/>
      <c r="G21" s="321">
        <f t="shared" si="1"/>
        <v>35090</v>
      </c>
      <c r="H21" s="321">
        <f t="shared" si="2"/>
        <v>10000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45090</v>
      </c>
      <c r="E23" s="184"/>
      <c r="F23" s="184">
        <f>SUM(F9:F22)</f>
        <v>35090</v>
      </c>
      <c r="G23" s="184"/>
      <c r="H23" s="184">
        <f>D23-F23</f>
        <v>10000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232</v>
      </c>
      <c r="D26" s="321">
        <v>9990</v>
      </c>
      <c r="E26" s="321"/>
      <c r="F26" s="321">
        <f>9990</f>
        <v>9990</v>
      </c>
      <c r="G26" s="321"/>
      <c r="H26" s="321">
        <f>D26-F26</f>
        <v>0</v>
      </c>
      <c r="I26" s="322"/>
    </row>
    <row r="27" spans="1:9" s="308" customFormat="1" ht="12.75" customHeight="1" x14ac:dyDescent="0.25">
      <c r="A27" s="317"/>
      <c r="B27" s="324"/>
      <c r="C27" s="328" t="s">
        <v>233</v>
      </c>
      <c r="D27" s="321">
        <v>20100</v>
      </c>
      <c r="E27" s="185"/>
      <c r="F27" s="321">
        <v>20100</v>
      </c>
      <c r="G27" s="185"/>
      <c r="H27" s="321">
        <f>D27-F27</f>
        <v>0</v>
      </c>
      <c r="I27" s="322"/>
    </row>
    <row r="28" spans="1:9" s="308" customFormat="1" ht="12.75" customHeight="1" x14ac:dyDescent="0.25">
      <c r="A28" s="317"/>
      <c r="B28" s="324"/>
      <c r="C28" s="328" t="s">
        <v>212</v>
      </c>
      <c r="D28" s="321">
        <v>10000</v>
      </c>
      <c r="E28" s="185"/>
      <c r="F28" s="321">
        <f>5000</f>
        <v>5000</v>
      </c>
      <c r="G28" s="185"/>
      <c r="H28" s="321">
        <f>D28-F28</f>
        <v>5000</v>
      </c>
      <c r="I28" s="322"/>
    </row>
    <row r="29" spans="1:9" s="308" customFormat="1" ht="12.75" customHeight="1" x14ac:dyDescent="0.25">
      <c r="A29" s="317"/>
      <c r="B29" s="324"/>
      <c r="C29" s="328" t="s">
        <v>287</v>
      </c>
      <c r="D29" s="321">
        <v>5000</v>
      </c>
      <c r="E29" s="185"/>
      <c r="F29" s="321"/>
      <c r="G29" s="185"/>
      <c r="H29" s="321">
        <f>D29-F29</f>
        <v>5000</v>
      </c>
      <c r="I29" s="322"/>
    </row>
    <row r="30" spans="1:9" s="308" customFormat="1" ht="12.75" customHeight="1" thickBot="1" x14ac:dyDescent="0.3">
      <c r="A30" s="317"/>
      <c r="B30" s="324"/>
      <c r="C30" s="359" t="s">
        <v>157</v>
      </c>
      <c r="D30" s="360">
        <f>SUM(D26:D29)</f>
        <v>45090</v>
      </c>
      <c r="E30" s="326"/>
      <c r="F30" s="360">
        <f>SUM(F26:F29)</f>
        <v>35090</v>
      </c>
      <c r="G30" s="326"/>
      <c r="H30" s="360">
        <f>SUM(H26:H29)</f>
        <v>10000</v>
      </c>
      <c r="I30" s="322"/>
    </row>
    <row r="31" spans="1:9" s="308" customFormat="1" ht="12.75" customHeight="1" thickTop="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EA002-B41B-4B83-8026-120D0889B4DB}">
  <sheetPr codeName="Sheet45">
    <tabColor rgb="FF0070C0"/>
    <pageSetUpPr fitToPage="1"/>
  </sheetPr>
  <dimension ref="A1:I34"/>
  <sheetViews>
    <sheetView zoomScaleNormal="100" workbookViewId="0">
      <selection activeCell="Q22" sqref="Q22"/>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#9482.00'!B1</f>
        <v>IDB - Chiller Replacement</v>
      </c>
      <c r="B1" s="116"/>
      <c r="C1" s="193"/>
      <c r="D1" s="193"/>
      <c r="E1" s="193"/>
      <c r="F1" s="194"/>
      <c r="G1" s="194"/>
      <c r="H1" s="195"/>
      <c r="I1" s="195"/>
    </row>
    <row r="2" spans="1:9" ht="15.75" x14ac:dyDescent="0.25">
      <c r="A2" s="134" t="str">
        <f>'RECAP #9482.00'!B2</f>
        <v>Project # 9482.00</v>
      </c>
      <c r="B2" s="196"/>
      <c r="C2" s="193"/>
      <c r="D2" s="193"/>
      <c r="E2" s="193"/>
      <c r="F2" s="194"/>
      <c r="G2" s="194"/>
      <c r="H2" s="195"/>
      <c r="I2" s="195"/>
    </row>
    <row r="3" spans="1:9" ht="15.75" x14ac:dyDescent="0.25">
      <c r="A3" s="197" t="str">
        <f>'RECAP #9482.00'!B3</f>
        <v>Program code 948200</v>
      </c>
      <c r="B3" s="196"/>
      <c r="C3" s="193"/>
      <c r="D3" s="198" t="str">
        <f>'RECAP #9482.00'!E3</f>
        <v>Major Program 4F09</v>
      </c>
      <c r="E3" s="193"/>
      <c r="F3" s="194"/>
      <c r="G3" s="194"/>
      <c r="H3" s="195"/>
      <c r="I3" s="195"/>
    </row>
    <row r="4" spans="1:9" ht="15.75" x14ac:dyDescent="0.25">
      <c r="A4" s="116" t="s">
        <v>401</v>
      </c>
      <c r="B4" s="134"/>
      <c r="C4" s="195"/>
      <c r="D4" s="199" t="s">
        <v>402</v>
      </c>
      <c r="E4" s="194"/>
      <c r="F4" s="194"/>
      <c r="G4" s="194"/>
      <c r="H4" s="195"/>
      <c r="I4" s="195"/>
    </row>
    <row r="5" spans="1:9" ht="15.75" x14ac:dyDescent="0.25">
      <c r="A5" s="200" t="s">
        <v>147</v>
      </c>
      <c r="B5" s="195"/>
      <c r="C5" s="201"/>
      <c r="D5" s="140" t="s">
        <v>403</v>
      </c>
      <c r="E5" s="145"/>
      <c r="F5" s="194"/>
      <c r="G5" s="194"/>
      <c r="H5" s="195"/>
      <c r="I5" s="195"/>
    </row>
    <row r="6" spans="1:9" ht="15.75" x14ac:dyDescent="0.25">
      <c r="A6" s="134" t="str">
        <f>'RECAP #9482.00'!B6</f>
        <v>Project Manager - James T</v>
      </c>
      <c r="B6" s="134"/>
      <c r="C6" s="202"/>
      <c r="D6" s="300" t="s">
        <v>262</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405</v>
      </c>
      <c r="B9" s="383">
        <v>46028</v>
      </c>
      <c r="C9" s="391" t="s">
        <v>146</v>
      </c>
      <c r="D9" s="385">
        <v>1240</v>
      </c>
      <c r="E9" s="386">
        <f>D9</f>
        <v>1240</v>
      </c>
      <c r="F9" s="387"/>
      <c r="G9" s="387"/>
      <c r="H9" s="387">
        <f>E9</f>
        <v>1240</v>
      </c>
      <c r="I9" s="388"/>
    </row>
    <row r="10" spans="1:9" s="389" customFormat="1" ht="12.75" customHeight="1" x14ac:dyDescent="0.25">
      <c r="A10" s="382" t="s">
        <v>889</v>
      </c>
      <c r="B10" s="390">
        <v>46191</v>
      </c>
      <c r="C10" s="391" t="s">
        <v>890</v>
      </c>
      <c r="D10" s="386"/>
      <c r="E10" s="386">
        <f t="shared" ref="E10:E21" si="0">E9+D10</f>
        <v>1240</v>
      </c>
      <c r="F10" s="392">
        <v>1240</v>
      </c>
      <c r="G10" s="387">
        <f t="shared" ref="G10:G21" si="1">G9+F10</f>
        <v>1240</v>
      </c>
      <c r="H10" s="387">
        <f t="shared" ref="H10:H21" si="2">H9-F10+D10</f>
        <v>0</v>
      </c>
      <c r="I10" s="388"/>
    </row>
    <row r="11" spans="1:9" s="389" customFormat="1" ht="12.75" customHeight="1" x14ac:dyDescent="0.25">
      <c r="A11" s="382"/>
      <c r="B11" s="383"/>
      <c r="C11" s="391"/>
      <c r="D11" s="386"/>
      <c r="E11" s="386">
        <f t="shared" si="0"/>
        <v>1240</v>
      </c>
      <c r="F11" s="392"/>
      <c r="G11" s="387">
        <f t="shared" si="1"/>
        <v>1240</v>
      </c>
      <c r="H11" s="387">
        <f t="shared" si="2"/>
        <v>0</v>
      </c>
      <c r="I11" s="388"/>
    </row>
    <row r="12" spans="1:9" s="389" customFormat="1" ht="12.75" customHeight="1" x14ac:dyDescent="0.25">
      <c r="A12" s="382"/>
      <c r="B12" s="383"/>
      <c r="C12" s="391"/>
      <c r="D12" s="385"/>
      <c r="E12" s="386">
        <f t="shared" si="0"/>
        <v>1240</v>
      </c>
      <c r="F12" s="392"/>
      <c r="G12" s="387">
        <f t="shared" si="1"/>
        <v>1240</v>
      </c>
      <c r="H12" s="387">
        <f t="shared" si="2"/>
        <v>0</v>
      </c>
      <c r="I12" s="388"/>
    </row>
    <row r="13" spans="1:9" s="389" customFormat="1" ht="12.75" customHeight="1" x14ac:dyDescent="0.25">
      <c r="A13" s="382"/>
      <c r="B13" s="383"/>
      <c r="C13" s="391"/>
      <c r="D13" s="386"/>
      <c r="E13" s="386">
        <f t="shared" si="0"/>
        <v>1240</v>
      </c>
      <c r="F13" s="392"/>
      <c r="G13" s="387">
        <f t="shared" si="1"/>
        <v>1240</v>
      </c>
      <c r="H13" s="387">
        <f t="shared" si="2"/>
        <v>0</v>
      </c>
      <c r="I13" s="388"/>
    </row>
    <row r="14" spans="1:9" s="389" customFormat="1" ht="12.75" customHeight="1" x14ac:dyDescent="0.25">
      <c r="A14" s="382"/>
      <c r="B14" s="383"/>
      <c r="C14" s="391"/>
      <c r="D14" s="386"/>
      <c r="E14" s="386">
        <f t="shared" si="0"/>
        <v>1240</v>
      </c>
      <c r="F14" s="387"/>
      <c r="G14" s="387">
        <f t="shared" si="1"/>
        <v>1240</v>
      </c>
      <c r="H14" s="387">
        <f t="shared" si="2"/>
        <v>0</v>
      </c>
      <c r="I14" s="388"/>
    </row>
    <row r="15" spans="1:9" s="389" customFormat="1" ht="12.75" customHeight="1" x14ac:dyDescent="0.25">
      <c r="A15" s="382"/>
      <c r="B15" s="383"/>
      <c r="C15" s="391"/>
      <c r="D15" s="386"/>
      <c r="E15" s="386">
        <f t="shared" si="0"/>
        <v>1240</v>
      </c>
      <c r="F15" s="392"/>
      <c r="G15" s="387">
        <f t="shared" si="1"/>
        <v>1240</v>
      </c>
      <c r="H15" s="387">
        <f t="shared" si="2"/>
        <v>0</v>
      </c>
      <c r="I15" s="388"/>
    </row>
    <row r="16" spans="1:9" s="389" customFormat="1" ht="12.75" customHeight="1" x14ac:dyDescent="0.25">
      <c r="A16" s="382"/>
      <c r="B16" s="383"/>
      <c r="C16" s="391"/>
      <c r="D16" s="386"/>
      <c r="E16" s="386">
        <f t="shared" si="0"/>
        <v>1240</v>
      </c>
      <c r="F16" s="392"/>
      <c r="G16" s="387">
        <f t="shared" si="1"/>
        <v>1240</v>
      </c>
      <c r="H16" s="387">
        <f t="shared" si="2"/>
        <v>0</v>
      </c>
      <c r="I16" s="388"/>
    </row>
    <row r="17" spans="1:9" s="389" customFormat="1" ht="12.75" customHeight="1" x14ac:dyDescent="0.25">
      <c r="A17" s="382"/>
      <c r="B17" s="383"/>
      <c r="C17" s="391"/>
      <c r="D17" s="386"/>
      <c r="E17" s="386">
        <f t="shared" si="0"/>
        <v>1240</v>
      </c>
      <c r="F17" s="392"/>
      <c r="G17" s="387">
        <f t="shared" si="1"/>
        <v>1240</v>
      </c>
      <c r="H17" s="387">
        <f t="shared" si="2"/>
        <v>0</v>
      </c>
      <c r="I17" s="388"/>
    </row>
    <row r="18" spans="1:9" s="389" customFormat="1" ht="12.75" customHeight="1" x14ac:dyDescent="0.25">
      <c r="A18" s="382"/>
      <c r="B18" s="383"/>
      <c r="C18" s="391"/>
      <c r="D18" s="386"/>
      <c r="E18" s="386">
        <f t="shared" si="0"/>
        <v>1240</v>
      </c>
      <c r="F18" s="392"/>
      <c r="G18" s="387">
        <f t="shared" si="1"/>
        <v>1240</v>
      </c>
      <c r="H18" s="387">
        <f t="shared" si="2"/>
        <v>0</v>
      </c>
      <c r="I18" s="388"/>
    </row>
    <row r="19" spans="1:9" s="389" customFormat="1" ht="12.75" customHeight="1" x14ac:dyDescent="0.25">
      <c r="A19" s="382"/>
      <c r="B19" s="383"/>
      <c r="C19" s="391"/>
      <c r="D19" s="386"/>
      <c r="E19" s="386">
        <f t="shared" si="0"/>
        <v>1240</v>
      </c>
      <c r="F19" s="387"/>
      <c r="G19" s="387">
        <f t="shared" si="1"/>
        <v>1240</v>
      </c>
      <c r="H19" s="387">
        <f t="shared" si="2"/>
        <v>0</v>
      </c>
      <c r="I19" s="388"/>
    </row>
    <row r="20" spans="1:9" s="389" customFormat="1" ht="12.75" customHeight="1" x14ac:dyDescent="0.25">
      <c r="A20" s="382"/>
      <c r="B20" s="383"/>
      <c r="C20" s="391"/>
      <c r="D20" s="386"/>
      <c r="E20" s="386">
        <f t="shared" si="0"/>
        <v>1240</v>
      </c>
      <c r="F20" s="387"/>
      <c r="G20" s="387">
        <f t="shared" si="1"/>
        <v>1240</v>
      </c>
      <c r="H20" s="387">
        <f t="shared" si="2"/>
        <v>0</v>
      </c>
      <c r="I20" s="388"/>
    </row>
    <row r="21" spans="1:9" s="389" customFormat="1" ht="12.75" customHeight="1" x14ac:dyDescent="0.25">
      <c r="A21" s="382"/>
      <c r="B21" s="383"/>
      <c r="C21" s="393"/>
      <c r="D21" s="386"/>
      <c r="E21" s="386">
        <f t="shared" si="0"/>
        <v>1240</v>
      </c>
      <c r="F21" s="387"/>
      <c r="G21" s="387">
        <f t="shared" si="1"/>
        <v>1240</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1240</v>
      </c>
      <c r="E23" s="396"/>
      <c r="F23" s="396">
        <f>SUM(F9:F22)</f>
        <v>1240</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c r="D26" s="387"/>
      <c r="E26" s="387"/>
      <c r="F26" s="387"/>
      <c r="G26" s="387"/>
      <c r="H26" s="387"/>
      <c r="I26" s="388"/>
    </row>
    <row r="27" spans="1:9" s="389" customFormat="1" ht="12.75" customHeight="1" x14ac:dyDescent="0.25"/>
    <row r="28" spans="1:9" s="389" customFormat="1" ht="12.75" customHeight="1" x14ac:dyDescent="0.25"/>
    <row r="29" spans="1:9" s="389" customFormat="1" ht="12.75" customHeight="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27EE3-24A1-4869-B9AC-C2E0AA7F038D}">
  <sheetPr codeName="Sheet46">
    <pageSetUpPr fitToPage="1"/>
  </sheetPr>
  <dimension ref="A1:I29"/>
  <sheetViews>
    <sheetView zoomScaleNormal="100" workbookViewId="0">
      <selection activeCell="K17" sqref="K17:L17"/>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#9482.00'!B1</f>
        <v>IDB - Chiller Replacement</v>
      </c>
      <c r="B1" s="86"/>
      <c r="C1" s="6"/>
      <c r="D1" s="6"/>
      <c r="E1" s="6"/>
      <c r="F1" s="132"/>
      <c r="G1" s="132"/>
      <c r="H1" s="133"/>
      <c r="I1" s="133"/>
    </row>
    <row r="2" spans="1:9" ht="15.75" x14ac:dyDescent="0.25">
      <c r="A2" s="88" t="str">
        <f>'RECAP #9482.00'!B2</f>
        <v>Project # 9482.00</v>
      </c>
      <c r="B2" s="87"/>
      <c r="C2" s="6"/>
      <c r="D2" s="6"/>
      <c r="E2" s="6"/>
      <c r="F2" s="132"/>
      <c r="G2" s="132"/>
      <c r="H2" s="133"/>
      <c r="I2" s="133"/>
    </row>
    <row r="3" spans="1:9" ht="15.75" x14ac:dyDescent="0.25">
      <c r="A3" s="89" t="str">
        <f>'RECAP #9482.00'!B3</f>
        <v>Program code 948200</v>
      </c>
      <c r="B3" s="87"/>
      <c r="C3" s="6"/>
      <c r="D3" s="90" t="str">
        <f>'RECAP #9482.00'!E3</f>
        <v>Major Program 4F09</v>
      </c>
      <c r="E3" s="6"/>
      <c r="F3" s="132"/>
      <c r="G3" s="132"/>
      <c r="H3" s="133"/>
      <c r="I3" s="133"/>
    </row>
    <row r="4" spans="1:9" ht="15.75" x14ac:dyDescent="0.25">
      <c r="A4" s="116" t="s">
        <v>562</v>
      </c>
      <c r="B4" s="134"/>
      <c r="C4" s="135"/>
      <c r="D4" s="136" t="s">
        <v>142</v>
      </c>
      <c r="E4" s="132"/>
      <c r="F4" s="132"/>
      <c r="G4" s="132"/>
      <c r="H4" s="133"/>
      <c r="I4" s="133"/>
    </row>
    <row r="5" spans="1:9" ht="15.75" x14ac:dyDescent="0.25">
      <c r="A5" s="137" t="s">
        <v>147</v>
      </c>
      <c r="B5" s="138"/>
      <c r="C5" s="139"/>
      <c r="D5" s="140" t="s">
        <v>143</v>
      </c>
      <c r="E5" s="141"/>
      <c r="F5" s="142"/>
      <c r="G5" s="142"/>
      <c r="H5" s="138"/>
      <c r="I5" s="133"/>
    </row>
    <row r="6" spans="1:9" ht="15.75" x14ac:dyDescent="0.25">
      <c r="A6" s="93" t="str">
        <f>'RECAP #9482.00'!B6</f>
        <v>Project Manager - James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563</v>
      </c>
      <c r="B9" s="318">
        <v>46097</v>
      </c>
      <c r="C9" s="324" t="s">
        <v>146</v>
      </c>
      <c r="D9" s="319">
        <v>32715.96</v>
      </c>
      <c r="E9" s="320">
        <f>D9</f>
        <v>32715.96</v>
      </c>
      <c r="F9" s="321"/>
      <c r="G9" s="321"/>
      <c r="H9" s="321">
        <f>E9</f>
        <v>32715.96</v>
      </c>
      <c r="I9" s="322"/>
    </row>
    <row r="10" spans="1:9" s="308" customFormat="1" ht="12.75" customHeight="1" x14ac:dyDescent="0.25">
      <c r="A10" s="317" t="s">
        <v>624</v>
      </c>
      <c r="B10" s="323">
        <v>46120</v>
      </c>
      <c r="C10" s="324" t="s">
        <v>625</v>
      </c>
      <c r="D10" s="320"/>
      <c r="E10" s="320">
        <f t="shared" ref="E10:E21" si="0">E9+D10</f>
        <v>32715.96</v>
      </c>
      <c r="F10" s="325">
        <v>2399.41</v>
      </c>
      <c r="G10" s="321">
        <f t="shared" ref="G10:G21" si="1">G9+F10</f>
        <v>2399.41</v>
      </c>
      <c r="H10" s="321">
        <f t="shared" ref="H10:H21" si="2">H9-F10+D10</f>
        <v>30316.55</v>
      </c>
      <c r="I10" s="322"/>
    </row>
    <row r="11" spans="1:9" s="308" customFormat="1" ht="12.75" customHeight="1" x14ac:dyDescent="0.25">
      <c r="A11" s="317" t="s">
        <v>766</v>
      </c>
      <c r="B11" s="318">
        <v>46161</v>
      </c>
      <c r="C11" s="324" t="s">
        <v>767</v>
      </c>
      <c r="D11" s="320"/>
      <c r="E11" s="320">
        <f t="shared" si="0"/>
        <v>32715.96</v>
      </c>
      <c r="F11" s="325">
        <v>370.78</v>
      </c>
      <c r="G11" s="321">
        <f t="shared" si="1"/>
        <v>2770.1899999999996</v>
      </c>
      <c r="H11" s="321">
        <f t="shared" si="2"/>
        <v>29945.77</v>
      </c>
      <c r="I11" s="322"/>
    </row>
    <row r="12" spans="1:9" s="308" customFormat="1" ht="12.75" customHeight="1" x14ac:dyDescent="0.25">
      <c r="A12" s="317" t="s">
        <v>854</v>
      </c>
      <c r="B12" s="318">
        <v>46188</v>
      </c>
      <c r="C12" s="324" t="s">
        <v>853</v>
      </c>
      <c r="D12" s="320"/>
      <c r="E12" s="320">
        <f t="shared" si="0"/>
        <v>32715.96</v>
      </c>
      <c r="F12" s="325">
        <v>584.48</v>
      </c>
      <c r="G12" s="321">
        <f t="shared" si="1"/>
        <v>3354.6699999999996</v>
      </c>
      <c r="H12" s="321">
        <f t="shared" si="2"/>
        <v>29361.29</v>
      </c>
      <c r="I12" s="322"/>
    </row>
    <row r="13" spans="1:9" s="308" customFormat="1" ht="12.75" customHeight="1" x14ac:dyDescent="0.25">
      <c r="A13" s="317" t="s">
        <v>994</v>
      </c>
      <c r="B13" s="318">
        <v>46212</v>
      </c>
      <c r="C13" s="324" t="s">
        <v>995</v>
      </c>
      <c r="D13" s="320"/>
      <c r="E13" s="320">
        <f t="shared" si="0"/>
        <v>32715.96</v>
      </c>
      <c r="F13" s="325">
        <v>635.01</v>
      </c>
      <c r="G13" s="321">
        <f t="shared" si="1"/>
        <v>3989.6799999999994</v>
      </c>
      <c r="H13" s="321">
        <f t="shared" si="2"/>
        <v>28726.280000000002</v>
      </c>
      <c r="I13" s="322"/>
    </row>
    <row r="14" spans="1:9" s="308" customFormat="1" ht="12.75" customHeight="1" x14ac:dyDescent="0.25">
      <c r="A14" s="317"/>
      <c r="B14" s="318"/>
      <c r="C14" s="324"/>
      <c r="D14" s="320"/>
      <c r="E14" s="320">
        <f t="shared" si="0"/>
        <v>32715.96</v>
      </c>
      <c r="F14" s="325"/>
      <c r="G14" s="321">
        <f t="shared" si="1"/>
        <v>3989.6799999999994</v>
      </c>
      <c r="H14" s="321">
        <f t="shared" si="2"/>
        <v>28726.280000000002</v>
      </c>
      <c r="I14" s="322"/>
    </row>
    <row r="15" spans="1:9" s="308" customFormat="1" ht="12.75" customHeight="1" x14ac:dyDescent="0.25">
      <c r="A15" s="317"/>
      <c r="B15" s="318"/>
      <c r="C15" s="324"/>
      <c r="D15" s="320"/>
      <c r="E15" s="320">
        <f t="shared" si="0"/>
        <v>32715.96</v>
      </c>
      <c r="F15" s="326"/>
      <c r="G15" s="321">
        <f t="shared" si="1"/>
        <v>3989.6799999999994</v>
      </c>
      <c r="H15" s="321">
        <f t="shared" si="2"/>
        <v>28726.280000000002</v>
      </c>
      <c r="I15" s="322"/>
    </row>
    <row r="16" spans="1:9" s="308" customFormat="1" ht="12.75" customHeight="1" x14ac:dyDescent="0.25">
      <c r="A16" s="317"/>
      <c r="B16" s="318"/>
      <c r="C16" s="324"/>
      <c r="D16" s="320"/>
      <c r="E16" s="320">
        <f t="shared" si="0"/>
        <v>32715.96</v>
      </c>
      <c r="F16" s="326"/>
      <c r="G16" s="321">
        <f t="shared" si="1"/>
        <v>3989.6799999999994</v>
      </c>
      <c r="H16" s="321">
        <f t="shared" si="2"/>
        <v>28726.280000000002</v>
      </c>
      <c r="I16" s="322"/>
    </row>
    <row r="17" spans="1:9" s="308" customFormat="1" ht="12.75" customHeight="1" x14ac:dyDescent="0.25">
      <c r="A17" s="317"/>
      <c r="B17" s="318"/>
      <c r="C17" s="324"/>
      <c r="D17" s="320"/>
      <c r="E17" s="320">
        <f t="shared" si="0"/>
        <v>32715.96</v>
      </c>
      <c r="F17" s="326"/>
      <c r="G17" s="321">
        <f t="shared" si="1"/>
        <v>3989.6799999999994</v>
      </c>
      <c r="H17" s="321">
        <f t="shared" si="2"/>
        <v>28726.280000000002</v>
      </c>
      <c r="I17" s="322"/>
    </row>
    <row r="18" spans="1:9" s="308" customFormat="1" ht="12.75" customHeight="1" x14ac:dyDescent="0.25">
      <c r="A18" s="317"/>
      <c r="B18" s="318"/>
      <c r="C18" s="324"/>
      <c r="D18" s="320"/>
      <c r="E18" s="320">
        <f t="shared" si="0"/>
        <v>32715.96</v>
      </c>
      <c r="F18" s="326"/>
      <c r="G18" s="321">
        <f t="shared" si="1"/>
        <v>3989.6799999999994</v>
      </c>
      <c r="H18" s="321">
        <f t="shared" si="2"/>
        <v>28726.280000000002</v>
      </c>
      <c r="I18" s="322"/>
    </row>
    <row r="19" spans="1:9" s="308" customFormat="1" ht="12.75" customHeight="1" x14ac:dyDescent="0.25">
      <c r="A19" s="317"/>
      <c r="B19" s="318"/>
      <c r="C19" s="324"/>
      <c r="D19" s="320"/>
      <c r="E19" s="320">
        <f t="shared" si="0"/>
        <v>32715.96</v>
      </c>
      <c r="F19" s="321"/>
      <c r="G19" s="321">
        <f t="shared" si="1"/>
        <v>3989.6799999999994</v>
      </c>
      <c r="H19" s="321">
        <f t="shared" si="2"/>
        <v>28726.280000000002</v>
      </c>
      <c r="I19" s="322"/>
    </row>
    <row r="20" spans="1:9" s="308" customFormat="1" ht="12.75" customHeight="1" x14ac:dyDescent="0.25">
      <c r="A20" s="317"/>
      <c r="B20" s="318"/>
      <c r="C20" s="324"/>
      <c r="D20" s="320"/>
      <c r="E20" s="320">
        <f t="shared" si="0"/>
        <v>32715.96</v>
      </c>
      <c r="F20" s="321"/>
      <c r="G20" s="321">
        <f t="shared" si="1"/>
        <v>3989.6799999999994</v>
      </c>
      <c r="H20" s="321">
        <f t="shared" si="2"/>
        <v>28726.280000000002</v>
      </c>
      <c r="I20" s="322"/>
    </row>
    <row r="21" spans="1:9" s="308" customFormat="1" ht="12.75" customHeight="1" x14ac:dyDescent="0.25">
      <c r="A21" s="317"/>
      <c r="B21" s="318"/>
      <c r="C21" s="327"/>
      <c r="D21" s="320"/>
      <c r="E21" s="320">
        <f t="shared" si="0"/>
        <v>32715.96</v>
      </c>
      <c r="F21" s="321"/>
      <c r="G21" s="321">
        <f t="shared" si="1"/>
        <v>3989.6799999999994</v>
      </c>
      <c r="H21" s="321">
        <f t="shared" si="2"/>
        <v>28726.280000000002</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32715.96</v>
      </c>
      <c r="E23" s="184"/>
      <c r="F23" s="184">
        <f>SUM(F9:F22)</f>
        <v>3989.6799999999994</v>
      </c>
      <c r="G23" s="184"/>
      <c r="H23" s="184">
        <f>D23-F23</f>
        <v>28726.28</v>
      </c>
      <c r="I23" s="322"/>
    </row>
    <row r="24" spans="1:9" s="308" customFormat="1" ht="12.75" customHeight="1" thickTop="1" x14ac:dyDescent="0.25"/>
    <row r="25" spans="1:9" s="308" customFormat="1" ht="12.75" customHeight="1" x14ac:dyDescent="0.25"/>
    <row r="26" spans="1:9" s="308" customFormat="1" ht="12.75" customHeight="1" x14ac:dyDescent="0.25">
      <c r="B26" s="324"/>
      <c r="C26" s="328" t="s">
        <v>463</v>
      </c>
      <c r="D26" s="321">
        <v>32699.96</v>
      </c>
      <c r="E26" s="321"/>
      <c r="F26" s="321">
        <f>2399.41+370.78+584.48+635.01</f>
        <v>3989.6799999999994</v>
      </c>
      <c r="G26" s="321"/>
      <c r="H26" s="321">
        <f>D26-F26</f>
        <v>28710.28</v>
      </c>
    </row>
    <row r="27" spans="1:9" s="308" customFormat="1" ht="12.75" customHeight="1" x14ac:dyDescent="0.25">
      <c r="B27" s="324"/>
      <c r="C27" s="328" t="s">
        <v>253</v>
      </c>
      <c r="D27" s="321">
        <v>16</v>
      </c>
      <c r="E27" s="185"/>
      <c r="F27" s="185"/>
      <c r="G27" s="185"/>
      <c r="H27" s="321">
        <f>D27-F27</f>
        <v>16</v>
      </c>
    </row>
    <row r="28" spans="1:9" s="308" customFormat="1" ht="12.75" customHeight="1" thickBot="1" x14ac:dyDescent="0.3">
      <c r="B28" s="324"/>
      <c r="C28" s="359" t="s">
        <v>157</v>
      </c>
      <c r="D28" s="360">
        <f>SUM(D26:D27)</f>
        <v>32715.96</v>
      </c>
      <c r="E28" s="326"/>
      <c r="F28" s="360">
        <f>SUM(F26:F27)</f>
        <v>3989.6799999999994</v>
      </c>
      <c r="G28" s="326"/>
      <c r="H28" s="360">
        <f>SUM(H26:H27)</f>
        <v>28726.28</v>
      </c>
    </row>
    <row r="29" spans="1:9" s="308" customFormat="1" ht="12.75" customHeight="1" thickTop="1" x14ac:dyDescent="0.25"/>
  </sheetData>
  <conditionalFormatting sqref="I9:I23">
    <cfRule type="cellIs" dxfId="25"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6BE1-9A13-4099-A3B6-10B157C7DF2C}">
  <sheetPr codeName="Sheet47">
    <pageSetUpPr fitToPage="1"/>
  </sheetPr>
  <dimension ref="A1:I29"/>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bestFit="1" customWidth="1"/>
    <col min="9" max="9"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#9482.00'!B1</f>
        <v>IDB - Chiller Replacement</v>
      </c>
      <c r="B1" s="86"/>
      <c r="C1" s="6"/>
      <c r="D1" s="6"/>
      <c r="E1" s="6"/>
      <c r="F1" s="132"/>
      <c r="G1" s="132"/>
      <c r="H1" s="133"/>
      <c r="I1" s="133"/>
    </row>
    <row r="2" spans="1:9" ht="15.75" x14ac:dyDescent="0.25">
      <c r="A2" s="88" t="str">
        <f>'RECAP #9482.00'!B2</f>
        <v>Project # 9482.00</v>
      </c>
      <c r="B2" s="87"/>
      <c r="C2" s="6"/>
      <c r="D2" s="6"/>
      <c r="E2" s="6"/>
      <c r="F2" s="132"/>
      <c r="G2" s="132"/>
      <c r="H2" s="133"/>
      <c r="I2" s="133"/>
    </row>
    <row r="3" spans="1:9" ht="15.75" x14ac:dyDescent="0.25">
      <c r="A3" s="89" t="str">
        <f>'RECAP #9482.00'!B3</f>
        <v>Program code 948200</v>
      </c>
      <c r="B3" s="87"/>
      <c r="C3" s="6"/>
      <c r="D3" s="90" t="str">
        <f>'RECAP #9482.00'!E3</f>
        <v>Major Program 4F09</v>
      </c>
      <c r="E3" s="6"/>
      <c r="F3" s="132"/>
      <c r="G3" s="132"/>
      <c r="H3" s="133"/>
      <c r="I3" s="133"/>
    </row>
    <row r="4" spans="1:9" ht="15.75" x14ac:dyDescent="0.25">
      <c r="A4" s="116" t="s">
        <v>564</v>
      </c>
      <c r="B4" s="134"/>
      <c r="C4" s="135"/>
      <c r="D4" s="136" t="s">
        <v>565</v>
      </c>
      <c r="E4" s="132"/>
      <c r="F4" s="132"/>
      <c r="G4" s="132"/>
      <c r="H4" s="133"/>
      <c r="I4" s="133"/>
    </row>
    <row r="5" spans="1:9" ht="15.75" x14ac:dyDescent="0.25">
      <c r="A5" s="137" t="s">
        <v>147</v>
      </c>
      <c r="B5" s="138"/>
      <c r="C5" s="139"/>
      <c r="D5" s="140" t="s">
        <v>566</v>
      </c>
      <c r="E5" s="141"/>
      <c r="F5" s="142"/>
      <c r="G5" s="142"/>
      <c r="H5" s="138"/>
      <c r="I5" s="133"/>
    </row>
    <row r="6" spans="1:9" ht="15.75" x14ac:dyDescent="0.25">
      <c r="A6" s="93" t="str">
        <f>'RECAP #9482.00'!B6</f>
        <v>Project Manager - James T</v>
      </c>
      <c r="B6" s="93"/>
      <c r="C6" s="143"/>
      <c r="D6" s="144" t="s">
        <v>156</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92" t="s">
        <v>297</v>
      </c>
    </row>
    <row r="9" spans="1:9" s="308" customFormat="1" ht="12.75" customHeight="1" x14ac:dyDescent="0.25">
      <c r="A9" s="317" t="s">
        <v>567</v>
      </c>
      <c r="B9" s="318">
        <v>46097</v>
      </c>
      <c r="C9" s="324" t="s">
        <v>146</v>
      </c>
      <c r="D9" s="319">
        <v>419975</v>
      </c>
      <c r="E9" s="320">
        <f>D9</f>
        <v>419975</v>
      </c>
      <c r="F9" s="321"/>
      <c r="G9" s="321"/>
      <c r="H9" s="321">
        <f>E9</f>
        <v>419975</v>
      </c>
      <c r="I9" s="322"/>
    </row>
    <row r="10" spans="1:9" s="308" customFormat="1" ht="12.75" customHeight="1" x14ac:dyDescent="0.25">
      <c r="A10" s="317" t="s">
        <v>598</v>
      </c>
      <c r="B10" s="323">
        <v>46108</v>
      </c>
      <c r="C10" s="324" t="s">
        <v>599</v>
      </c>
      <c r="D10" s="320"/>
      <c r="E10" s="320">
        <f t="shared" ref="E10:E21" si="0">E9+D10</f>
        <v>419975</v>
      </c>
      <c r="F10" s="325">
        <v>4074</v>
      </c>
      <c r="G10" s="321">
        <f t="shared" ref="G10:G21" si="1">G9+F10</f>
        <v>4074</v>
      </c>
      <c r="H10" s="321">
        <f t="shared" ref="H10:H21" si="2">H9-F10+D10</f>
        <v>415901</v>
      </c>
      <c r="I10" s="413">
        <v>126</v>
      </c>
    </row>
    <row r="11" spans="1:9" s="308" customFormat="1" ht="12.75" customHeight="1" x14ac:dyDescent="0.25">
      <c r="A11" s="317"/>
      <c r="B11" s="318"/>
      <c r="C11" s="324"/>
      <c r="D11" s="320"/>
      <c r="E11" s="320">
        <f t="shared" si="0"/>
        <v>419975</v>
      </c>
      <c r="F11" s="325"/>
      <c r="G11" s="321">
        <f t="shared" si="1"/>
        <v>4074</v>
      </c>
      <c r="H11" s="321">
        <f t="shared" si="2"/>
        <v>415901</v>
      </c>
      <c r="I11" s="413"/>
    </row>
    <row r="12" spans="1:9" s="308" customFormat="1" ht="12.75" customHeight="1" x14ac:dyDescent="0.25">
      <c r="A12" s="317"/>
      <c r="B12" s="318"/>
      <c r="C12" s="324"/>
      <c r="D12" s="320"/>
      <c r="E12" s="320">
        <f t="shared" si="0"/>
        <v>419975</v>
      </c>
      <c r="F12" s="325"/>
      <c r="G12" s="321">
        <f t="shared" si="1"/>
        <v>4074</v>
      </c>
      <c r="H12" s="321">
        <f t="shared" si="2"/>
        <v>415901</v>
      </c>
      <c r="I12" s="413"/>
    </row>
    <row r="13" spans="1:9" s="308" customFormat="1" ht="12.75" customHeight="1" x14ac:dyDescent="0.25">
      <c r="A13" s="317"/>
      <c r="B13" s="318"/>
      <c r="C13" s="324"/>
      <c r="D13" s="320"/>
      <c r="E13" s="320">
        <f t="shared" si="0"/>
        <v>419975</v>
      </c>
      <c r="F13" s="325"/>
      <c r="G13" s="321">
        <f t="shared" si="1"/>
        <v>4074</v>
      </c>
      <c r="H13" s="321">
        <f t="shared" si="2"/>
        <v>415901</v>
      </c>
      <c r="I13" s="413"/>
    </row>
    <row r="14" spans="1:9" s="308" customFormat="1" ht="12.75" customHeight="1" x14ac:dyDescent="0.25">
      <c r="A14" s="317"/>
      <c r="B14" s="318"/>
      <c r="C14" s="324"/>
      <c r="D14" s="320"/>
      <c r="E14" s="320">
        <f t="shared" si="0"/>
        <v>419975</v>
      </c>
      <c r="F14" s="325"/>
      <c r="G14" s="321">
        <f t="shared" si="1"/>
        <v>4074</v>
      </c>
      <c r="H14" s="321">
        <f t="shared" si="2"/>
        <v>415901</v>
      </c>
      <c r="I14" s="413"/>
    </row>
    <row r="15" spans="1:9" s="308" customFormat="1" ht="12.75" customHeight="1" x14ac:dyDescent="0.25">
      <c r="A15" s="317"/>
      <c r="B15" s="318"/>
      <c r="C15" s="324"/>
      <c r="D15" s="320"/>
      <c r="E15" s="320">
        <f t="shared" si="0"/>
        <v>419975</v>
      </c>
      <c r="F15" s="326"/>
      <c r="G15" s="321">
        <f t="shared" si="1"/>
        <v>4074</v>
      </c>
      <c r="H15" s="321">
        <f t="shared" si="2"/>
        <v>415901</v>
      </c>
      <c r="I15" s="413"/>
    </row>
    <row r="16" spans="1:9" s="308" customFormat="1" ht="12.75" customHeight="1" x14ac:dyDescent="0.25">
      <c r="A16" s="317"/>
      <c r="B16" s="318"/>
      <c r="C16" s="324"/>
      <c r="D16" s="320"/>
      <c r="E16" s="320">
        <f t="shared" si="0"/>
        <v>419975</v>
      </c>
      <c r="F16" s="326"/>
      <c r="G16" s="321">
        <f t="shared" si="1"/>
        <v>4074</v>
      </c>
      <c r="H16" s="321">
        <f t="shared" si="2"/>
        <v>415901</v>
      </c>
      <c r="I16" s="413"/>
    </row>
    <row r="17" spans="1:9" s="308" customFormat="1" ht="12.75" customHeight="1" x14ac:dyDescent="0.25">
      <c r="A17" s="317"/>
      <c r="B17" s="318"/>
      <c r="C17" s="324"/>
      <c r="D17" s="320"/>
      <c r="E17" s="320">
        <f t="shared" si="0"/>
        <v>419975</v>
      </c>
      <c r="F17" s="326"/>
      <c r="G17" s="321">
        <f t="shared" si="1"/>
        <v>4074</v>
      </c>
      <c r="H17" s="321">
        <f t="shared" si="2"/>
        <v>415901</v>
      </c>
      <c r="I17" s="413"/>
    </row>
    <row r="18" spans="1:9" s="308" customFormat="1" ht="12.75" customHeight="1" x14ac:dyDescent="0.25">
      <c r="A18" s="317"/>
      <c r="B18" s="318"/>
      <c r="C18" s="324"/>
      <c r="D18" s="320"/>
      <c r="E18" s="320">
        <f t="shared" si="0"/>
        <v>419975</v>
      </c>
      <c r="F18" s="326"/>
      <c r="G18" s="321">
        <f t="shared" si="1"/>
        <v>4074</v>
      </c>
      <c r="H18" s="321">
        <f t="shared" si="2"/>
        <v>415901</v>
      </c>
      <c r="I18" s="413"/>
    </row>
    <row r="19" spans="1:9" s="308" customFormat="1" ht="12.75" customHeight="1" x14ac:dyDescent="0.25">
      <c r="A19" s="317"/>
      <c r="B19" s="318"/>
      <c r="C19" s="324"/>
      <c r="D19" s="320"/>
      <c r="E19" s="320">
        <f t="shared" si="0"/>
        <v>419975</v>
      </c>
      <c r="F19" s="321"/>
      <c r="G19" s="321">
        <f t="shared" si="1"/>
        <v>4074</v>
      </c>
      <c r="H19" s="321">
        <f t="shared" si="2"/>
        <v>415901</v>
      </c>
      <c r="I19" s="413"/>
    </row>
    <row r="20" spans="1:9" s="308" customFormat="1" ht="12.75" customHeight="1" x14ac:dyDescent="0.25">
      <c r="A20" s="317"/>
      <c r="B20" s="318"/>
      <c r="C20" s="324"/>
      <c r="D20" s="320"/>
      <c r="E20" s="320">
        <f t="shared" si="0"/>
        <v>419975</v>
      </c>
      <c r="F20" s="321"/>
      <c r="G20" s="321">
        <f t="shared" si="1"/>
        <v>4074</v>
      </c>
      <c r="H20" s="321">
        <f t="shared" si="2"/>
        <v>415901</v>
      </c>
      <c r="I20" s="413"/>
    </row>
    <row r="21" spans="1:9" s="308" customFormat="1" ht="12.75" customHeight="1" x14ac:dyDescent="0.25">
      <c r="A21" s="317"/>
      <c r="B21" s="318"/>
      <c r="C21" s="327"/>
      <c r="D21" s="320"/>
      <c r="E21" s="320">
        <f t="shared" si="0"/>
        <v>419975</v>
      </c>
      <c r="F21" s="321"/>
      <c r="G21" s="321">
        <f t="shared" si="1"/>
        <v>4074</v>
      </c>
      <c r="H21" s="321">
        <f t="shared" si="2"/>
        <v>415901</v>
      </c>
      <c r="I21" s="413"/>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419975</v>
      </c>
      <c r="E23" s="184"/>
      <c r="F23" s="184">
        <f>SUM(F9:F22)</f>
        <v>4074</v>
      </c>
      <c r="G23" s="184"/>
      <c r="H23" s="184">
        <f>D23-F23</f>
        <v>415901</v>
      </c>
      <c r="I23" s="322"/>
    </row>
    <row r="24" spans="1:9" s="308" customFormat="1" ht="12.75" customHeight="1" thickTop="1" x14ac:dyDescent="0.25"/>
    <row r="25" spans="1:9" s="308" customFormat="1" ht="12.75" customHeight="1" x14ac:dyDescent="0.25"/>
    <row r="26" spans="1:9" s="308" customFormat="1" ht="12.75" customHeight="1" x14ac:dyDescent="0.25">
      <c r="B26" s="324"/>
      <c r="C26" s="328"/>
      <c r="D26" s="321"/>
      <c r="E26" s="321"/>
      <c r="F26" s="321"/>
      <c r="G26" s="321"/>
      <c r="H26" s="321"/>
    </row>
    <row r="27" spans="1:9" s="308" customFormat="1" ht="12.75" customHeight="1" x14ac:dyDescent="0.25">
      <c r="B27" s="324"/>
      <c r="C27" s="328"/>
      <c r="D27" s="321"/>
      <c r="E27" s="185"/>
      <c r="F27" s="185"/>
      <c r="G27" s="185"/>
      <c r="H27" s="321"/>
    </row>
    <row r="28" spans="1:9" s="308" customFormat="1" ht="12.75" customHeight="1" x14ac:dyDescent="0.25">
      <c r="B28" s="324"/>
      <c r="C28" s="359"/>
      <c r="D28" s="411"/>
      <c r="E28" s="326"/>
      <c r="F28" s="411"/>
      <c r="G28" s="326"/>
      <c r="H28" s="411"/>
    </row>
    <row r="29" spans="1:9" s="308" customFormat="1" ht="12.75" customHeight="1" x14ac:dyDescent="0.25"/>
  </sheetData>
  <conditionalFormatting sqref="I9:I23">
    <cfRule type="cellIs" dxfId="24"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2DC6-4543-4698-8AA2-E07EF5E9EF6D}">
  <sheetPr codeName="Sheet48">
    <tabColor rgb="FF0070C0"/>
    <pageSetUpPr fitToPage="1"/>
  </sheetPr>
  <dimension ref="A1:G19"/>
  <sheetViews>
    <sheetView zoomScaleNormal="100" workbookViewId="0">
      <selection activeCell="E5" sqref="E5:F5"/>
    </sheetView>
  </sheetViews>
  <sheetFormatPr defaultColWidth="11.42578125" defaultRowHeight="15" customHeight="1" x14ac:dyDescent="0.25"/>
  <cols>
    <col min="1" max="1" width="3.5703125" style="267" customWidth="1"/>
    <col min="2" max="2" width="25" style="267" customWidth="1"/>
    <col min="3" max="3" width="21.5703125" style="267" customWidth="1"/>
    <col min="4" max="4" width="17" style="267" customWidth="1"/>
    <col min="5" max="5" width="13.42578125" style="267" bestFit="1" customWidth="1"/>
    <col min="6" max="6" width="16.42578125" style="267" customWidth="1"/>
    <col min="7" max="7" width="16.42578125" style="267" bestFit="1" customWidth="1"/>
    <col min="8" max="256" width="11.42578125" style="267"/>
    <col min="257" max="263" width="11.42578125" style="267" customWidth="1"/>
    <col min="264" max="512" width="11.42578125" style="267"/>
    <col min="513" max="519" width="11.42578125" style="267" customWidth="1"/>
    <col min="520" max="768" width="11.42578125" style="267"/>
    <col min="769" max="775" width="11.42578125" style="267" customWidth="1"/>
    <col min="776" max="1024" width="11.42578125" style="267"/>
    <col min="1025" max="1031" width="11.42578125" style="267" customWidth="1"/>
    <col min="1032" max="1280" width="11.42578125" style="267"/>
    <col min="1281" max="1287" width="11.42578125" style="267" customWidth="1"/>
    <col min="1288" max="1536" width="11.42578125" style="267"/>
    <col min="1537" max="1543" width="11.42578125" style="267" customWidth="1"/>
    <col min="1544" max="1792" width="11.42578125" style="267"/>
    <col min="1793" max="1799" width="11.42578125" style="267" customWidth="1"/>
    <col min="1800" max="2048" width="11.42578125" style="267"/>
    <col min="2049" max="2055" width="11.42578125" style="267" customWidth="1"/>
    <col min="2056" max="2304" width="11.42578125" style="267"/>
    <col min="2305" max="2311" width="11.42578125" style="267" customWidth="1"/>
    <col min="2312" max="2560" width="11.42578125" style="267"/>
    <col min="2561" max="2567" width="11.42578125" style="267" customWidth="1"/>
    <col min="2568" max="2816" width="11.42578125" style="267"/>
    <col min="2817" max="2823" width="11.42578125" style="267" customWidth="1"/>
    <col min="2824" max="3072" width="11.42578125" style="267"/>
    <col min="3073" max="3079" width="11.42578125" style="267" customWidth="1"/>
    <col min="3080" max="3328" width="11.42578125" style="267"/>
    <col min="3329" max="3335" width="11.42578125" style="267" customWidth="1"/>
    <col min="3336" max="3584" width="11.42578125" style="267"/>
    <col min="3585" max="3591" width="11.42578125" style="267" customWidth="1"/>
    <col min="3592" max="3840" width="11.42578125" style="267"/>
    <col min="3841" max="3847" width="11.42578125" style="267" customWidth="1"/>
    <col min="3848" max="4096" width="11.42578125" style="267"/>
    <col min="4097" max="4103" width="11.42578125" style="267" customWidth="1"/>
    <col min="4104" max="4352" width="11.42578125" style="267"/>
    <col min="4353" max="4359" width="11.42578125" style="267" customWidth="1"/>
    <col min="4360" max="4608" width="11.42578125" style="267"/>
    <col min="4609" max="4615" width="11.42578125" style="267" customWidth="1"/>
    <col min="4616" max="4864" width="11.42578125" style="267"/>
    <col min="4865" max="4871" width="11.42578125" style="267" customWidth="1"/>
    <col min="4872" max="5120" width="11.42578125" style="267"/>
    <col min="5121" max="5127" width="11.42578125" style="267" customWidth="1"/>
    <col min="5128" max="5376" width="11.42578125" style="267"/>
    <col min="5377" max="5383" width="11.42578125" style="267" customWidth="1"/>
    <col min="5384" max="5632" width="11.42578125" style="267"/>
    <col min="5633" max="5639" width="11.42578125" style="267" customWidth="1"/>
    <col min="5640" max="5888" width="11.42578125" style="267"/>
    <col min="5889" max="5895" width="11.42578125" style="267" customWidth="1"/>
    <col min="5896" max="6144" width="11.42578125" style="267"/>
    <col min="6145" max="6151" width="11.42578125" style="267" customWidth="1"/>
    <col min="6152" max="6400" width="11.42578125" style="267"/>
    <col min="6401" max="6407" width="11.42578125" style="267" customWidth="1"/>
    <col min="6408" max="6656" width="11.42578125" style="267"/>
    <col min="6657" max="6663" width="11.42578125" style="267" customWidth="1"/>
    <col min="6664" max="6912" width="11.42578125" style="267"/>
    <col min="6913" max="6919" width="11.42578125" style="267" customWidth="1"/>
    <col min="6920" max="7168" width="11.42578125" style="267"/>
    <col min="7169" max="7175" width="11.42578125" style="267" customWidth="1"/>
    <col min="7176" max="7424" width="11.42578125" style="267"/>
    <col min="7425" max="7431" width="11.42578125" style="267" customWidth="1"/>
    <col min="7432" max="7680" width="11.42578125" style="267"/>
    <col min="7681" max="7687" width="11.42578125" style="267" customWidth="1"/>
    <col min="7688" max="7936" width="11.42578125" style="267"/>
    <col min="7937" max="7943" width="11.42578125" style="267" customWidth="1"/>
    <col min="7944" max="8192" width="11.42578125" style="267"/>
    <col min="8193" max="8199" width="11.42578125" style="267" customWidth="1"/>
    <col min="8200" max="8448" width="11.42578125" style="267"/>
    <col min="8449" max="8455" width="11.42578125" style="267" customWidth="1"/>
    <col min="8456" max="8704" width="11.42578125" style="267"/>
    <col min="8705" max="8711" width="11.42578125" style="267" customWidth="1"/>
    <col min="8712" max="8960" width="11.42578125" style="267"/>
    <col min="8961" max="8967" width="11.42578125" style="267" customWidth="1"/>
    <col min="8968" max="9216" width="11.42578125" style="267"/>
    <col min="9217" max="9223" width="11.42578125" style="267" customWidth="1"/>
    <col min="9224" max="9472" width="11.42578125" style="267"/>
    <col min="9473" max="9479" width="11.42578125" style="267" customWidth="1"/>
    <col min="9480" max="9728" width="11.42578125" style="267"/>
    <col min="9729" max="9735" width="11.42578125" style="267" customWidth="1"/>
    <col min="9736" max="9984" width="11.42578125" style="267"/>
    <col min="9985" max="9991" width="11.42578125" style="267" customWidth="1"/>
    <col min="9992" max="10240" width="11.42578125" style="267"/>
    <col min="10241" max="10247" width="11.42578125" style="267" customWidth="1"/>
    <col min="10248" max="10496" width="11.42578125" style="267"/>
    <col min="10497" max="10503" width="11.42578125" style="267" customWidth="1"/>
    <col min="10504" max="10752" width="11.42578125" style="267"/>
    <col min="10753" max="10759" width="11.42578125" style="267" customWidth="1"/>
    <col min="10760" max="11008" width="11.42578125" style="267"/>
    <col min="11009" max="11015" width="11.42578125" style="267" customWidth="1"/>
    <col min="11016" max="11264" width="11.42578125" style="267"/>
    <col min="11265" max="11271" width="11.42578125" style="267" customWidth="1"/>
    <col min="11272" max="11520" width="11.42578125" style="267"/>
    <col min="11521" max="11527" width="11.42578125" style="267" customWidth="1"/>
    <col min="11528" max="11776" width="11.42578125" style="267"/>
    <col min="11777" max="11783" width="11.42578125" style="267" customWidth="1"/>
    <col min="11784" max="12032" width="11.42578125" style="267"/>
    <col min="12033" max="12039" width="11.42578125" style="267" customWidth="1"/>
    <col min="12040" max="12288" width="11.42578125" style="267"/>
    <col min="12289" max="12295" width="11.42578125" style="267" customWidth="1"/>
    <col min="12296" max="12544" width="11.42578125" style="267"/>
    <col min="12545" max="12551" width="11.42578125" style="267" customWidth="1"/>
    <col min="12552" max="12800" width="11.42578125" style="267"/>
    <col min="12801" max="12807" width="11.42578125" style="267" customWidth="1"/>
    <col min="12808" max="13056" width="11.42578125" style="267"/>
    <col min="13057" max="13063" width="11.42578125" style="267" customWidth="1"/>
    <col min="13064" max="13312" width="11.42578125" style="267"/>
    <col min="13313" max="13319" width="11.42578125" style="267" customWidth="1"/>
    <col min="13320" max="13568" width="11.42578125" style="267"/>
    <col min="13569" max="13575" width="11.42578125" style="267" customWidth="1"/>
    <col min="13576" max="13824" width="11.42578125" style="267"/>
    <col min="13825" max="13831" width="11.42578125" style="267" customWidth="1"/>
    <col min="13832" max="14080" width="11.42578125" style="267"/>
    <col min="14081" max="14087" width="11.42578125" style="267" customWidth="1"/>
    <col min="14088" max="14336" width="11.42578125" style="267"/>
    <col min="14337" max="14343" width="11.42578125" style="267" customWidth="1"/>
    <col min="14344" max="14592" width="11.42578125" style="267"/>
    <col min="14593" max="14599" width="11.42578125" style="267" customWidth="1"/>
    <col min="14600" max="14848" width="11.42578125" style="267"/>
    <col min="14849" max="14855" width="11.42578125" style="267" customWidth="1"/>
    <col min="14856" max="15104" width="11.42578125" style="267"/>
    <col min="15105" max="15111" width="11.42578125" style="267" customWidth="1"/>
    <col min="15112" max="15360" width="11.42578125" style="267"/>
    <col min="15361" max="15367" width="11.42578125" style="267" customWidth="1"/>
    <col min="15368" max="15616" width="11.42578125" style="267"/>
    <col min="15617" max="15623" width="11.42578125" style="267" customWidth="1"/>
    <col min="15624" max="15872" width="11.42578125" style="267"/>
    <col min="15873" max="15879" width="11.42578125" style="267" customWidth="1"/>
    <col min="15880" max="16128" width="11.42578125" style="267"/>
    <col min="16129" max="16135" width="11.42578125" style="267" customWidth="1"/>
    <col min="16136" max="16384" width="11.42578125" style="267"/>
  </cols>
  <sheetData>
    <row r="1" spans="1:7" ht="15.75" x14ac:dyDescent="0.25">
      <c r="A1" s="234"/>
      <c r="B1" s="116" t="s">
        <v>82</v>
      </c>
      <c r="C1" s="116"/>
      <c r="D1" s="193"/>
      <c r="E1" s="193"/>
      <c r="F1" s="193"/>
      <c r="G1" s="193"/>
    </row>
    <row r="2" spans="1:7" ht="15.75" x14ac:dyDescent="0.25">
      <c r="A2" s="234"/>
      <c r="B2" s="134" t="s">
        <v>86</v>
      </c>
      <c r="C2" s="196"/>
      <c r="D2" s="193"/>
      <c r="E2" s="193"/>
      <c r="F2" s="193"/>
      <c r="G2" s="193"/>
    </row>
    <row r="3" spans="1:7" ht="15.75" x14ac:dyDescent="0.25">
      <c r="A3" s="234"/>
      <c r="B3" s="197" t="s">
        <v>87</v>
      </c>
      <c r="C3" s="196"/>
      <c r="D3" s="193"/>
      <c r="E3" s="198" t="s">
        <v>90</v>
      </c>
      <c r="F3" s="193"/>
      <c r="G3" s="193"/>
    </row>
    <row r="4" spans="1:7" ht="15.75" x14ac:dyDescent="0.25">
      <c r="A4" s="234"/>
      <c r="B4" s="194" t="s">
        <v>36</v>
      </c>
      <c r="C4" s="235" t="s">
        <v>3</v>
      </c>
      <c r="D4" s="193"/>
      <c r="E4" s="193"/>
      <c r="F4" s="193"/>
      <c r="G4" s="193"/>
    </row>
    <row r="5" spans="1:7" ht="15.75" x14ac:dyDescent="0.25">
      <c r="A5" s="234"/>
      <c r="B5" s="134" t="s">
        <v>63</v>
      </c>
      <c r="C5" s="196"/>
      <c r="D5" s="193"/>
      <c r="E5" s="237" t="s">
        <v>1053</v>
      </c>
      <c r="F5" s="489">
        <v>46163</v>
      </c>
      <c r="G5" s="193"/>
    </row>
    <row r="6" spans="1:7" ht="15.75" x14ac:dyDescent="0.25">
      <c r="A6" s="234"/>
      <c r="B6" s="134" t="s">
        <v>78</v>
      </c>
      <c r="C6" s="236"/>
      <c r="D6" s="237" t="s">
        <v>3</v>
      </c>
      <c r="E6" s="193"/>
      <c r="F6" s="193"/>
      <c r="G6" s="193"/>
    </row>
    <row r="7" spans="1:7" ht="35.25" customHeight="1" thickBot="1" x14ac:dyDescent="0.3">
      <c r="A7" s="234"/>
      <c r="B7" s="238" t="s">
        <v>3</v>
      </c>
      <c r="C7" s="239" t="s">
        <v>0</v>
      </c>
      <c r="D7" s="240" t="s">
        <v>1</v>
      </c>
      <c r="E7" s="241" t="s">
        <v>2</v>
      </c>
      <c r="F7" s="242" t="s">
        <v>37</v>
      </c>
      <c r="G7" s="242" t="s">
        <v>38</v>
      </c>
    </row>
    <row r="8" spans="1:7" ht="28.35" customHeight="1" x14ac:dyDescent="0.25">
      <c r="A8" s="234"/>
      <c r="B8" s="196" t="s">
        <v>39</v>
      </c>
      <c r="C8" s="243">
        <f>'#9486.00 Funds Rec''d'!H24</f>
        <v>918852.06</v>
      </c>
      <c r="D8" s="244"/>
      <c r="E8" s="244"/>
      <c r="F8" s="244"/>
      <c r="G8" s="245"/>
    </row>
    <row r="9" spans="1:7" s="389" customFormat="1" ht="12.75" customHeight="1" x14ac:dyDescent="0.25">
      <c r="A9" s="381"/>
      <c r="B9" s="426"/>
      <c r="C9" s="427"/>
      <c r="D9" s="428"/>
      <c r="E9" s="428"/>
      <c r="F9" s="428"/>
      <c r="G9" s="429"/>
    </row>
    <row r="10" spans="1:7" s="389" customFormat="1" ht="12.75" customHeight="1" x14ac:dyDescent="0.25">
      <c r="A10" s="381" t="s">
        <v>325</v>
      </c>
      <c r="B10" s="426" t="s">
        <v>197</v>
      </c>
      <c r="C10" s="427"/>
      <c r="D10" s="430">
        <f>'#9486.00 DCI Group'!D23</f>
        <v>5949.11</v>
      </c>
      <c r="E10" s="430">
        <f>'#9486.00 DCI Group'!F23</f>
        <v>5949.1100000000006</v>
      </c>
      <c r="F10" s="430">
        <f>'#9486.00 DCI Group'!H23</f>
        <v>0</v>
      </c>
      <c r="G10" s="429"/>
    </row>
    <row r="11" spans="1:7" s="389" customFormat="1" ht="12.75" customHeight="1" x14ac:dyDescent="0.25">
      <c r="A11" s="381" t="s">
        <v>325</v>
      </c>
      <c r="B11" s="426" t="s">
        <v>41</v>
      </c>
      <c r="C11" s="427"/>
      <c r="D11" s="430">
        <f>'#9486.00 PM TIME'!E32</f>
        <v>7609.51</v>
      </c>
      <c r="E11" s="430">
        <f>'#9486.00 PM TIME'!G32</f>
        <v>7609.5099999999993</v>
      </c>
      <c r="F11" s="430">
        <f>'#9486.00 PM TIME'!I32</f>
        <v>0</v>
      </c>
      <c r="G11" s="429"/>
    </row>
    <row r="12" spans="1:7" s="389" customFormat="1" ht="12.75" customHeight="1" x14ac:dyDescent="0.25">
      <c r="A12" s="381" t="s">
        <v>325</v>
      </c>
      <c r="B12" s="426" t="s">
        <v>42</v>
      </c>
      <c r="C12" s="428"/>
      <c r="D12" s="431">
        <f>'#9486.00 Misc'!G22</f>
        <v>0</v>
      </c>
      <c r="E12" s="431">
        <f>'#9486.00 Misc'!G22</f>
        <v>0</v>
      </c>
      <c r="F12" s="430">
        <f>D12-E12</f>
        <v>0</v>
      </c>
      <c r="G12" s="429"/>
    </row>
    <row r="13" spans="1:7" s="389" customFormat="1" ht="12.75" customHeight="1" x14ac:dyDescent="0.25">
      <c r="A13" s="381" t="s">
        <v>325</v>
      </c>
      <c r="B13" s="426" t="s">
        <v>259</v>
      </c>
      <c r="C13" s="428"/>
      <c r="D13" s="431">
        <f>'#9486.00 Ralph N Smith Flooring'!D23</f>
        <v>826985</v>
      </c>
      <c r="E13" s="431">
        <f>'#9486.00 Ralph N Smith Flooring'!F23</f>
        <v>826985</v>
      </c>
      <c r="F13" s="430">
        <f>'#9486.00 Ralph N Smith Flooring'!H23</f>
        <v>0</v>
      </c>
      <c r="G13" s="429"/>
    </row>
    <row r="14" spans="1:7" s="389" customFormat="1" ht="12.75" customHeight="1" x14ac:dyDescent="0.25">
      <c r="A14" s="381" t="s">
        <v>325</v>
      </c>
      <c r="B14" s="426" t="s">
        <v>338</v>
      </c>
      <c r="C14" s="428"/>
      <c r="D14" s="431">
        <f>'#9486.00 DCI Group (2)'!D23</f>
        <v>78308.44</v>
      </c>
      <c r="E14" s="431">
        <f>'#9486.00 DCI Group (2)'!F23</f>
        <v>78308.44</v>
      </c>
      <c r="F14" s="430">
        <f>'#9486.00 DCI Group (2)'!H23</f>
        <v>0</v>
      </c>
      <c r="G14" s="429"/>
    </row>
    <row r="15" spans="1:7" s="389" customFormat="1" ht="12.75" customHeight="1" x14ac:dyDescent="0.25">
      <c r="A15" s="381"/>
      <c r="B15" s="426"/>
      <c r="C15" s="428"/>
      <c r="D15" s="431"/>
      <c r="E15" s="431"/>
      <c r="F15" s="430"/>
      <c r="G15" s="429"/>
    </row>
    <row r="16" spans="1:7" ht="24" customHeight="1" thickBot="1" x14ac:dyDescent="0.3">
      <c r="A16" s="249"/>
      <c r="B16" s="250" t="s">
        <v>43</v>
      </c>
      <c r="C16" s="251">
        <f>SUM(C8:C15)</f>
        <v>918852.06</v>
      </c>
      <c r="D16" s="251">
        <f>SUM(D8:D15)</f>
        <v>918852.06</v>
      </c>
      <c r="E16" s="251">
        <f>SUM(E8:E15)</f>
        <v>918852.06</v>
      </c>
      <c r="F16" s="251">
        <f>SUM(D16-E16)</f>
        <v>0</v>
      </c>
      <c r="G16" s="251">
        <f>C8-D16</f>
        <v>0</v>
      </c>
    </row>
    <row r="17" spans="2:2" ht="15" customHeight="1" thickTop="1" x14ac:dyDescent="0.25"/>
    <row r="19" spans="2:2" ht="15" customHeight="1" x14ac:dyDescent="0.25">
      <c r="B19" s="425"/>
    </row>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E2D42-1925-4A5F-B5BB-978D6759D45B}">
  <sheetPr codeName="Sheet49">
    <tabColor rgb="FF0070C0"/>
    <pageSetUpPr fitToPage="1"/>
  </sheetPr>
  <dimension ref="A1:H31"/>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33.28515625" customWidth="1"/>
    <col min="5" max="5" width="18.140625" customWidth="1"/>
    <col min="6" max="6" width="10.42578125" bestFit="1" customWidth="1"/>
    <col min="7" max="7" width="14" bestFit="1" customWidth="1"/>
    <col min="8" max="8" width="17.14062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#9486.00'!B1</f>
        <v>DVA IVH Fox and Ulery Carpet Replacement</v>
      </c>
      <c r="B1" s="7"/>
      <c r="C1" s="2"/>
      <c r="D1" s="3"/>
      <c r="E1" s="3"/>
      <c r="F1" s="7"/>
      <c r="G1" s="7"/>
      <c r="H1" s="7"/>
    </row>
    <row r="2" spans="1:8" x14ac:dyDescent="0.25">
      <c r="A2" s="112" t="str">
        <f>'RECAP #9486.00'!B2</f>
        <v>Project # 9486.00</v>
      </c>
      <c r="B2" s="7"/>
      <c r="C2" s="113" t="s">
        <v>3</v>
      </c>
      <c r="D2" s="1"/>
      <c r="E2" s="1"/>
      <c r="F2" s="7"/>
      <c r="G2" s="7"/>
      <c r="H2" s="7"/>
    </row>
    <row r="3" spans="1:8" x14ac:dyDescent="0.25">
      <c r="A3" s="114" t="str">
        <f>'RECAP #9486.00'!B3</f>
        <v>Program code 948600</v>
      </c>
      <c r="B3" s="7"/>
      <c r="C3" s="113" t="s">
        <v>3</v>
      </c>
      <c r="D3" s="115" t="str">
        <f>'RECAP #9486.00'!E3</f>
        <v>Major Program 4B03</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#9486.00'!B6</f>
        <v>Project Manager - Brandon A</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334" t="s">
        <v>98</v>
      </c>
      <c r="F9" s="335">
        <v>45867</v>
      </c>
      <c r="G9" s="405">
        <v>1000000</v>
      </c>
      <c r="H9" s="405">
        <v>1000000</v>
      </c>
    </row>
    <row r="10" spans="1:8" s="308" customFormat="1" ht="12.75" customHeight="1" x14ac:dyDescent="0.25">
      <c r="A10" s="331"/>
      <c r="B10" s="331"/>
      <c r="C10" s="336"/>
      <c r="D10" s="334" t="s">
        <v>709</v>
      </c>
      <c r="E10" s="331" t="s">
        <v>711</v>
      </c>
      <c r="F10" s="331">
        <v>46139</v>
      </c>
      <c r="G10" s="468">
        <v>-25000</v>
      </c>
      <c r="H10" s="468">
        <v>-25000</v>
      </c>
    </row>
    <row r="11" spans="1:8" s="308" customFormat="1" ht="31.5" customHeight="1" x14ac:dyDescent="0.25">
      <c r="A11" s="338"/>
      <c r="B11" s="336"/>
      <c r="C11" s="339"/>
      <c r="D11" s="334" t="s">
        <v>782</v>
      </c>
      <c r="E11" s="331" t="s">
        <v>780</v>
      </c>
      <c r="F11" s="331">
        <v>46163</v>
      </c>
      <c r="G11" s="468">
        <v>-56147.94</v>
      </c>
      <c r="H11" s="468">
        <v>-56147.94</v>
      </c>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s="308" customFormat="1" ht="12.75" customHeight="1" thickBot="1" x14ac:dyDescent="0.3">
      <c r="A24" s="353"/>
      <c r="B24" s="354" t="s">
        <v>9</v>
      </c>
      <c r="C24" s="355">
        <f>SUM(C9:C23)</f>
        <v>0</v>
      </c>
      <c r="D24" s="356" t="s">
        <v>10</v>
      </c>
      <c r="E24" s="357"/>
      <c r="F24" s="358"/>
      <c r="G24" s="184">
        <f>SUM(G9:G23)</f>
        <v>918852.06</v>
      </c>
      <c r="H24" s="184">
        <f>SUM(H9:H23)</f>
        <v>918852.06</v>
      </c>
    </row>
    <row r="25" spans="1:8" s="308" customFormat="1" ht="12.75" customHeight="1" thickTop="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5" customHeight="1" x14ac:dyDescent="0.25"/>
    <row r="30" spans="1:8" s="308" customFormat="1" ht="15" customHeight="1" x14ac:dyDescent="0.25"/>
    <row r="31" spans="1:8" s="308" customFormat="1" ht="15" customHeight="1" x14ac:dyDescent="0.25"/>
  </sheetData>
  <pageMargins left="0.25" right="0.25" top="0.85" bottom="0.75" header="0.08" footer="0.3"/>
  <pageSetup scale="7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1CB1-9125-4D25-93CC-F41C8B1E8683}">
  <sheetPr codeName="Sheet50">
    <tabColor rgb="FF0070C0"/>
    <pageSetUpPr fitToPage="1"/>
  </sheetPr>
  <dimension ref="A1:I35"/>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9" max="9" width="6.5703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116" t="str">
        <f>'RECAP #9486.00'!B1</f>
        <v>DVA IVH Fox and Ulery Carpet Replacement</v>
      </c>
      <c r="B1" s="116"/>
      <c r="C1" s="193"/>
      <c r="D1" s="193"/>
      <c r="E1" s="193"/>
      <c r="F1" s="194"/>
      <c r="G1" s="194"/>
      <c r="H1" s="195"/>
      <c r="I1" s="195"/>
    </row>
    <row r="2" spans="1:9" ht="15.75" x14ac:dyDescent="0.25">
      <c r="A2" s="134" t="str">
        <f>'RECAP #9486.00'!B2</f>
        <v>Project # 9486.00</v>
      </c>
      <c r="B2" s="196"/>
      <c r="C2" s="193"/>
      <c r="D2" s="193"/>
      <c r="E2" s="193"/>
      <c r="F2" s="194"/>
      <c r="G2" s="194"/>
      <c r="H2" s="195"/>
      <c r="I2" s="195"/>
    </row>
    <row r="3" spans="1:9" ht="15.75" x14ac:dyDescent="0.25">
      <c r="A3" s="197" t="str">
        <f>'RECAP #9486.00'!B3</f>
        <v>Program code 948600</v>
      </c>
      <c r="B3" s="196"/>
      <c r="C3" s="193"/>
      <c r="D3" s="198" t="str">
        <f>'RECAP #9486.00'!E3</f>
        <v>Major Program 4B03</v>
      </c>
      <c r="E3" s="193"/>
      <c r="F3" s="194"/>
      <c r="G3" s="194"/>
      <c r="H3" s="195"/>
      <c r="I3" s="195"/>
    </row>
    <row r="4" spans="1:9" ht="15.75" x14ac:dyDescent="0.25">
      <c r="A4" s="116" t="s">
        <v>197</v>
      </c>
      <c r="B4" s="134"/>
      <c r="C4" s="195"/>
      <c r="D4" s="199" t="s">
        <v>198</v>
      </c>
      <c r="E4" s="194"/>
      <c r="F4" s="194"/>
      <c r="G4" s="194"/>
      <c r="H4" s="195"/>
      <c r="I4" s="195"/>
    </row>
    <row r="5" spans="1:9" ht="15.75" x14ac:dyDescent="0.25">
      <c r="A5" s="200" t="s">
        <v>147</v>
      </c>
      <c r="B5" s="195"/>
      <c r="C5" s="201"/>
      <c r="D5" s="140" t="s">
        <v>199</v>
      </c>
      <c r="E5" s="145"/>
      <c r="F5" s="194"/>
      <c r="G5" s="194"/>
      <c r="H5" s="195"/>
      <c r="I5" s="195"/>
    </row>
    <row r="6" spans="1:9" ht="15.75" x14ac:dyDescent="0.25">
      <c r="A6" s="134" t="str">
        <f>'RECAP #9486.00'!B6</f>
        <v>Project Manager - Brandon A</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08" customFormat="1" ht="12.75" customHeight="1" x14ac:dyDescent="0.25">
      <c r="A9" s="382" t="s">
        <v>200</v>
      </c>
      <c r="B9" s="383">
        <v>45912</v>
      </c>
      <c r="C9" s="391" t="s">
        <v>146</v>
      </c>
      <c r="D9" s="385">
        <v>6725.74</v>
      </c>
      <c r="E9" s="386">
        <f>D9</f>
        <v>6725.74</v>
      </c>
      <c r="F9" s="387"/>
      <c r="G9" s="387"/>
      <c r="H9" s="387">
        <f>E9</f>
        <v>6725.74</v>
      </c>
      <c r="I9" s="388"/>
    </row>
    <row r="10" spans="1:9" s="308" customFormat="1" ht="12.75" customHeight="1" x14ac:dyDescent="0.25">
      <c r="A10" s="382" t="s">
        <v>278</v>
      </c>
      <c r="B10" s="390">
        <v>45943</v>
      </c>
      <c r="C10" s="391" t="s">
        <v>279</v>
      </c>
      <c r="D10" s="386"/>
      <c r="E10" s="386">
        <f t="shared" ref="E10:E21" si="0">E9+D10</f>
        <v>6725.74</v>
      </c>
      <c r="F10" s="392">
        <v>2488.21</v>
      </c>
      <c r="G10" s="387">
        <f t="shared" ref="G10:G21" si="1">G9+F10</f>
        <v>2488.21</v>
      </c>
      <c r="H10" s="387">
        <f t="shared" ref="H10:H21" si="2">H9-F10+D10</f>
        <v>4237.53</v>
      </c>
      <c r="I10" s="388"/>
    </row>
    <row r="11" spans="1:9" s="308" customFormat="1" ht="12.75" customHeight="1" x14ac:dyDescent="0.25">
      <c r="A11" s="382" t="s">
        <v>339</v>
      </c>
      <c r="B11" s="383">
        <v>45994</v>
      </c>
      <c r="C11" s="391" t="s">
        <v>340</v>
      </c>
      <c r="D11" s="385">
        <v>-776.63</v>
      </c>
      <c r="E11" s="386">
        <f t="shared" si="0"/>
        <v>5949.11</v>
      </c>
      <c r="F11" s="392">
        <v>3460.9</v>
      </c>
      <c r="G11" s="387">
        <f t="shared" si="1"/>
        <v>5949.1100000000006</v>
      </c>
      <c r="H11" s="387">
        <f t="shared" si="2"/>
        <v>0</v>
      </c>
      <c r="I11" s="388"/>
    </row>
    <row r="12" spans="1:9" s="308" customFormat="1" ht="12.75" customHeight="1" x14ac:dyDescent="0.25">
      <c r="A12" s="382"/>
      <c r="B12" s="383"/>
      <c r="C12" s="391"/>
      <c r="D12" s="386"/>
      <c r="E12" s="386">
        <f t="shared" si="0"/>
        <v>5949.11</v>
      </c>
      <c r="F12" s="392"/>
      <c r="G12" s="387">
        <f t="shared" si="1"/>
        <v>5949.1100000000006</v>
      </c>
      <c r="H12" s="387">
        <f t="shared" si="2"/>
        <v>0</v>
      </c>
      <c r="I12" s="388"/>
    </row>
    <row r="13" spans="1:9" s="308" customFormat="1" ht="12.75" customHeight="1" x14ac:dyDescent="0.25">
      <c r="A13" s="382"/>
      <c r="B13" s="383"/>
      <c r="C13" s="391"/>
      <c r="D13" s="386"/>
      <c r="E13" s="386">
        <f t="shared" si="0"/>
        <v>5949.11</v>
      </c>
      <c r="F13" s="392"/>
      <c r="G13" s="387">
        <f t="shared" si="1"/>
        <v>5949.1100000000006</v>
      </c>
      <c r="H13" s="387">
        <f t="shared" si="2"/>
        <v>0</v>
      </c>
      <c r="I13" s="388"/>
    </row>
    <row r="14" spans="1:9" s="308" customFormat="1" ht="12.75" customHeight="1" x14ac:dyDescent="0.25">
      <c r="A14" s="382"/>
      <c r="B14" s="383"/>
      <c r="C14" s="391"/>
      <c r="D14" s="386"/>
      <c r="E14" s="386">
        <f t="shared" si="0"/>
        <v>5949.11</v>
      </c>
      <c r="F14" s="387"/>
      <c r="G14" s="387">
        <f t="shared" si="1"/>
        <v>5949.1100000000006</v>
      </c>
      <c r="H14" s="387">
        <f t="shared" si="2"/>
        <v>0</v>
      </c>
      <c r="I14" s="388"/>
    </row>
    <row r="15" spans="1:9" s="308" customFormat="1" ht="12.75" customHeight="1" x14ac:dyDescent="0.25">
      <c r="A15" s="382"/>
      <c r="B15" s="383"/>
      <c r="C15" s="391"/>
      <c r="D15" s="386"/>
      <c r="E15" s="386">
        <f t="shared" si="0"/>
        <v>5949.11</v>
      </c>
      <c r="F15" s="392"/>
      <c r="G15" s="387">
        <f t="shared" si="1"/>
        <v>5949.1100000000006</v>
      </c>
      <c r="H15" s="387">
        <f t="shared" si="2"/>
        <v>0</v>
      </c>
      <c r="I15" s="388"/>
    </row>
    <row r="16" spans="1:9" s="308" customFormat="1" ht="12.75" customHeight="1" x14ac:dyDescent="0.25">
      <c r="A16" s="382"/>
      <c r="B16" s="383"/>
      <c r="C16" s="391"/>
      <c r="D16" s="386"/>
      <c r="E16" s="386">
        <f t="shared" si="0"/>
        <v>5949.11</v>
      </c>
      <c r="F16" s="392"/>
      <c r="G16" s="387">
        <f t="shared" si="1"/>
        <v>5949.1100000000006</v>
      </c>
      <c r="H16" s="387">
        <f t="shared" si="2"/>
        <v>0</v>
      </c>
      <c r="I16" s="388"/>
    </row>
    <row r="17" spans="1:9" s="308" customFormat="1" ht="12.75" customHeight="1" x14ac:dyDescent="0.25">
      <c r="A17" s="382"/>
      <c r="B17" s="383"/>
      <c r="C17" s="391"/>
      <c r="D17" s="386"/>
      <c r="E17" s="386">
        <f t="shared" si="0"/>
        <v>5949.11</v>
      </c>
      <c r="F17" s="392"/>
      <c r="G17" s="387">
        <f t="shared" si="1"/>
        <v>5949.1100000000006</v>
      </c>
      <c r="H17" s="387">
        <f t="shared" si="2"/>
        <v>0</v>
      </c>
      <c r="I17" s="388"/>
    </row>
    <row r="18" spans="1:9" s="308" customFormat="1" ht="12.75" customHeight="1" x14ac:dyDescent="0.25">
      <c r="A18" s="382"/>
      <c r="B18" s="383"/>
      <c r="C18" s="391"/>
      <c r="D18" s="386"/>
      <c r="E18" s="386">
        <f t="shared" si="0"/>
        <v>5949.11</v>
      </c>
      <c r="F18" s="392"/>
      <c r="G18" s="387">
        <f t="shared" si="1"/>
        <v>5949.1100000000006</v>
      </c>
      <c r="H18" s="387">
        <f t="shared" si="2"/>
        <v>0</v>
      </c>
      <c r="I18" s="388"/>
    </row>
    <row r="19" spans="1:9" s="308" customFormat="1" ht="12.75" customHeight="1" x14ac:dyDescent="0.25">
      <c r="A19" s="382"/>
      <c r="B19" s="383"/>
      <c r="C19" s="391"/>
      <c r="D19" s="386"/>
      <c r="E19" s="386">
        <f t="shared" si="0"/>
        <v>5949.11</v>
      </c>
      <c r="F19" s="387"/>
      <c r="G19" s="387">
        <f t="shared" si="1"/>
        <v>5949.1100000000006</v>
      </c>
      <c r="H19" s="387">
        <f t="shared" si="2"/>
        <v>0</v>
      </c>
      <c r="I19" s="388"/>
    </row>
    <row r="20" spans="1:9" s="308" customFormat="1" ht="12.75" customHeight="1" x14ac:dyDescent="0.25">
      <c r="A20" s="382"/>
      <c r="B20" s="383"/>
      <c r="C20" s="391"/>
      <c r="D20" s="386"/>
      <c r="E20" s="386">
        <f t="shared" si="0"/>
        <v>5949.11</v>
      </c>
      <c r="F20" s="387"/>
      <c r="G20" s="387">
        <f t="shared" si="1"/>
        <v>5949.1100000000006</v>
      </c>
      <c r="H20" s="387">
        <f t="shared" si="2"/>
        <v>0</v>
      </c>
      <c r="I20" s="388"/>
    </row>
    <row r="21" spans="1:9" s="308" customFormat="1" ht="12.75" customHeight="1" x14ac:dyDescent="0.25">
      <c r="A21" s="382"/>
      <c r="B21" s="383"/>
      <c r="C21" s="393"/>
      <c r="D21" s="386"/>
      <c r="E21" s="386">
        <f t="shared" si="0"/>
        <v>5949.11</v>
      </c>
      <c r="F21" s="387"/>
      <c r="G21" s="387">
        <f t="shared" si="1"/>
        <v>5949.1100000000006</v>
      </c>
      <c r="H21" s="387">
        <f t="shared" si="2"/>
        <v>0</v>
      </c>
      <c r="I21" s="388"/>
    </row>
    <row r="22" spans="1:9" s="308" customFormat="1" ht="12.75" customHeight="1" x14ac:dyDescent="0.25">
      <c r="A22" s="382"/>
      <c r="B22" s="391"/>
      <c r="C22" s="372"/>
      <c r="D22" s="387"/>
      <c r="E22" s="387"/>
      <c r="F22" s="387"/>
      <c r="G22" s="387"/>
      <c r="H22" s="387"/>
      <c r="I22" s="388"/>
    </row>
    <row r="23" spans="1:9" s="308" customFormat="1" ht="12.75" customHeight="1" thickBot="1" x14ac:dyDescent="0.3">
      <c r="A23" s="382"/>
      <c r="B23" s="394"/>
      <c r="C23" s="395" t="s">
        <v>54</v>
      </c>
      <c r="D23" s="396">
        <f>SUM(D9:D22)</f>
        <v>5949.11</v>
      </c>
      <c r="E23" s="396"/>
      <c r="F23" s="396">
        <f>SUM(F9:F22)</f>
        <v>5949.1100000000006</v>
      </c>
      <c r="G23" s="396"/>
      <c r="H23" s="396">
        <f>D23-F23</f>
        <v>0</v>
      </c>
      <c r="I23" s="397" t="s">
        <v>341</v>
      </c>
    </row>
    <row r="24" spans="1:9" s="308" customFormat="1" ht="12.75" customHeight="1" thickTop="1" x14ac:dyDescent="0.25"/>
    <row r="25" spans="1:9" s="308" customFormat="1" ht="12.75" customHeight="1" x14ac:dyDescent="0.25"/>
    <row r="26" spans="1:9" s="308" customFormat="1" ht="12.75" customHeight="1" x14ac:dyDescent="0.25"/>
    <row r="27" spans="1:9" s="308" customFormat="1" ht="12.75" customHeight="1" x14ac:dyDescent="0.25"/>
    <row r="28" spans="1:9" s="308" customFormat="1" ht="12.75" customHeight="1" x14ac:dyDescent="0.25"/>
    <row r="29" spans="1:9" s="308" customFormat="1" ht="12.75" customHeight="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sheetData>
  <pageMargins left="0.25" right="0.25" top="0.85" bottom="0.75" header="0.08" footer="0.3"/>
  <pageSetup scale="8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BC408-88C2-451C-AD40-4E0392855EFF}">
  <sheetPr codeName="Sheet51">
    <tabColor rgb="FF0070C0"/>
    <pageSetUpPr fitToPage="1"/>
  </sheetPr>
  <dimension ref="A1:J65"/>
  <sheetViews>
    <sheetView zoomScaleNormal="100" workbookViewId="0">
      <selection activeCell="P26" sqref="P26"/>
    </sheetView>
  </sheetViews>
  <sheetFormatPr defaultColWidth="11.42578125" defaultRowHeight="15" customHeight="1" x14ac:dyDescent="0.25"/>
  <cols>
    <col min="1" max="1" width="24.5703125" customWidth="1"/>
    <col min="2" max="3" width="9.42578125" customWidth="1"/>
    <col min="4" max="4" width="37.140625" customWidth="1"/>
    <col min="5" max="5" width="13.7109375" customWidth="1"/>
    <col min="6" max="6" width="13.5703125" customWidth="1"/>
    <col min="7" max="7" width="12.42578125" customWidth="1"/>
    <col min="8" max="8" width="10.5703125" customWidth="1"/>
    <col min="9" max="9" width="11.8554687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#9486.00'!B1</f>
        <v>DVA IVH Fox and Ulery Carpet Replacement</v>
      </c>
      <c r="B1" s="86"/>
      <c r="C1" s="86"/>
      <c r="D1" s="6"/>
      <c r="E1" s="6"/>
      <c r="F1" s="6"/>
      <c r="G1" s="132"/>
      <c r="H1" s="132"/>
      <c r="I1" s="133"/>
      <c r="J1" s="133"/>
    </row>
    <row r="2" spans="1:10" ht="15.75" x14ac:dyDescent="0.25">
      <c r="A2" s="88" t="str">
        <f>'RECAP #9486.00'!B2</f>
        <v>Project # 9486.00</v>
      </c>
      <c r="B2" s="87"/>
      <c r="C2" s="87"/>
      <c r="D2" s="6"/>
      <c r="E2" s="6"/>
      <c r="F2" s="6"/>
      <c r="G2" s="132"/>
      <c r="H2" s="132"/>
      <c r="I2" s="133"/>
      <c r="J2" s="133"/>
    </row>
    <row r="3" spans="1:10" ht="15.75" x14ac:dyDescent="0.25">
      <c r="A3" s="89" t="str">
        <f>'RECAP #9486.00'!B3</f>
        <v>Program code 948600</v>
      </c>
      <c r="B3" s="87"/>
      <c r="C3" s="87"/>
      <c r="D3" s="6"/>
      <c r="E3" s="90" t="str">
        <f>'RECAP #9486.00'!E3</f>
        <v>Major Program 4B03</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#9486.00'!B6</f>
        <v>Project Manager - Brandon A</v>
      </c>
      <c r="B6" s="93"/>
      <c r="C6" s="93"/>
      <c r="D6" s="143"/>
      <c r="E6" s="140" t="s">
        <v>92</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30000-20000-2390.49</f>
        <v>7609.51</v>
      </c>
      <c r="F9" s="320">
        <f>E9</f>
        <v>7609.51</v>
      </c>
      <c r="G9" s="321"/>
      <c r="H9" s="321"/>
      <c r="I9" s="321">
        <f>F9</f>
        <v>7609.51</v>
      </c>
      <c r="J9" s="322"/>
    </row>
    <row r="10" spans="1:10" s="308" customFormat="1" ht="12.75" customHeight="1" x14ac:dyDescent="0.25">
      <c r="A10" s="364" t="s">
        <v>148</v>
      </c>
      <c r="B10" s="318">
        <v>45876</v>
      </c>
      <c r="C10" s="404">
        <v>2507</v>
      </c>
      <c r="D10" s="402" t="s">
        <v>149</v>
      </c>
      <c r="E10" s="320"/>
      <c r="F10" s="320">
        <f t="shared" ref="F10:F30" si="0">F9+E10</f>
        <v>7609.51</v>
      </c>
      <c r="G10" s="325">
        <f>13.8+19.9</f>
        <v>33.700000000000003</v>
      </c>
      <c r="H10" s="321">
        <f t="shared" ref="H10:H30" si="1">H9+G10</f>
        <v>33.700000000000003</v>
      </c>
      <c r="I10" s="321">
        <f t="shared" ref="I10:I30" si="2">I9-G10+E10</f>
        <v>7575.81</v>
      </c>
      <c r="J10" s="322"/>
    </row>
    <row r="11" spans="1:10" s="308" customFormat="1" ht="12.75" customHeight="1" x14ac:dyDescent="0.25">
      <c r="A11" s="364" t="s">
        <v>148</v>
      </c>
      <c r="B11" s="318">
        <v>45876</v>
      </c>
      <c r="C11" s="404">
        <v>9500</v>
      </c>
      <c r="D11" s="332" t="s">
        <v>150</v>
      </c>
      <c r="E11" s="320"/>
      <c r="F11" s="320">
        <f t="shared" si="0"/>
        <v>7609.51</v>
      </c>
      <c r="G11" s="325">
        <f>24.5+344.3</f>
        <v>368.8</v>
      </c>
      <c r="H11" s="321">
        <f>H10+G11</f>
        <v>402.5</v>
      </c>
      <c r="I11" s="321">
        <f>I10-G11+E11</f>
        <v>7207.01</v>
      </c>
      <c r="J11" s="322"/>
    </row>
    <row r="12" spans="1:10" s="308" customFormat="1" ht="12.75" customHeight="1" x14ac:dyDescent="0.25">
      <c r="A12" s="364" t="s">
        <v>213</v>
      </c>
      <c r="B12" s="318">
        <v>45908</v>
      </c>
      <c r="C12" s="404">
        <v>2507</v>
      </c>
      <c r="D12" s="402" t="s">
        <v>216</v>
      </c>
      <c r="E12" s="320"/>
      <c r="F12" s="320">
        <f t="shared" si="0"/>
        <v>7609.51</v>
      </c>
      <c r="G12" s="325">
        <v>94.58</v>
      </c>
      <c r="H12" s="321">
        <f t="shared" si="1"/>
        <v>497.08</v>
      </c>
      <c r="I12" s="321">
        <f t="shared" si="2"/>
        <v>7112.43</v>
      </c>
      <c r="J12" s="322"/>
    </row>
    <row r="13" spans="1:10" s="308" customFormat="1" ht="12.75" customHeight="1" x14ac:dyDescent="0.25">
      <c r="A13" s="364" t="s">
        <v>213</v>
      </c>
      <c r="B13" s="318">
        <v>45908</v>
      </c>
      <c r="C13" s="404">
        <v>9500</v>
      </c>
      <c r="D13" s="332" t="s">
        <v>217</v>
      </c>
      <c r="E13" s="320"/>
      <c r="F13" s="320">
        <f t="shared" si="0"/>
        <v>7609.51</v>
      </c>
      <c r="G13" s="325">
        <v>732.6</v>
      </c>
      <c r="H13" s="321">
        <f>H12+G13</f>
        <v>1229.68</v>
      </c>
      <c r="I13" s="321">
        <f>I12-G13+E13</f>
        <v>6379.83</v>
      </c>
      <c r="J13" s="322"/>
    </row>
    <row r="14" spans="1:10" s="308" customFormat="1" ht="12.75" customHeight="1" x14ac:dyDescent="0.25">
      <c r="A14" s="364" t="s">
        <v>273</v>
      </c>
      <c r="B14" s="318">
        <v>45937</v>
      </c>
      <c r="C14" s="404" t="s">
        <v>274</v>
      </c>
      <c r="D14" s="402" t="s">
        <v>275</v>
      </c>
      <c r="E14" s="320"/>
      <c r="F14" s="320">
        <f t="shared" si="0"/>
        <v>7609.51</v>
      </c>
      <c r="G14" s="325">
        <v>91.24</v>
      </c>
      <c r="H14" s="321">
        <f t="shared" si="1"/>
        <v>1320.92</v>
      </c>
      <c r="I14" s="321">
        <f t="shared" si="2"/>
        <v>6288.59</v>
      </c>
      <c r="J14" s="322"/>
    </row>
    <row r="15" spans="1:10" s="308" customFormat="1" ht="12.75" customHeight="1" x14ac:dyDescent="0.25">
      <c r="A15" s="364" t="s">
        <v>273</v>
      </c>
      <c r="B15" s="318">
        <v>45937</v>
      </c>
      <c r="C15" s="404">
        <v>9500</v>
      </c>
      <c r="D15" s="332" t="s">
        <v>276</v>
      </c>
      <c r="E15" s="320"/>
      <c r="F15" s="320">
        <f t="shared" si="0"/>
        <v>7609.51</v>
      </c>
      <c r="G15" s="325">
        <v>474.7</v>
      </c>
      <c r="H15" s="321">
        <f t="shared" si="1"/>
        <v>1795.6200000000001</v>
      </c>
      <c r="I15" s="321">
        <f t="shared" si="2"/>
        <v>5813.89</v>
      </c>
      <c r="J15" s="322"/>
    </row>
    <row r="16" spans="1:10" s="308" customFormat="1" ht="12.75" customHeight="1" x14ac:dyDescent="0.25">
      <c r="A16" s="364" t="s">
        <v>320</v>
      </c>
      <c r="B16" s="318">
        <v>45968</v>
      </c>
      <c r="C16" s="404" t="s">
        <v>274</v>
      </c>
      <c r="D16" s="402" t="s">
        <v>323</v>
      </c>
      <c r="E16" s="320"/>
      <c r="F16" s="320">
        <f t="shared" si="0"/>
        <v>7609.51</v>
      </c>
      <c r="G16" s="325">
        <v>71.84</v>
      </c>
      <c r="H16" s="321">
        <f t="shared" si="1"/>
        <v>1867.46</v>
      </c>
      <c r="I16" s="321">
        <f t="shared" si="2"/>
        <v>5742.05</v>
      </c>
      <c r="J16" s="322"/>
    </row>
    <row r="17" spans="1:10" s="308" customFormat="1" ht="12.75" customHeight="1" x14ac:dyDescent="0.25">
      <c r="A17" s="364" t="s">
        <v>320</v>
      </c>
      <c r="B17" s="318">
        <v>45968</v>
      </c>
      <c r="C17" s="404">
        <v>9500</v>
      </c>
      <c r="D17" s="332" t="s">
        <v>324</v>
      </c>
      <c r="E17" s="320"/>
      <c r="F17" s="320">
        <f t="shared" si="0"/>
        <v>7609.51</v>
      </c>
      <c r="G17" s="325">
        <v>712.1</v>
      </c>
      <c r="H17" s="321">
        <f t="shared" si="1"/>
        <v>2579.56</v>
      </c>
      <c r="I17" s="321">
        <f t="shared" si="2"/>
        <v>5029.95</v>
      </c>
      <c r="J17" s="322"/>
    </row>
    <row r="18" spans="1:10" s="308" customFormat="1" ht="12.75" customHeight="1" x14ac:dyDescent="0.25">
      <c r="A18" s="364" t="s">
        <v>383</v>
      </c>
      <c r="B18" s="318">
        <v>45996</v>
      </c>
      <c r="C18" s="320" t="s">
        <v>274</v>
      </c>
      <c r="D18" s="402" t="s">
        <v>384</v>
      </c>
      <c r="E18" s="320"/>
      <c r="F18" s="320">
        <f t="shared" si="0"/>
        <v>7609.51</v>
      </c>
      <c r="G18" s="325">
        <v>72.16</v>
      </c>
      <c r="H18" s="321">
        <f t="shared" si="1"/>
        <v>2651.72</v>
      </c>
      <c r="I18" s="321">
        <f t="shared" si="2"/>
        <v>4957.79</v>
      </c>
      <c r="J18" s="322"/>
    </row>
    <row r="19" spans="1:10" s="308" customFormat="1" ht="12.75" customHeight="1" x14ac:dyDescent="0.25">
      <c r="A19" s="364" t="s">
        <v>383</v>
      </c>
      <c r="B19" s="318">
        <v>45996</v>
      </c>
      <c r="C19" s="403">
        <v>9500</v>
      </c>
      <c r="D19" s="332" t="s">
        <v>385</v>
      </c>
      <c r="E19" s="320"/>
      <c r="F19" s="320">
        <f t="shared" si="0"/>
        <v>7609.51</v>
      </c>
      <c r="G19" s="325">
        <v>460.4</v>
      </c>
      <c r="H19" s="321">
        <f t="shared" si="1"/>
        <v>3112.12</v>
      </c>
      <c r="I19" s="321">
        <f t="shared" si="2"/>
        <v>4497.3900000000003</v>
      </c>
      <c r="J19" s="322"/>
    </row>
    <row r="20" spans="1:10" s="308" customFormat="1" ht="12.75" customHeight="1" x14ac:dyDescent="0.2">
      <c r="A20" s="171" t="s">
        <v>418</v>
      </c>
      <c r="B20" s="153">
        <v>46030</v>
      </c>
      <c r="C20" s="155" t="s">
        <v>274</v>
      </c>
      <c r="D20" s="181" t="s">
        <v>419</v>
      </c>
      <c r="E20" s="320"/>
      <c r="F20" s="320">
        <f t="shared" si="0"/>
        <v>7609.51</v>
      </c>
      <c r="G20" s="325">
        <v>68.260000000000005</v>
      </c>
      <c r="H20" s="321">
        <f t="shared" si="1"/>
        <v>3180.38</v>
      </c>
      <c r="I20" s="321">
        <f t="shared" si="2"/>
        <v>4429.13</v>
      </c>
      <c r="J20" s="322"/>
    </row>
    <row r="21" spans="1:10" s="308" customFormat="1" ht="12.75" customHeight="1" x14ac:dyDescent="0.2">
      <c r="A21" s="171" t="s">
        <v>418</v>
      </c>
      <c r="B21" s="153">
        <v>46030</v>
      </c>
      <c r="C21" s="401">
        <v>9500</v>
      </c>
      <c r="D21" s="126" t="s">
        <v>420</v>
      </c>
      <c r="E21" s="320"/>
      <c r="F21" s="320">
        <f t="shared" si="0"/>
        <v>7609.51</v>
      </c>
      <c r="G21" s="325">
        <v>778</v>
      </c>
      <c r="H21" s="321">
        <f t="shared" si="1"/>
        <v>3958.38</v>
      </c>
      <c r="I21" s="321">
        <f t="shared" si="2"/>
        <v>3651.13</v>
      </c>
      <c r="J21" s="322"/>
    </row>
    <row r="22" spans="1:10" s="308" customFormat="1" ht="12.75" customHeight="1" x14ac:dyDescent="0.2">
      <c r="A22" s="171" t="s">
        <v>492</v>
      </c>
      <c r="B22" s="153">
        <v>46062</v>
      </c>
      <c r="C22" s="155" t="s">
        <v>274</v>
      </c>
      <c r="D22" s="181" t="s">
        <v>493</v>
      </c>
      <c r="E22" s="320"/>
      <c r="F22" s="320">
        <f t="shared" si="0"/>
        <v>7609.51</v>
      </c>
      <c r="G22" s="325">
        <v>62.08</v>
      </c>
      <c r="H22" s="321">
        <f t="shared" si="1"/>
        <v>4020.46</v>
      </c>
      <c r="I22" s="321">
        <f t="shared" si="2"/>
        <v>3589.05</v>
      </c>
      <c r="J22" s="322"/>
    </row>
    <row r="23" spans="1:10" s="308" customFormat="1" ht="12.75" customHeight="1" x14ac:dyDescent="0.2">
      <c r="A23" s="171" t="s">
        <v>492</v>
      </c>
      <c r="B23" s="153">
        <v>46062</v>
      </c>
      <c r="C23" s="401">
        <v>9500</v>
      </c>
      <c r="D23" s="126" t="s">
        <v>494</v>
      </c>
      <c r="E23" s="320"/>
      <c r="F23" s="320">
        <f t="shared" si="0"/>
        <v>7609.51</v>
      </c>
      <c r="G23" s="325">
        <v>769.3</v>
      </c>
      <c r="H23" s="321">
        <f t="shared" si="1"/>
        <v>4789.76</v>
      </c>
      <c r="I23" s="321">
        <f t="shared" si="2"/>
        <v>2819.75</v>
      </c>
      <c r="J23" s="322"/>
    </row>
    <row r="24" spans="1:10" s="308" customFormat="1" ht="12.75" customHeight="1" x14ac:dyDescent="0.2">
      <c r="A24" s="171" t="s">
        <v>550</v>
      </c>
      <c r="B24" s="153">
        <v>46090</v>
      </c>
      <c r="C24" s="155" t="s">
        <v>274</v>
      </c>
      <c r="D24" s="181" t="s">
        <v>551</v>
      </c>
      <c r="E24" s="320"/>
      <c r="F24" s="320">
        <f t="shared" si="0"/>
        <v>7609.51</v>
      </c>
      <c r="G24" s="325">
        <v>78.569999999999993</v>
      </c>
      <c r="H24" s="321">
        <f t="shared" si="1"/>
        <v>4868.33</v>
      </c>
      <c r="I24" s="321">
        <f t="shared" si="2"/>
        <v>2741.18</v>
      </c>
      <c r="J24" s="322"/>
    </row>
    <row r="25" spans="1:10" s="308" customFormat="1" ht="12.75" customHeight="1" x14ac:dyDescent="0.2">
      <c r="A25" s="171" t="s">
        <v>550</v>
      </c>
      <c r="B25" s="153">
        <v>46090</v>
      </c>
      <c r="C25" s="401">
        <v>9500</v>
      </c>
      <c r="D25" s="126" t="s">
        <v>552</v>
      </c>
      <c r="E25" s="320"/>
      <c r="F25" s="320">
        <f t="shared" si="0"/>
        <v>7609.51</v>
      </c>
      <c r="G25" s="325">
        <v>906.5</v>
      </c>
      <c r="H25" s="321">
        <f t="shared" si="1"/>
        <v>5774.83</v>
      </c>
      <c r="I25" s="321">
        <f t="shared" si="2"/>
        <v>1834.6799999999998</v>
      </c>
      <c r="J25" s="322"/>
    </row>
    <row r="26" spans="1:10" s="308" customFormat="1" ht="12.75" customHeight="1" x14ac:dyDescent="0.2">
      <c r="A26" s="171" t="s">
        <v>626</v>
      </c>
      <c r="B26" s="153">
        <v>46118</v>
      </c>
      <c r="C26" s="155" t="s">
        <v>274</v>
      </c>
      <c r="D26" s="181" t="s">
        <v>627</v>
      </c>
      <c r="E26" s="320"/>
      <c r="F26" s="320">
        <f t="shared" si="0"/>
        <v>7609.51</v>
      </c>
      <c r="G26" s="325">
        <v>108.49</v>
      </c>
      <c r="H26" s="321">
        <f t="shared" si="1"/>
        <v>5883.32</v>
      </c>
      <c r="I26" s="321">
        <f t="shared" si="2"/>
        <v>1726.1899999999998</v>
      </c>
      <c r="J26" s="322"/>
    </row>
    <row r="27" spans="1:10" s="308" customFormat="1" ht="12.75" customHeight="1" x14ac:dyDescent="0.2">
      <c r="A27" s="171" t="s">
        <v>626</v>
      </c>
      <c r="B27" s="153">
        <v>46118</v>
      </c>
      <c r="C27" s="401">
        <v>9500</v>
      </c>
      <c r="D27" s="126" t="s">
        <v>628</v>
      </c>
      <c r="E27" s="320"/>
      <c r="F27" s="320">
        <f t="shared" si="0"/>
        <v>7609.51</v>
      </c>
      <c r="G27" s="325">
        <v>881.2</v>
      </c>
      <c r="H27" s="321">
        <f t="shared" si="1"/>
        <v>6764.5199999999995</v>
      </c>
      <c r="I27" s="321">
        <f t="shared" si="2"/>
        <v>844.98999999999978</v>
      </c>
      <c r="J27" s="322"/>
    </row>
    <row r="28" spans="1:10" s="308" customFormat="1" ht="12.75" customHeight="1" x14ac:dyDescent="0.2">
      <c r="A28" s="171" t="s">
        <v>752</v>
      </c>
      <c r="B28" s="153">
        <v>46149</v>
      </c>
      <c r="C28" s="155" t="s">
        <v>274</v>
      </c>
      <c r="D28" s="181" t="s">
        <v>753</v>
      </c>
      <c r="E28" s="320"/>
      <c r="F28" s="320">
        <f t="shared" si="0"/>
        <v>7609.51</v>
      </c>
      <c r="G28" s="326">
        <v>73.989999999999995</v>
      </c>
      <c r="H28" s="321">
        <f t="shared" si="1"/>
        <v>6838.5099999999993</v>
      </c>
      <c r="I28" s="321">
        <f t="shared" si="2"/>
        <v>770.99999999999977</v>
      </c>
      <c r="J28" s="322"/>
    </row>
    <row r="29" spans="1:10" s="308" customFormat="1" ht="12.75" customHeight="1" x14ac:dyDescent="0.2">
      <c r="A29" s="171" t="s">
        <v>752</v>
      </c>
      <c r="B29" s="153">
        <v>46149</v>
      </c>
      <c r="C29" s="401">
        <v>9500</v>
      </c>
      <c r="D29" s="126" t="s">
        <v>754</v>
      </c>
      <c r="E29" s="320"/>
      <c r="F29" s="320">
        <f t="shared" si="0"/>
        <v>7609.51</v>
      </c>
      <c r="G29" s="326">
        <v>771</v>
      </c>
      <c r="H29" s="321">
        <f t="shared" si="1"/>
        <v>7609.5099999999993</v>
      </c>
      <c r="I29" s="321">
        <f t="shared" si="2"/>
        <v>-2.2737367544323206E-13</v>
      </c>
      <c r="J29" s="322"/>
    </row>
    <row r="30" spans="1:10" s="308" customFormat="1" ht="12.75" customHeight="1" x14ac:dyDescent="0.2">
      <c r="A30" s="171"/>
      <c r="B30" s="153"/>
      <c r="C30" s="401"/>
      <c r="D30" s="126"/>
      <c r="E30" s="320"/>
      <c r="F30" s="320">
        <f t="shared" si="0"/>
        <v>7609.51</v>
      </c>
      <c r="G30" s="326"/>
      <c r="H30" s="321">
        <f t="shared" si="1"/>
        <v>7609.5099999999993</v>
      </c>
      <c r="I30" s="321">
        <f t="shared" si="2"/>
        <v>-2.2737367544323206E-13</v>
      </c>
      <c r="J30" s="322"/>
    </row>
    <row r="31" spans="1:10" s="308" customFormat="1" ht="12.75" customHeight="1" x14ac:dyDescent="0.25">
      <c r="A31" s="332"/>
      <c r="B31" s="324"/>
      <c r="C31" s="404"/>
      <c r="D31" s="328"/>
      <c r="E31" s="321"/>
      <c r="F31" s="321"/>
      <c r="G31" s="321"/>
      <c r="H31" s="321"/>
      <c r="I31" s="321"/>
      <c r="J31" s="322"/>
    </row>
    <row r="32" spans="1:10" s="308" customFormat="1" ht="12.75" customHeight="1" thickBot="1" x14ac:dyDescent="0.3">
      <c r="A32" s="332"/>
      <c r="B32" s="329"/>
      <c r="C32" s="404"/>
      <c r="D32" s="330" t="s">
        <v>54</v>
      </c>
      <c r="E32" s="184">
        <f>SUM(E9:E31)</f>
        <v>7609.51</v>
      </c>
      <c r="F32" s="184"/>
      <c r="G32" s="184">
        <f>SUM(G9:G31)</f>
        <v>7609.5099999999993</v>
      </c>
      <c r="H32" s="184"/>
      <c r="I32" s="184">
        <f>E32-G32</f>
        <v>0</v>
      </c>
      <c r="J32" s="322"/>
    </row>
    <row r="33" s="308" customFormat="1" ht="12.75" customHeight="1" thickTop="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71578-3D52-4807-9330-A2161CEFABAF}">
  <sheetPr codeName="Sheet52">
    <tabColor indexed="30"/>
    <pageSetUpPr fitToPage="1"/>
  </sheetPr>
  <dimension ref="A1:H102"/>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'RECAP #9486.00'!B1</f>
        <v>DVA IVH Fox and Ulery Carpet Replacement</v>
      </c>
      <c r="B1" s="86"/>
      <c r="C1" s="86"/>
      <c r="D1" s="86"/>
      <c r="E1" s="6"/>
      <c r="F1" s="6"/>
      <c r="G1" s="6"/>
      <c r="H1" s="132"/>
    </row>
    <row r="2" spans="1:8" ht="15.75" x14ac:dyDescent="0.25">
      <c r="A2" s="88" t="str">
        <f>'RECAP #9486.00'!B2</f>
        <v>Project # 9486.00</v>
      </c>
      <c r="B2" s="87"/>
      <c r="C2" s="87"/>
      <c r="D2" s="87"/>
      <c r="E2" s="6"/>
      <c r="F2" s="6"/>
      <c r="G2" s="6"/>
      <c r="H2" s="132"/>
    </row>
    <row r="3" spans="1:8" ht="15.75" x14ac:dyDescent="0.25">
      <c r="A3" s="89" t="str">
        <f>'RECAP #9486.00'!B3</f>
        <v>Program code 948600</v>
      </c>
      <c r="B3" s="87"/>
      <c r="C3" s="87"/>
      <c r="D3" s="87"/>
      <c r="E3" s="90" t="str">
        <f>'RECAP #9486.00'!E3</f>
        <v>Major Program 4B03</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#9486.00'!B6</f>
        <v>Project Manager - Brandon A</v>
      </c>
      <c r="B6" s="93"/>
      <c r="C6" s="93"/>
      <c r="D6" s="93"/>
      <c r="E6" s="90" t="s">
        <v>202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5">
      <c r="A9" s="327"/>
      <c r="B9" s="318"/>
      <c r="C9" s="317"/>
      <c r="D9" s="317"/>
      <c r="E9" s="364"/>
      <c r="F9" s="365"/>
      <c r="G9" s="366"/>
      <c r="H9" s="366">
        <f>G9</f>
        <v>0</v>
      </c>
    </row>
    <row r="10" spans="1:8" s="308" customFormat="1" ht="12.75" customHeight="1" x14ac:dyDescent="0.25">
      <c r="A10" s="361"/>
      <c r="B10" s="318"/>
      <c r="C10" s="328"/>
      <c r="D10" s="328"/>
      <c r="E10" s="363"/>
      <c r="F10" s="367"/>
      <c r="G10" s="366"/>
      <c r="H10" s="366">
        <f>H9+G10</f>
        <v>0</v>
      </c>
    </row>
    <row r="11" spans="1:8" s="308" customFormat="1" ht="12.75" customHeight="1" x14ac:dyDescent="0.25">
      <c r="A11" s="361"/>
      <c r="B11" s="318"/>
      <c r="C11" s="318"/>
      <c r="D11" s="318"/>
      <c r="E11" s="363"/>
      <c r="F11" s="367"/>
      <c r="G11" s="366"/>
      <c r="H11" s="366">
        <f t="shared" ref="H11:H20" si="0">H10+G11</f>
        <v>0</v>
      </c>
    </row>
    <row r="12" spans="1:8" s="308" customFormat="1" ht="12.75" customHeight="1" x14ac:dyDescent="0.25">
      <c r="A12" s="361" t="s">
        <v>3</v>
      </c>
      <c r="B12" s="318" t="s">
        <v>3</v>
      </c>
      <c r="C12" s="318"/>
      <c r="D12" s="318"/>
      <c r="E12" s="363" t="s">
        <v>3</v>
      </c>
      <c r="F12" s="367"/>
      <c r="G12" s="366"/>
      <c r="H12" s="366">
        <f t="shared" si="0"/>
        <v>0</v>
      </c>
    </row>
    <row r="13" spans="1:8" s="308" customFormat="1" ht="12.75" customHeight="1" x14ac:dyDescent="0.25">
      <c r="A13" s="361" t="s">
        <v>3</v>
      </c>
      <c r="B13" s="318" t="s">
        <v>3</v>
      </c>
      <c r="C13" s="318"/>
      <c r="D13" s="318"/>
      <c r="E13" s="363" t="s">
        <v>3</v>
      </c>
      <c r="F13" s="367"/>
      <c r="G13" s="366"/>
      <c r="H13" s="366">
        <f t="shared" si="0"/>
        <v>0</v>
      </c>
    </row>
    <row r="14" spans="1:8" s="308" customFormat="1" ht="12.75" customHeight="1" x14ac:dyDescent="0.25">
      <c r="A14" s="361"/>
      <c r="B14" s="318"/>
      <c r="C14" s="318"/>
      <c r="D14" s="318"/>
      <c r="E14" s="363"/>
      <c r="F14" s="367"/>
      <c r="G14" s="366"/>
      <c r="H14" s="366">
        <f t="shared" si="0"/>
        <v>0</v>
      </c>
    </row>
    <row r="15" spans="1:8" s="308" customFormat="1" ht="12.75" customHeight="1" x14ac:dyDescent="0.25">
      <c r="A15" s="361"/>
      <c r="B15" s="318"/>
      <c r="C15" s="318"/>
      <c r="D15" s="318"/>
      <c r="E15" s="368"/>
      <c r="F15" s="367"/>
      <c r="G15" s="366"/>
      <c r="H15" s="366">
        <f t="shared" si="0"/>
        <v>0</v>
      </c>
    </row>
    <row r="16" spans="1:8" s="308" customFormat="1" ht="12.75" customHeight="1" x14ac:dyDescent="0.25">
      <c r="A16" s="361"/>
      <c r="B16" s="318"/>
      <c r="C16" s="318"/>
      <c r="D16" s="318"/>
      <c r="E16" s="363"/>
      <c r="F16" s="367"/>
      <c r="G16" s="366"/>
      <c r="H16" s="366">
        <f t="shared" si="0"/>
        <v>0</v>
      </c>
    </row>
    <row r="17" spans="1:8" s="308" customFormat="1" ht="12.75" customHeight="1" x14ac:dyDescent="0.25">
      <c r="A17" s="317"/>
      <c r="B17" s="318"/>
      <c r="C17" s="318"/>
      <c r="D17" s="318"/>
      <c r="E17" s="363"/>
      <c r="F17" s="367"/>
      <c r="G17" s="366"/>
      <c r="H17" s="366">
        <f t="shared" si="0"/>
        <v>0</v>
      </c>
    </row>
    <row r="18" spans="1:8" s="308" customFormat="1" ht="12.75" customHeight="1" x14ac:dyDescent="0.25">
      <c r="A18" s="317"/>
      <c r="B18" s="318"/>
      <c r="C18" s="318"/>
      <c r="D18" s="318"/>
      <c r="E18" s="363"/>
      <c r="F18" s="367"/>
      <c r="G18" s="366"/>
      <c r="H18" s="366">
        <f t="shared" si="0"/>
        <v>0</v>
      </c>
    </row>
    <row r="19" spans="1:8" s="308" customFormat="1" ht="12.75" customHeight="1" x14ac:dyDescent="0.25">
      <c r="A19" s="317"/>
      <c r="B19" s="318"/>
      <c r="C19" s="318"/>
      <c r="D19" s="318"/>
      <c r="E19" s="363"/>
      <c r="F19" s="367"/>
      <c r="G19" s="366"/>
      <c r="H19" s="366">
        <f t="shared" si="0"/>
        <v>0</v>
      </c>
    </row>
    <row r="20" spans="1:8" s="308" customFormat="1" ht="12.75" customHeight="1" x14ac:dyDescent="0.25">
      <c r="A20" s="317"/>
      <c r="B20" s="318"/>
      <c r="C20" s="318"/>
      <c r="D20" s="318"/>
      <c r="E20" s="363"/>
      <c r="F20" s="367"/>
      <c r="G20" s="366"/>
      <c r="H20" s="366">
        <f t="shared" si="0"/>
        <v>0</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0</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AE92E-8B3B-4F68-B45E-A5C6CD6BEBFB}">
  <sheetPr>
    <pageSetUpPr fitToPage="1"/>
  </sheetPr>
  <dimension ref="A1:I121"/>
  <sheetViews>
    <sheetView zoomScaleNormal="100" workbookViewId="0"/>
  </sheetViews>
  <sheetFormatPr defaultColWidth="11.42578125" defaultRowHeight="15" customHeight="1" x14ac:dyDescent="0.25"/>
  <cols>
    <col min="1" max="1" width="24.5703125" customWidth="1"/>
    <col min="2" max="2" width="9.42578125" customWidth="1"/>
    <col min="3" max="3" width="30" customWidth="1"/>
    <col min="4" max="4" width="14.42578125" customWidth="1"/>
    <col min="5" max="5" width="13.5703125" customWidth="1"/>
    <col min="6" max="6" width="12.42578125" customWidth="1"/>
    <col min="7" max="7" width="10.5703125" customWidth="1"/>
    <col min="8" max="8" width="12.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#9239.04'!B1</f>
        <v>DOC-NCF-IPI Homes for Iowa Facility Project Phase II Fencing</v>
      </c>
      <c r="B1" s="86"/>
      <c r="C1" s="6"/>
      <c r="D1" s="6"/>
      <c r="E1" s="6"/>
      <c r="F1" s="132"/>
      <c r="G1" s="132"/>
      <c r="H1" s="133"/>
      <c r="I1" s="133"/>
    </row>
    <row r="2" spans="1:9" ht="15.75" x14ac:dyDescent="0.25">
      <c r="A2" s="88" t="str">
        <f>'RECAP #9239.04'!B2</f>
        <v>Project # 9239.04</v>
      </c>
      <c r="B2" s="87"/>
      <c r="C2" s="6"/>
      <c r="D2" s="6"/>
      <c r="E2" s="6"/>
      <c r="F2" s="132"/>
      <c r="G2" s="132"/>
      <c r="H2" s="133"/>
      <c r="I2" s="133"/>
    </row>
    <row r="3" spans="1:9" ht="15.75" x14ac:dyDescent="0.25">
      <c r="A3" s="89" t="str">
        <f>'RECAP #9239.04'!B3</f>
        <v>Program code 923904</v>
      </c>
      <c r="B3" s="87"/>
      <c r="C3" s="6"/>
      <c r="D3" s="90" t="str">
        <f>'RECAP #9239.04'!E3</f>
        <v>Major Program 4B01</v>
      </c>
      <c r="E3" s="6"/>
      <c r="F3" s="132"/>
      <c r="G3" s="132"/>
      <c r="H3" s="133"/>
      <c r="I3" s="133"/>
    </row>
    <row r="4" spans="1:9" ht="15.75" x14ac:dyDescent="0.25">
      <c r="A4" s="116" t="s">
        <v>770</v>
      </c>
      <c r="B4" s="134"/>
      <c r="C4" s="135"/>
      <c r="D4" s="136" t="s">
        <v>771</v>
      </c>
      <c r="E4" s="132"/>
      <c r="F4" s="132"/>
      <c r="G4" s="132"/>
      <c r="H4" s="133"/>
      <c r="I4" s="133"/>
    </row>
    <row r="5" spans="1:9" ht="15.75" x14ac:dyDescent="0.25">
      <c r="A5" s="137" t="s">
        <v>182</v>
      </c>
      <c r="B5" s="138"/>
      <c r="C5" s="139"/>
      <c r="D5" s="140" t="s">
        <v>772</v>
      </c>
      <c r="E5" s="141"/>
      <c r="F5" s="142"/>
      <c r="G5" s="142"/>
      <c r="H5" s="138"/>
      <c r="I5" s="133"/>
    </row>
    <row r="6" spans="1:9" ht="15.75" x14ac:dyDescent="0.25">
      <c r="A6" s="93" t="str">
        <f>'RECAP #9239.04'!B6</f>
        <v>Project Manager - Brad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773</v>
      </c>
      <c r="B9" s="318">
        <v>46162</v>
      </c>
      <c r="C9" s="324" t="s">
        <v>146</v>
      </c>
      <c r="D9" s="186">
        <v>60920</v>
      </c>
      <c r="E9" s="320">
        <f>D9</f>
        <v>60920</v>
      </c>
      <c r="F9" s="321"/>
      <c r="G9" s="321"/>
      <c r="H9" s="321">
        <f>E9</f>
        <v>60920</v>
      </c>
      <c r="I9" s="322"/>
    </row>
    <row r="10" spans="1:9" s="308" customFormat="1" ht="12.75" customHeight="1" x14ac:dyDescent="0.25">
      <c r="A10" s="317" t="s">
        <v>887</v>
      </c>
      <c r="B10" s="323">
        <v>46191</v>
      </c>
      <c r="C10" s="324" t="s">
        <v>888</v>
      </c>
      <c r="D10" s="320"/>
      <c r="E10" s="320">
        <f t="shared" ref="E10:E21" si="0">E9+D10</f>
        <v>60920</v>
      </c>
      <c r="F10" s="325">
        <v>19944.400000000001</v>
      </c>
      <c r="G10" s="321">
        <f t="shared" ref="G10:G21" si="1">G9+F10</f>
        <v>19944.400000000001</v>
      </c>
      <c r="H10" s="321">
        <f t="shared" ref="H10:H21" si="2">H9-F10+D10</f>
        <v>40975.599999999999</v>
      </c>
      <c r="I10" s="322"/>
    </row>
    <row r="11" spans="1:9" s="308" customFormat="1" ht="12.75" customHeight="1" x14ac:dyDescent="0.25">
      <c r="A11" s="317" t="s">
        <v>977</v>
      </c>
      <c r="B11" s="318">
        <v>46210</v>
      </c>
      <c r="C11" s="324" t="s">
        <v>978</v>
      </c>
      <c r="D11" s="320"/>
      <c r="E11" s="320">
        <f t="shared" si="0"/>
        <v>60920</v>
      </c>
      <c r="F11" s="325">
        <v>38041.599999999999</v>
      </c>
      <c r="G11" s="321">
        <f t="shared" si="1"/>
        <v>57986</v>
      </c>
      <c r="H11" s="321">
        <f t="shared" si="2"/>
        <v>2934</v>
      </c>
      <c r="I11" s="322"/>
    </row>
    <row r="12" spans="1:9" s="308" customFormat="1" ht="12.75" customHeight="1" x14ac:dyDescent="0.25">
      <c r="A12" s="317"/>
      <c r="B12" s="318"/>
      <c r="C12" s="324"/>
      <c r="D12" s="320"/>
      <c r="E12" s="320">
        <f t="shared" si="0"/>
        <v>60920</v>
      </c>
      <c r="F12" s="326"/>
      <c r="G12" s="321">
        <f t="shared" si="1"/>
        <v>57986</v>
      </c>
      <c r="H12" s="321">
        <f t="shared" si="2"/>
        <v>2934</v>
      </c>
      <c r="I12" s="322"/>
    </row>
    <row r="13" spans="1:9" s="308" customFormat="1" ht="12.75" customHeight="1" x14ac:dyDescent="0.25">
      <c r="A13" s="317"/>
      <c r="B13" s="318"/>
      <c r="C13" s="324"/>
      <c r="D13" s="320"/>
      <c r="E13" s="320">
        <f t="shared" si="0"/>
        <v>60920</v>
      </c>
      <c r="F13" s="326"/>
      <c r="G13" s="321">
        <f t="shared" si="1"/>
        <v>57986</v>
      </c>
      <c r="H13" s="321">
        <f t="shared" si="2"/>
        <v>2934</v>
      </c>
      <c r="I13" s="322"/>
    </row>
    <row r="14" spans="1:9" s="308" customFormat="1" ht="12.75" customHeight="1" x14ac:dyDescent="0.25">
      <c r="A14" s="317"/>
      <c r="B14" s="318"/>
      <c r="C14" s="324"/>
      <c r="D14" s="320"/>
      <c r="E14" s="320">
        <f t="shared" si="0"/>
        <v>60920</v>
      </c>
      <c r="F14" s="321"/>
      <c r="G14" s="321">
        <f t="shared" si="1"/>
        <v>57986</v>
      </c>
      <c r="H14" s="321">
        <f t="shared" si="2"/>
        <v>2934</v>
      </c>
      <c r="I14" s="322"/>
    </row>
    <row r="15" spans="1:9" s="308" customFormat="1" ht="12.75" customHeight="1" x14ac:dyDescent="0.25">
      <c r="A15" s="317"/>
      <c r="B15" s="318"/>
      <c r="C15" s="324"/>
      <c r="D15" s="320"/>
      <c r="E15" s="320">
        <f t="shared" si="0"/>
        <v>60920</v>
      </c>
      <c r="F15" s="326"/>
      <c r="G15" s="321">
        <f t="shared" si="1"/>
        <v>57986</v>
      </c>
      <c r="H15" s="321">
        <f t="shared" si="2"/>
        <v>2934</v>
      </c>
      <c r="I15" s="322"/>
    </row>
    <row r="16" spans="1:9" s="308" customFormat="1" ht="12.75" customHeight="1" x14ac:dyDescent="0.25">
      <c r="A16" s="317"/>
      <c r="B16" s="318"/>
      <c r="C16" s="324"/>
      <c r="D16" s="320"/>
      <c r="E16" s="320">
        <f t="shared" si="0"/>
        <v>60920</v>
      </c>
      <c r="F16" s="326"/>
      <c r="G16" s="321">
        <f t="shared" si="1"/>
        <v>57986</v>
      </c>
      <c r="H16" s="321">
        <f t="shared" si="2"/>
        <v>2934</v>
      </c>
      <c r="I16" s="322"/>
    </row>
    <row r="17" spans="1:9" s="308" customFormat="1" ht="12.75" customHeight="1" x14ac:dyDescent="0.25">
      <c r="A17" s="317"/>
      <c r="B17" s="318"/>
      <c r="C17" s="324"/>
      <c r="D17" s="320"/>
      <c r="E17" s="320">
        <f t="shared" si="0"/>
        <v>60920</v>
      </c>
      <c r="F17" s="326"/>
      <c r="G17" s="321">
        <f t="shared" si="1"/>
        <v>57986</v>
      </c>
      <c r="H17" s="321">
        <f t="shared" si="2"/>
        <v>2934</v>
      </c>
      <c r="I17" s="322"/>
    </row>
    <row r="18" spans="1:9" s="308" customFormat="1" ht="12.75" customHeight="1" x14ac:dyDescent="0.25">
      <c r="A18" s="317"/>
      <c r="B18" s="318"/>
      <c r="C18" s="324"/>
      <c r="D18" s="320"/>
      <c r="E18" s="320">
        <f t="shared" si="0"/>
        <v>60920</v>
      </c>
      <c r="F18" s="326"/>
      <c r="G18" s="321">
        <f t="shared" si="1"/>
        <v>57986</v>
      </c>
      <c r="H18" s="321">
        <f t="shared" si="2"/>
        <v>2934</v>
      </c>
      <c r="I18" s="322"/>
    </row>
    <row r="19" spans="1:9" s="308" customFormat="1" ht="12.75" customHeight="1" x14ac:dyDescent="0.25">
      <c r="A19" s="317"/>
      <c r="B19" s="318"/>
      <c r="C19" s="324"/>
      <c r="D19" s="320"/>
      <c r="E19" s="320">
        <f t="shared" si="0"/>
        <v>60920</v>
      </c>
      <c r="F19" s="321"/>
      <c r="G19" s="321">
        <f t="shared" si="1"/>
        <v>57986</v>
      </c>
      <c r="H19" s="321">
        <f t="shared" si="2"/>
        <v>2934</v>
      </c>
      <c r="I19" s="322"/>
    </row>
    <row r="20" spans="1:9" s="308" customFormat="1" ht="12.75" customHeight="1" x14ac:dyDescent="0.25">
      <c r="A20" s="317"/>
      <c r="B20" s="318"/>
      <c r="C20" s="324"/>
      <c r="D20" s="320"/>
      <c r="E20" s="320">
        <f t="shared" si="0"/>
        <v>60920</v>
      </c>
      <c r="F20" s="321"/>
      <c r="G20" s="321">
        <f t="shared" si="1"/>
        <v>57986</v>
      </c>
      <c r="H20" s="321">
        <f t="shared" si="2"/>
        <v>2934</v>
      </c>
      <c r="I20" s="322"/>
    </row>
    <row r="21" spans="1:9" s="308" customFormat="1" ht="12.75" customHeight="1" x14ac:dyDescent="0.25">
      <c r="A21" s="317"/>
      <c r="B21" s="318"/>
      <c r="C21" s="327"/>
      <c r="D21" s="320"/>
      <c r="E21" s="320">
        <f t="shared" si="0"/>
        <v>60920</v>
      </c>
      <c r="F21" s="321"/>
      <c r="G21" s="321">
        <f t="shared" si="1"/>
        <v>57986</v>
      </c>
      <c r="H21" s="321">
        <f t="shared" si="2"/>
        <v>2934</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60920</v>
      </c>
      <c r="E23" s="184"/>
      <c r="F23" s="184">
        <f>SUM(F9:F22)</f>
        <v>57986</v>
      </c>
      <c r="G23" s="184"/>
      <c r="H23" s="184">
        <f>D23-F23</f>
        <v>2934</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447</v>
      </c>
      <c r="D26" s="321">
        <f>1366</f>
        <v>1366</v>
      </c>
      <c r="E26" s="321"/>
      <c r="F26" s="321">
        <f>546.4+819.6</f>
        <v>1366</v>
      </c>
      <c r="G26" s="321"/>
      <c r="H26" s="321">
        <f>D26-F26</f>
        <v>0</v>
      </c>
      <c r="I26" s="322"/>
    </row>
    <row r="27" spans="1:9" s="308" customFormat="1" ht="12.75" customHeight="1" x14ac:dyDescent="0.25">
      <c r="A27" s="317"/>
      <c r="B27" s="324"/>
      <c r="C27" s="328" t="s">
        <v>233</v>
      </c>
      <c r="D27" s="321">
        <f>48495</f>
        <v>48495</v>
      </c>
      <c r="E27" s="321"/>
      <c r="F27" s="321">
        <f>19398+29097</f>
        <v>48495</v>
      </c>
      <c r="G27" s="321"/>
      <c r="H27" s="321">
        <f t="shared" ref="H27:H30" si="3">D27-F27</f>
        <v>0</v>
      </c>
      <c r="I27" s="322"/>
    </row>
    <row r="28" spans="1:9" s="308" customFormat="1" ht="12.75" customHeight="1" x14ac:dyDescent="0.25">
      <c r="A28" s="317"/>
      <c r="B28" s="324"/>
      <c r="C28" s="328" t="s">
        <v>774</v>
      </c>
      <c r="D28" s="321">
        <f>1515</f>
        <v>1515</v>
      </c>
      <c r="E28" s="321"/>
      <c r="F28" s="321">
        <f>1515</f>
        <v>1515</v>
      </c>
      <c r="G28" s="321"/>
      <c r="H28" s="321">
        <f t="shared" si="3"/>
        <v>0</v>
      </c>
      <c r="I28" s="322"/>
    </row>
    <row r="29" spans="1:9" s="308" customFormat="1" ht="12.75" customHeight="1" x14ac:dyDescent="0.25">
      <c r="A29" s="317"/>
      <c r="B29" s="324"/>
      <c r="C29" s="328" t="s">
        <v>306</v>
      </c>
      <c r="D29" s="321">
        <f>2934</f>
        <v>2934</v>
      </c>
      <c r="E29" s="185"/>
      <c r="F29" s="321"/>
      <c r="G29" s="185"/>
      <c r="H29" s="321">
        <f t="shared" si="3"/>
        <v>2934</v>
      </c>
      <c r="I29" s="322"/>
    </row>
    <row r="30" spans="1:9" s="308" customFormat="1" ht="12.75" customHeight="1" x14ac:dyDescent="0.25">
      <c r="A30" s="317"/>
      <c r="B30" s="324"/>
      <c r="C30" s="328" t="s">
        <v>775</v>
      </c>
      <c r="D30" s="321">
        <v>6610</v>
      </c>
      <c r="E30" s="185"/>
      <c r="F30" s="321">
        <f>6610</f>
        <v>6610</v>
      </c>
      <c r="G30" s="185"/>
      <c r="H30" s="321">
        <f t="shared" si="3"/>
        <v>0</v>
      </c>
      <c r="I30" s="322"/>
    </row>
    <row r="31" spans="1:9" s="308" customFormat="1" ht="12.75" customHeight="1" thickBot="1" x14ac:dyDescent="0.3">
      <c r="A31" s="317"/>
      <c r="B31" s="324"/>
      <c r="C31" s="359" t="s">
        <v>157</v>
      </c>
      <c r="D31" s="360">
        <f>SUM(D26:D30)</f>
        <v>60920</v>
      </c>
      <c r="E31" s="326"/>
      <c r="F31" s="360">
        <f>SUM(F26:F30)</f>
        <v>57986</v>
      </c>
      <c r="G31" s="326"/>
      <c r="H31" s="360">
        <f>SUM(H26:H30)</f>
        <v>2934</v>
      </c>
      <c r="I31" s="322"/>
    </row>
    <row r="32" spans="1:9" s="308" customFormat="1" ht="12.75" customHeight="1" thickTop="1" x14ac:dyDescent="0.25">
      <c r="C32" s="424"/>
    </row>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sheetData>
  <conditionalFormatting sqref="I9:I27">
    <cfRule type="cellIs" dxfId="39" priority="2" operator="greaterThan">
      <formula>$H$23</formula>
    </cfRule>
  </conditionalFormatting>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35411-12B6-467F-ACD4-2DD4841933C3}">
  <sheetPr codeName="Sheet53">
    <tabColor rgb="FF0070C0"/>
    <pageSetUpPr fitToPage="1"/>
  </sheetPr>
  <dimension ref="A1:I51"/>
  <sheetViews>
    <sheetView topLeftCell="A11"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4.14062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#9486.00'!B1</f>
        <v>DVA IVH Fox and Ulery Carpet Replacement</v>
      </c>
      <c r="B1" s="116"/>
      <c r="C1" s="193"/>
      <c r="D1" s="193"/>
      <c r="E1" s="193"/>
      <c r="F1" s="194"/>
      <c r="G1" s="194"/>
      <c r="H1" s="195"/>
      <c r="I1" s="195"/>
    </row>
    <row r="2" spans="1:9" ht="15.75" x14ac:dyDescent="0.25">
      <c r="A2" s="134" t="str">
        <f>'RECAP #9486.00'!B2</f>
        <v>Project # 9486.00</v>
      </c>
      <c r="B2" s="196"/>
      <c r="C2" s="193"/>
      <c r="D2" s="193"/>
      <c r="E2" s="193"/>
      <c r="F2" s="194"/>
      <c r="G2" s="194"/>
      <c r="H2" s="195"/>
      <c r="I2" s="195"/>
    </row>
    <row r="3" spans="1:9" ht="15.75" x14ac:dyDescent="0.25">
      <c r="A3" s="197" t="str">
        <f>'RECAP #9486.00'!B3</f>
        <v>Program code 948600</v>
      </c>
      <c r="B3" s="196"/>
      <c r="C3" s="193"/>
      <c r="D3" s="198" t="str">
        <f>'RECAP #9486.00'!E3</f>
        <v>Major Program 4B03</v>
      </c>
      <c r="E3" s="193"/>
      <c r="F3" s="194"/>
      <c r="G3" s="194"/>
      <c r="H3" s="195"/>
      <c r="I3" s="195"/>
    </row>
    <row r="4" spans="1:9" ht="15.75" x14ac:dyDescent="0.25">
      <c r="A4" s="116" t="s">
        <v>259</v>
      </c>
      <c r="B4" s="134"/>
      <c r="C4" s="195"/>
      <c r="D4" s="199" t="s">
        <v>260</v>
      </c>
      <c r="E4" s="194"/>
      <c r="F4" s="194"/>
      <c r="G4" s="194"/>
      <c r="H4" s="195"/>
      <c r="I4" s="195"/>
    </row>
    <row r="5" spans="1:9" ht="15.75" x14ac:dyDescent="0.25">
      <c r="A5" s="200" t="s">
        <v>147</v>
      </c>
      <c r="B5" s="195"/>
      <c r="C5" s="201"/>
      <c r="D5" s="140" t="s">
        <v>261</v>
      </c>
      <c r="E5" s="145"/>
      <c r="F5" s="194"/>
      <c r="G5" s="194"/>
      <c r="H5" s="195"/>
      <c r="I5" s="195"/>
    </row>
    <row r="6" spans="1:9" ht="15.75" x14ac:dyDescent="0.25">
      <c r="A6" s="134" t="str">
        <f>'RECAP #9486.00'!B6</f>
        <v>Project Manager - Brandon A</v>
      </c>
      <c r="B6" s="134"/>
      <c r="C6" s="202"/>
      <c r="D6" s="300" t="s">
        <v>262</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264</v>
      </c>
      <c r="B9" s="383">
        <v>45930</v>
      </c>
      <c r="C9" s="391" t="s">
        <v>263</v>
      </c>
      <c r="D9" s="385">
        <v>783113</v>
      </c>
      <c r="E9" s="386">
        <f>D9</f>
        <v>783113</v>
      </c>
      <c r="F9" s="387"/>
      <c r="G9" s="387"/>
      <c r="H9" s="387">
        <f>E9</f>
        <v>783113</v>
      </c>
      <c r="I9" s="388"/>
    </row>
    <row r="10" spans="1:9" s="389" customFormat="1" ht="12.75" customHeight="1" x14ac:dyDescent="0.25">
      <c r="A10" s="382" t="s">
        <v>288</v>
      </c>
      <c r="B10" s="390">
        <v>45961</v>
      </c>
      <c r="C10" s="391" t="s">
        <v>289</v>
      </c>
      <c r="D10" s="386"/>
      <c r="E10" s="386">
        <f t="shared" ref="E10:E21" si="0">E9+D10</f>
        <v>783113</v>
      </c>
      <c r="F10" s="392">
        <v>293919</v>
      </c>
      <c r="G10" s="387">
        <f t="shared" ref="G10:G21" si="1">G9+F10</f>
        <v>293919</v>
      </c>
      <c r="H10" s="387">
        <f t="shared" ref="H10:H21" si="2">H9-F10+D10</f>
        <v>489194</v>
      </c>
      <c r="I10" s="388"/>
    </row>
    <row r="11" spans="1:9" s="389" customFormat="1" ht="12.75" customHeight="1" x14ac:dyDescent="0.25">
      <c r="A11" s="382" t="s">
        <v>264</v>
      </c>
      <c r="B11" s="383">
        <v>45996</v>
      </c>
      <c r="C11" s="391" t="s">
        <v>212</v>
      </c>
      <c r="D11" s="385">
        <v>12260</v>
      </c>
      <c r="E11" s="386">
        <f t="shared" si="0"/>
        <v>795373</v>
      </c>
      <c r="F11" s="392"/>
      <c r="G11" s="387">
        <f t="shared" si="1"/>
        <v>293919</v>
      </c>
      <c r="H11" s="387">
        <f t="shared" si="2"/>
        <v>501454</v>
      </c>
      <c r="I11" s="388"/>
    </row>
    <row r="12" spans="1:9" s="389" customFormat="1" ht="12.75" customHeight="1" x14ac:dyDescent="0.25">
      <c r="A12" s="382" t="s">
        <v>397</v>
      </c>
      <c r="B12" s="383">
        <v>46020</v>
      </c>
      <c r="C12" s="391" t="s">
        <v>398</v>
      </c>
      <c r="D12" s="386"/>
      <c r="E12" s="386">
        <f t="shared" si="0"/>
        <v>795373</v>
      </c>
      <c r="F12" s="392">
        <v>116843</v>
      </c>
      <c r="G12" s="387">
        <f t="shared" si="1"/>
        <v>410762</v>
      </c>
      <c r="H12" s="387">
        <f t="shared" si="2"/>
        <v>384611</v>
      </c>
      <c r="I12" s="388"/>
    </row>
    <row r="13" spans="1:9" s="389" customFormat="1" ht="12.75" customHeight="1" x14ac:dyDescent="0.25">
      <c r="A13" s="382" t="s">
        <v>424</v>
      </c>
      <c r="B13" s="383">
        <v>46038</v>
      </c>
      <c r="C13" s="391" t="s">
        <v>425</v>
      </c>
      <c r="D13" s="386"/>
      <c r="E13" s="386">
        <f t="shared" si="0"/>
        <v>795373</v>
      </c>
      <c r="F13" s="392">
        <v>98971</v>
      </c>
      <c r="G13" s="387">
        <f t="shared" si="1"/>
        <v>509733</v>
      </c>
      <c r="H13" s="387">
        <f t="shared" si="2"/>
        <v>285640</v>
      </c>
      <c r="I13" s="388"/>
    </row>
    <row r="14" spans="1:9" s="389" customFormat="1" ht="12.75" customHeight="1" x14ac:dyDescent="0.25">
      <c r="A14" s="382" t="s">
        <v>486</v>
      </c>
      <c r="B14" s="383">
        <v>46059</v>
      </c>
      <c r="C14" s="391" t="s">
        <v>487</v>
      </c>
      <c r="D14" s="386"/>
      <c r="E14" s="386">
        <f t="shared" si="0"/>
        <v>795373</v>
      </c>
      <c r="F14" s="392">
        <v>91697</v>
      </c>
      <c r="G14" s="387">
        <f t="shared" si="1"/>
        <v>601430</v>
      </c>
      <c r="H14" s="387">
        <f t="shared" si="2"/>
        <v>193943</v>
      </c>
      <c r="I14" s="388"/>
    </row>
    <row r="15" spans="1:9" s="389" customFormat="1" ht="12.75" customHeight="1" x14ac:dyDescent="0.25">
      <c r="A15" s="382" t="s">
        <v>264</v>
      </c>
      <c r="B15" s="383">
        <v>46105</v>
      </c>
      <c r="C15" s="391" t="s">
        <v>287</v>
      </c>
      <c r="D15" s="385">
        <v>31612</v>
      </c>
      <c r="E15" s="386">
        <f t="shared" si="0"/>
        <v>826985</v>
      </c>
      <c r="F15" s="392"/>
      <c r="G15" s="387">
        <f t="shared" si="1"/>
        <v>601430</v>
      </c>
      <c r="H15" s="387">
        <f t="shared" si="2"/>
        <v>225555</v>
      </c>
      <c r="I15" s="388"/>
    </row>
    <row r="16" spans="1:9" s="389" customFormat="1" ht="12.75" customHeight="1" x14ac:dyDescent="0.25">
      <c r="A16" s="382" t="s">
        <v>602</v>
      </c>
      <c r="B16" s="383">
        <v>46111</v>
      </c>
      <c r="C16" s="391" t="s">
        <v>603</v>
      </c>
      <c r="D16" s="386"/>
      <c r="E16" s="386">
        <f t="shared" si="0"/>
        <v>826985</v>
      </c>
      <c r="F16" s="392">
        <v>93758</v>
      </c>
      <c r="G16" s="387">
        <f t="shared" si="1"/>
        <v>695188</v>
      </c>
      <c r="H16" s="387">
        <f t="shared" si="2"/>
        <v>131797</v>
      </c>
      <c r="I16" s="388"/>
    </row>
    <row r="17" spans="1:9" s="389" customFormat="1" ht="12.75" customHeight="1" x14ac:dyDescent="0.25">
      <c r="A17" s="382" t="s">
        <v>687</v>
      </c>
      <c r="B17" s="383">
        <v>46134</v>
      </c>
      <c r="C17" s="391" t="s">
        <v>688</v>
      </c>
      <c r="D17" s="386"/>
      <c r="E17" s="386">
        <f t="shared" si="0"/>
        <v>826985</v>
      </c>
      <c r="F17" s="392">
        <v>131797</v>
      </c>
      <c r="G17" s="387">
        <f t="shared" si="1"/>
        <v>826985</v>
      </c>
      <c r="H17" s="387">
        <f t="shared" si="2"/>
        <v>0</v>
      </c>
      <c r="I17" s="388"/>
    </row>
    <row r="18" spans="1:9" s="389" customFormat="1" ht="12.75" customHeight="1" x14ac:dyDescent="0.25">
      <c r="A18" s="382"/>
      <c r="B18" s="383"/>
      <c r="C18" s="391"/>
      <c r="D18" s="386"/>
      <c r="E18" s="386">
        <f t="shared" si="0"/>
        <v>826985</v>
      </c>
      <c r="F18" s="392"/>
      <c r="G18" s="387">
        <f t="shared" si="1"/>
        <v>826985</v>
      </c>
      <c r="H18" s="387">
        <f t="shared" si="2"/>
        <v>0</v>
      </c>
      <c r="I18" s="388"/>
    </row>
    <row r="19" spans="1:9" s="389" customFormat="1" ht="12.75" customHeight="1" x14ac:dyDescent="0.25">
      <c r="A19" s="382"/>
      <c r="B19" s="383"/>
      <c r="C19" s="391"/>
      <c r="D19" s="386"/>
      <c r="E19" s="386">
        <f t="shared" si="0"/>
        <v>826985</v>
      </c>
      <c r="F19" s="387"/>
      <c r="G19" s="387">
        <f t="shared" si="1"/>
        <v>826985</v>
      </c>
      <c r="H19" s="387">
        <f t="shared" si="2"/>
        <v>0</v>
      </c>
      <c r="I19" s="388"/>
    </row>
    <row r="20" spans="1:9" s="389" customFormat="1" ht="12.75" customHeight="1" x14ac:dyDescent="0.25">
      <c r="A20" s="382"/>
      <c r="B20" s="383"/>
      <c r="C20" s="391"/>
      <c r="D20" s="386"/>
      <c r="E20" s="386">
        <f t="shared" si="0"/>
        <v>826985</v>
      </c>
      <c r="F20" s="387"/>
      <c r="G20" s="387">
        <f t="shared" si="1"/>
        <v>826985</v>
      </c>
      <c r="H20" s="387">
        <f t="shared" si="2"/>
        <v>0</v>
      </c>
      <c r="I20" s="388"/>
    </row>
    <row r="21" spans="1:9" s="389" customFormat="1" ht="12.75" customHeight="1" x14ac:dyDescent="0.25">
      <c r="A21" s="382"/>
      <c r="B21" s="383"/>
      <c r="C21" s="393"/>
      <c r="D21" s="386"/>
      <c r="E21" s="386">
        <f t="shared" si="0"/>
        <v>826985</v>
      </c>
      <c r="F21" s="387"/>
      <c r="G21" s="387">
        <f t="shared" si="1"/>
        <v>826985</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826985</v>
      </c>
      <c r="E23" s="396"/>
      <c r="F23" s="396">
        <f>SUM(F9:F22)</f>
        <v>826985</v>
      </c>
      <c r="G23" s="396"/>
      <c r="H23" s="396">
        <f>D23-F23</f>
        <v>0</v>
      </c>
      <c r="I23" s="397"/>
    </row>
    <row r="24" spans="1:9" s="389" customFormat="1" ht="12.75" customHeight="1" thickTop="1" x14ac:dyDescent="0.25"/>
    <row r="25" spans="1:9" s="389" customFormat="1" ht="12.75" customHeight="1" x14ac:dyDescent="0.25"/>
    <row r="26" spans="1:9" s="389" customFormat="1" ht="12.75" customHeight="1" x14ac:dyDescent="0.25"/>
    <row r="27" spans="1:9" s="389" customFormat="1" ht="12.75" customHeight="1" x14ac:dyDescent="0.25"/>
    <row r="28" spans="1:9" s="389" customFormat="1" ht="12.75" customHeight="1" x14ac:dyDescent="0.25"/>
    <row r="29" spans="1:9" s="389" customFormat="1" ht="12.75" customHeight="1" x14ac:dyDescent="0.25"/>
    <row r="30" spans="1:9" s="389" customFormat="1" ht="12.75" customHeight="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row r="51" s="389"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E4DDA-296A-4238-A08F-A0A839FFEC6A}">
  <sheetPr codeName="Sheet54">
    <tabColor rgb="FF0070C0"/>
    <pageSetUpPr fitToPage="1"/>
  </sheetPr>
  <dimension ref="A1:I87"/>
  <sheetViews>
    <sheetView topLeftCell="A6"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3.7109375"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#9486.00'!B1</f>
        <v>DVA IVH Fox and Ulery Carpet Replacement</v>
      </c>
      <c r="B1" s="116"/>
      <c r="C1" s="193"/>
      <c r="D1" s="193"/>
      <c r="E1" s="193"/>
      <c r="F1" s="194"/>
      <c r="G1" s="194"/>
      <c r="H1" s="195"/>
      <c r="I1" s="195"/>
    </row>
    <row r="2" spans="1:9" ht="15.75" x14ac:dyDescent="0.25">
      <c r="A2" s="134" t="str">
        <f>'RECAP #9486.00'!B2</f>
        <v>Project # 9486.00</v>
      </c>
      <c r="B2" s="196"/>
      <c r="C2" s="193"/>
      <c r="D2" s="193"/>
      <c r="E2" s="193"/>
      <c r="F2" s="194"/>
      <c r="G2" s="194"/>
      <c r="H2" s="195"/>
      <c r="I2" s="195"/>
    </row>
    <row r="3" spans="1:9" ht="15.75" x14ac:dyDescent="0.25">
      <c r="A3" s="197" t="str">
        <f>'RECAP #9486.00'!B3</f>
        <v>Program code 948600</v>
      </c>
      <c r="B3" s="196"/>
      <c r="C3" s="193"/>
      <c r="D3" s="198" t="str">
        <f>'RECAP #9486.00'!E3</f>
        <v>Major Program 4B03</v>
      </c>
      <c r="E3" s="193"/>
      <c r="F3" s="194"/>
      <c r="G3" s="194"/>
      <c r="H3" s="195"/>
      <c r="I3" s="195"/>
    </row>
    <row r="4" spans="1:9" ht="15.75" x14ac:dyDescent="0.25">
      <c r="A4" s="116" t="s">
        <v>312</v>
      </c>
      <c r="B4" s="134"/>
      <c r="C4" s="195"/>
      <c r="D4" s="199" t="s">
        <v>198</v>
      </c>
      <c r="E4" s="194"/>
      <c r="F4" s="194"/>
      <c r="G4" s="194"/>
      <c r="H4" s="195"/>
      <c r="I4" s="195"/>
    </row>
    <row r="5" spans="1:9" ht="15.75" x14ac:dyDescent="0.25">
      <c r="A5" s="200" t="s">
        <v>147</v>
      </c>
      <c r="B5" s="195"/>
      <c r="C5" s="201"/>
      <c r="D5" s="140" t="s">
        <v>199</v>
      </c>
      <c r="E5" s="145"/>
      <c r="F5" s="194"/>
      <c r="G5" s="194"/>
      <c r="H5" s="195"/>
      <c r="I5" s="195"/>
    </row>
    <row r="6" spans="1:9" ht="15.75" x14ac:dyDescent="0.25">
      <c r="A6" s="134" t="str">
        <f>'RECAP #9486.00'!B6</f>
        <v>Project Manager - Brandon A</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93" t="s">
        <v>315</v>
      </c>
      <c r="B9" s="383">
        <v>45967</v>
      </c>
      <c r="C9" s="391" t="s">
        <v>146</v>
      </c>
      <c r="D9" s="385">
        <v>128119.75</v>
      </c>
      <c r="E9" s="386">
        <f>D9</f>
        <v>128119.75</v>
      </c>
      <c r="F9" s="387"/>
      <c r="G9" s="387"/>
      <c r="H9" s="387">
        <f>E9</f>
        <v>128119.75</v>
      </c>
      <c r="I9" s="388"/>
    </row>
    <row r="10" spans="1:9" s="389" customFormat="1" ht="12.75" customHeight="1" x14ac:dyDescent="0.25">
      <c r="A10" s="393" t="s">
        <v>390</v>
      </c>
      <c r="B10" s="390">
        <v>46014</v>
      </c>
      <c r="C10" s="391" t="s">
        <v>391</v>
      </c>
      <c r="D10" s="386"/>
      <c r="E10" s="386">
        <f t="shared" ref="E10:E21" si="0">E9+D10</f>
        <v>128119.75</v>
      </c>
      <c r="F10" s="392">
        <v>5787.75</v>
      </c>
      <c r="G10" s="387">
        <f t="shared" ref="G10:G21" si="1">G9+F10</f>
        <v>5787.75</v>
      </c>
      <c r="H10" s="387">
        <f t="shared" ref="H10:H21" si="2">H9-F10+D10</f>
        <v>122332</v>
      </c>
      <c r="I10" s="388"/>
    </row>
    <row r="11" spans="1:9" s="389" customFormat="1" ht="12.75" customHeight="1" x14ac:dyDescent="0.25">
      <c r="A11" s="393" t="s">
        <v>451</v>
      </c>
      <c r="B11" s="383">
        <v>46048</v>
      </c>
      <c r="C11" s="391" t="s">
        <v>452</v>
      </c>
      <c r="D11" s="386"/>
      <c r="E11" s="386">
        <f t="shared" si="0"/>
        <v>128119.75</v>
      </c>
      <c r="F11" s="392">
        <v>9970.9599999999991</v>
      </c>
      <c r="G11" s="387">
        <f t="shared" si="1"/>
        <v>15758.71</v>
      </c>
      <c r="H11" s="387">
        <f t="shared" si="2"/>
        <v>112361.04000000001</v>
      </c>
      <c r="I11" s="388"/>
    </row>
    <row r="12" spans="1:9" s="389" customFormat="1" ht="12.75" customHeight="1" x14ac:dyDescent="0.25">
      <c r="A12" s="393" t="s">
        <v>508</v>
      </c>
      <c r="B12" s="383">
        <v>46066</v>
      </c>
      <c r="C12" s="391" t="s">
        <v>509</v>
      </c>
      <c r="D12" s="386"/>
      <c r="E12" s="386">
        <f t="shared" si="0"/>
        <v>128119.75</v>
      </c>
      <c r="F12" s="392">
        <v>5942.93</v>
      </c>
      <c r="G12" s="387">
        <f t="shared" si="1"/>
        <v>21701.64</v>
      </c>
      <c r="H12" s="387">
        <f t="shared" si="2"/>
        <v>106418.11000000002</v>
      </c>
      <c r="I12" s="388"/>
    </row>
    <row r="13" spans="1:9" s="389" customFormat="1" ht="12.75" customHeight="1" x14ac:dyDescent="0.25">
      <c r="A13" s="393" t="s">
        <v>581</v>
      </c>
      <c r="B13" s="383">
        <v>46101</v>
      </c>
      <c r="C13" s="391" t="s">
        <v>582</v>
      </c>
      <c r="D13" s="386"/>
      <c r="E13" s="386">
        <f t="shared" si="0"/>
        <v>128119.75</v>
      </c>
      <c r="F13" s="392">
        <v>25390.799999999999</v>
      </c>
      <c r="G13" s="387">
        <f t="shared" si="1"/>
        <v>47092.44</v>
      </c>
      <c r="H13" s="387">
        <f t="shared" si="2"/>
        <v>81027.310000000012</v>
      </c>
      <c r="I13" s="388"/>
    </row>
    <row r="14" spans="1:9" s="389" customFormat="1" ht="12.75" customHeight="1" x14ac:dyDescent="0.25">
      <c r="A14" s="393" t="s">
        <v>683</v>
      </c>
      <c r="B14" s="383">
        <v>46133</v>
      </c>
      <c r="C14" s="391" t="s">
        <v>684</v>
      </c>
      <c r="D14" s="386"/>
      <c r="E14" s="386">
        <f t="shared" si="0"/>
        <v>128119.75</v>
      </c>
      <c r="F14" s="392">
        <v>18830.29</v>
      </c>
      <c r="G14" s="387">
        <f t="shared" si="1"/>
        <v>65922.73000000001</v>
      </c>
      <c r="H14" s="387">
        <f t="shared" si="2"/>
        <v>62197.020000000011</v>
      </c>
      <c r="I14" s="388"/>
    </row>
    <row r="15" spans="1:9" s="389" customFormat="1" ht="12.75" customHeight="1" x14ac:dyDescent="0.25">
      <c r="A15" s="393" t="s">
        <v>776</v>
      </c>
      <c r="B15" s="383">
        <v>46162</v>
      </c>
      <c r="C15" s="391" t="s">
        <v>777</v>
      </c>
      <c r="D15" s="385">
        <v>-49811.31</v>
      </c>
      <c r="E15" s="386">
        <f t="shared" si="0"/>
        <v>78308.44</v>
      </c>
      <c r="F15" s="392">
        <v>12385.71</v>
      </c>
      <c r="G15" s="387">
        <f t="shared" si="1"/>
        <v>78308.44</v>
      </c>
      <c r="H15" s="387">
        <f t="shared" si="2"/>
        <v>0</v>
      </c>
      <c r="I15" s="388"/>
    </row>
    <row r="16" spans="1:9" s="389" customFormat="1" ht="12.75" customHeight="1" x14ac:dyDescent="0.25">
      <c r="A16" s="382"/>
      <c r="B16" s="383"/>
      <c r="C16" s="391"/>
      <c r="D16" s="386"/>
      <c r="E16" s="386">
        <f t="shared" si="0"/>
        <v>78308.44</v>
      </c>
      <c r="F16" s="392"/>
      <c r="G16" s="387">
        <f t="shared" si="1"/>
        <v>78308.44</v>
      </c>
      <c r="H16" s="387">
        <f t="shared" si="2"/>
        <v>0</v>
      </c>
      <c r="I16" s="388"/>
    </row>
    <row r="17" spans="1:9" s="389" customFormat="1" ht="12.75" customHeight="1" x14ac:dyDescent="0.25">
      <c r="A17" s="382"/>
      <c r="B17" s="383"/>
      <c r="C17" s="391"/>
      <c r="D17" s="386"/>
      <c r="E17" s="386">
        <f t="shared" si="0"/>
        <v>78308.44</v>
      </c>
      <c r="F17" s="392"/>
      <c r="G17" s="387">
        <f t="shared" si="1"/>
        <v>78308.44</v>
      </c>
      <c r="H17" s="387">
        <f t="shared" si="2"/>
        <v>0</v>
      </c>
      <c r="I17" s="388"/>
    </row>
    <row r="18" spans="1:9" s="389" customFormat="1" ht="12.75" customHeight="1" x14ac:dyDescent="0.25">
      <c r="A18" s="382"/>
      <c r="B18" s="383"/>
      <c r="C18" s="391"/>
      <c r="D18" s="386"/>
      <c r="E18" s="386">
        <f t="shared" si="0"/>
        <v>78308.44</v>
      </c>
      <c r="F18" s="392"/>
      <c r="G18" s="387">
        <f t="shared" si="1"/>
        <v>78308.44</v>
      </c>
      <c r="H18" s="387">
        <f t="shared" si="2"/>
        <v>0</v>
      </c>
      <c r="I18" s="388"/>
    </row>
    <row r="19" spans="1:9" s="389" customFormat="1" ht="12.75" customHeight="1" x14ac:dyDescent="0.25">
      <c r="A19" s="382"/>
      <c r="B19" s="383"/>
      <c r="C19" s="391"/>
      <c r="D19" s="386"/>
      <c r="E19" s="386">
        <f t="shared" si="0"/>
        <v>78308.44</v>
      </c>
      <c r="F19" s="392"/>
      <c r="G19" s="387">
        <f t="shared" si="1"/>
        <v>78308.44</v>
      </c>
      <c r="H19" s="387">
        <f t="shared" si="2"/>
        <v>0</v>
      </c>
      <c r="I19" s="388"/>
    </row>
    <row r="20" spans="1:9" s="389" customFormat="1" ht="12.75" customHeight="1" x14ac:dyDescent="0.25">
      <c r="A20" s="382"/>
      <c r="B20" s="383"/>
      <c r="C20" s="391"/>
      <c r="D20" s="386"/>
      <c r="E20" s="386">
        <f t="shared" si="0"/>
        <v>78308.44</v>
      </c>
      <c r="F20" s="392"/>
      <c r="G20" s="387">
        <f t="shared" si="1"/>
        <v>78308.44</v>
      </c>
      <c r="H20" s="387">
        <f t="shared" si="2"/>
        <v>0</v>
      </c>
      <c r="I20" s="388"/>
    </row>
    <row r="21" spans="1:9" s="389" customFormat="1" ht="12.75" customHeight="1" x14ac:dyDescent="0.25">
      <c r="A21" s="382"/>
      <c r="B21" s="383"/>
      <c r="C21" s="393"/>
      <c r="D21" s="386"/>
      <c r="E21" s="386">
        <f t="shared" si="0"/>
        <v>78308.44</v>
      </c>
      <c r="F21" s="392"/>
      <c r="G21" s="387">
        <f t="shared" si="1"/>
        <v>78308.44</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78308.44</v>
      </c>
      <c r="E23" s="396"/>
      <c r="F23" s="396">
        <f>SUM(F9:F22)</f>
        <v>78308.44</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313</v>
      </c>
      <c r="D26" s="387">
        <f>83964.1-46233.66</f>
        <v>37730.44</v>
      </c>
      <c r="E26" s="387"/>
      <c r="F26" s="387">
        <f>3701.22+7884.43+5839.93+3803.69+8915.87+7585.3</f>
        <v>37730.44</v>
      </c>
      <c r="G26" s="387"/>
      <c r="H26" s="387">
        <f>D26-F26</f>
        <v>0</v>
      </c>
      <c r="I26" s="388"/>
    </row>
    <row r="27" spans="1:9" s="389" customFormat="1" ht="12.75" customHeight="1" x14ac:dyDescent="0.25">
      <c r="A27" s="382"/>
      <c r="B27" s="391"/>
      <c r="C27" s="372" t="s">
        <v>253</v>
      </c>
      <c r="D27" s="387">
        <f>5000-3577.65</f>
        <v>1422.35</v>
      </c>
      <c r="E27" s="387"/>
      <c r="F27" s="387">
        <f>128.75+128.75+103+51.5+128.75+881.6</f>
        <v>1422.35</v>
      </c>
      <c r="G27" s="387"/>
      <c r="H27" s="387">
        <f t="shared" ref="H27:H28" si="3">D27-F27</f>
        <v>0</v>
      </c>
      <c r="I27" s="388"/>
    </row>
    <row r="28" spans="1:9" s="389" customFormat="1" ht="12.75" customHeight="1" x14ac:dyDescent="0.25">
      <c r="A28" s="382"/>
      <c r="B28" s="391"/>
      <c r="C28" s="372" t="s">
        <v>314</v>
      </c>
      <c r="D28" s="387">
        <v>39155.65</v>
      </c>
      <c r="E28" s="398"/>
      <c r="F28" s="387">
        <f>1957.78+1957.78+21535.61+9785.67+3918.81</f>
        <v>39155.65</v>
      </c>
      <c r="G28" s="398"/>
      <c r="H28" s="387">
        <f t="shared" si="3"/>
        <v>0</v>
      </c>
      <c r="I28" s="388"/>
    </row>
    <row r="29" spans="1:9" s="389" customFormat="1" ht="12.75" customHeight="1" thickBot="1" x14ac:dyDescent="0.3">
      <c r="A29" s="382"/>
      <c r="B29" s="391"/>
      <c r="C29" s="399" t="s">
        <v>157</v>
      </c>
      <c r="D29" s="400">
        <f>SUM(D26:D28)</f>
        <v>78308.44</v>
      </c>
      <c r="E29" s="392"/>
      <c r="F29" s="400">
        <f>SUM(F26:F28)</f>
        <v>78308.44</v>
      </c>
      <c r="G29" s="392"/>
      <c r="H29" s="400">
        <f>SUM(H26:H28)</f>
        <v>0</v>
      </c>
      <c r="I29" s="388"/>
    </row>
    <row r="30" spans="1:9" s="389" customFormat="1" ht="12.75" customHeight="1" thickTop="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row r="35" s="389" customFormat="1" ht="12.75" customHeight="1" x14ac:dyDescent="0.25"/>
    <row r="36" s="389" customFormat="1" ht="12.75" customHeight="1" x14ac:dyDescent="0.25"/>
    <row r="37" s="389" customFormat="1" ht="12.75" customHeight="1" x14ac:dyDescent="0.25"/>
    <row r="38" s="389" customFormat="1" ht="12.75" customHeight="1" x14ac:dyDescent="0.25"/>
    <row r="39" s="389" customFormat="1" ht="12.75" customHeight="1" x14ac:dyDescent="0.25"/>
    <row r="40" s="389" customFormat="1" ht="12.75" customHeight="1" x14ac:dyDescent="0.25"/>
    <row r="41" s="389" customFormat="1" ht="12.75" customHeight="1" x14ac:dyDescent="0.25"/>
    <row r="42" s="389" customFormat="1" ht="12.75" customHeight="1" x14ac:dyDescent="0.25"/>
    <row r="43" s="389" customFormat="1" ht="12.75" customHeight="1" x14ac:dyDescent="0.25"/>
    <row r="44" s="389" customFormat="1" ht="12.75" customHeight="1" x14ac:dyDescent="0.25"/>
    <row r="45" s="389" customFormat="1" ht="12.75" customHeight="1" x14ac:dyDescent="0.25"/>
    <row r="46" s="389" customFormat="1" ht="12.75" customHeight="1" x14ac:dyDescent="0.25"/>
    <row r="47" s="389" customFormat="1" ht="12.75" customHeight="1" x14ac:dyDescent="0.25"/>
    <row r="48" s="389" customFormat="1" ht="12.75" customHeight="1" x14ac:dyDescent="0.25"/>
    <row r="49" s="389" customFormat="1" ht="12.75" customHeight="1" x14ac:dyDescent="0.25"/>
    <row r="50" s="389" customFormat="1" ht="12.75" customHeight="1" x14ac:dyDescent="0.25"/>
    <row r="51" s="389" customFormat="1" ht="12.75" customHeight="1" x14ac:dyDescent="0.25"/>
    <row r="52" s="389" customFormat="1" ht="12.75" customHeight="1" x14ac:dyDescent="0.25"/>
    <row r="53" s="389" customFormat="1" ht="12.75" customHeight="1" x14ac:dyDescent="0.25"/>
    <row r="54" s="389" customFormat="1" ht="12.75" customHeight="1" x14ac:dyDescent="0.25"/>
    <row r="55" s="389" customFormat="1" ht="12.75" customHeight="1" x14ac:dyDescent="0.25"/>
    <row r="56" s="389" customFormat="1" ht="12.75" customHeight="1" x14ac:dyDescent="0.25"/>
    <row r="57" s="389" customFormat="1" ht="12.75" customHeight="1" x14ac:dyDescent="0.25"/>
    <row r="58" s="389" customFormat="1" ht="12.75" customHeight="1" x14ac:dyDescent="0.25"/>
    <row r="59" s="389" customFormat="1" ht="12.75" customHeight="1" x14ac:dyDescent="0.25"/>
    <row r="60" s="389" customFormat="1" ht="12.75" customHeight="1" x14ac:dyDescent="0.25"/>
    <row r="61" s="389" customFormat="1" ht="12.75" customHeight="1" x14ac:dyDescent="0.25"/>
    <row r="62" s="389" customFormat="1" ht="12.75" customHeight="1" x14ac:dyDescent="0.25"/>
    <row r="63" s="389" customFormat="1" ht="12.75" customHeight="1" x14ac:dyDescent="0.25"/>
    <row r="64" s="389" customFormat="1" ht="12.75" customHeight="1" x14ac:dyDescent="0.25"/>
    <row r="65" s="389" customFormat="1" ht="12.75" customHeight="1" x14ac:dyDescent="0.25"/>
    <row r="66" s="389" customFormat="1" ht="12.75" customHeight="1" x14ac:dyDescent="0.25"/>
    <row r="67" s="389" customFormat="1" ht="12.75" customHeight="1" x14ac:dyDescent="0.25"/>
    <row r="68" s="389" customFormat="1" ht="12.75" customHeight="1" x14ac:dyDescent="0.25"/>
    <row r="69" s="389" customFormat="1" ht="12.75" customHeight="1" x14ac:dyDescent="0.25"/>
    <row r="70" s="389" customFormat="1" ht="12.75" customHeight="1" x14ac:dyDescent="0.25"/>
    <row r="71" s="389" customFormat="1" ht="12.75" customHeight="1" x14ac:dyDescent="0.25"/>
    <row r="72" s="389" customFormat="1" ht="12.75" customHeight="1" x14ac:dyDescent="0.25"/>
    <row r="73" s="389" customFormat="1" ht="12.75" customHeight="1" x14ac:dyDescent="0.25"/>
    <row r="74" s="389" customFormat="1" ht="12.75" customHeight="1" x14ac:dyDescent="0.25"/>
    <row r="75" s="389" customFormat="1" ht="12.75" customHeight="1" x14ac:dyDescent="0.25"/>
    <row r="76" s="389" customFormat="1" ht="12.75" customHeight="1" x14ac:dyDescent="0.25"/>
    <row r="77" s="389" customFormat="1" ht="12.75" customHeight="1" x14ac:dyDescent="0.25"/>
    <row r="78" s="389" customFormat="1" ht="12.75" customHeight="1" x14ac:dyDescent="0.25"/>
    <row r="79" s="389" customFormat="1" ht="12.75" customHeight="1" x14ac:dyDescent="0.25"/>
    <row r="80" s="389" customFormat="1" ht="12.75" customHeight="1" x14ac:dyDescent="0.25"/>
    <row r="81" s="389" customFormat="1" ht="12.75" customHeight="1" x14ac:dyDescent="0.25"/>
    <row r="82" s="389" customFormat="1" ht="12.75" customHeight="1" x14ac:dyDescent="0.25"/>
    <row r="83" s="389" customFormat="1" ht="12.75" customHeight="1" x14ac:dyDescent="0.25"/>
    <row r="84" s="389" customFormat="1" ht="12.75" customHeight="1" x14ac:dyDescent="0.25"/>
    <row r="85" s="389" customFormat="1" ht="12.75" customHeight="1" x14ac:dyDescent="0.25"/>
    <row r="86" s="389" customFormat="1" ht="12.75" customHeight="1" x14ac:dyDescent="0.25"/>
    <row r="87" s="389"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44721-C722-4C05-B2BE-E916A2C55F7C}">
  <sheetPr>
    <pageSetUpPr fitToPage="1"/>
  </sheetPr>
  <dimension ref="A1:G51"/>
  <sheetViews>
    <sheetView topLeftCell="A3" zoomScaleNormal="100" workbookViewId="0">
      <selection activeCell="B25" sqref="B2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706</v>
      </c>
      <c r="C1" s="86"/>
      <c r="D1" s="6"/>
      <c r="E1" s="6"/>
      <c r="F1" s="6"/>
      <c r="G1" s="6"/>
    </row>
    <row r="2" spans="1:7" ht="15.75" x14ac:dyDescent="0.25">
      <c r="A2" s="84"/>
      <c r="B2" s="88" t="s">
        <v>707</v>
      </c>
      <c r="C2" s="87"/>
      <c r="D2" s="6"/>
      <c r="E2" s="6"/>
      <c r="F2" s="6"/>
      <c r="G2" s="6"/>
    </row>
    <row r="3" spans="1:7" ht="15.75" x14ac:dyDescent="0.25">
      <c r="A3" s="84"/>
      <c r="B3" s="89" t="s">
        <v>708</v>
      </c>
      <c r="C3" s="87"/>
      <c r="D3" s="6"/>
      <c r="E3" s="90" t="s">
        <v>90</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136</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'#9486.01 Funds Rec''d'!H24</f>
        <v>81147.94</v>
      </c>
      <c r="D8" s="102"/>
      <c r="E8" s="102"/>
      <c r="F8" s="102"/>
      <c r="G8" s="103"/>
    </row>
    <row r="9" spans="1:7" x14ac:dyDescent="0.25">
      <c r="A9" s="84"/>
      <c r="B9" s="87"/>
      <c r="C9" s="104"/>
      <c r="D9" s="105"/>
      <c r="E9" s="105"/>
      <c r="F9" s="105"/>
      <c r="G9" s="103"/>
    </row>
    <row r="10" spans="1:7" x14ac:dyDescent="0.25">
      <c r="A10" s="84"/>
      <c r="B10" s="87" t="s">
        <v>713</v>
      </c>
      <c r="C10" s="104"/>
      <c r="D10" s="102">
        <f>'#9486.01 Horizon Architecture'!D23</f>
        <v>12633</v>
      </c>
      <c r="E10" s="102">
        <f>'#9486.01 Horizon Architecture'!F23</f>
        <v>6288.05</v>
      </c>
      <c r="F10" s="102">
        <f>'#9486.01 Horizon Architecture'!H23</f>
        <v>6344.95</v>
      </c>
      <c r="G10" s="103"/>
    </row>
    <row r="11" spans="1:7" x14ac:dyDescent="0.25">
      <c r="A11" s="84"/>
      <c r="B11" s="87" t="s">
        <v>41</v>
      </c>
      <c r="C11" s="104"/>
      <c r="D11" s="102">
        <f>'#9486.01 PM TIME'!E23</f>
        <v>5000</v>
      </c>
      <c r="E11" s="102">
        <f>'#9486.01 PM TIME'!G23</f>
        <v>979.29000000000008</v>
      </c>
      <c r="F11" s="102">
        <f>'#9486.01 PM TIME'!I23</f>
        <v>4020.71</v>
      </c>
      <c r="G11" s="103"/>
    </row>
    <row r="12" spans="1:7" x14ac:dyDescent="0.25">
      <c r="A12" s="84"/>
      <c r="B12" s="87" t="s">
        <v>42</v>
      </c>
      <c r="C12" s="105"/>
      <c r="D12" s="106">
        <f>'#9486.01 Misc '!G22</f>
        <v>0</v>
      </c>
      <c r="E12" s="106">
        <f>'#9486.01 Misc '!G22</f>
        <v>0</v>
      </c>
      <c r="F12" s="102">
        <f>D12-E12</f>
        <v>0</v>
      </c>
      <c r="G12" s="103"/>
    </row>
    <row r="13" spans="1:7" x14ac:dyDescent="0.25">
      <c r="A13" s="84"/>
      <c r="B13" s="87" t="s">
        <v>197</v>
      </c>
      <c r="C13" s="105"/>
      <c r="D13" s="106">
        <f>'#9486.01 DCI Group'!D23</f>
        <v>14988.92</v>
      </c>
      <c r="E13" s="106">
        <f>'#9486.01 DCI Group'!F23</f>
        <v>2845.5600000000004</v>
      </c>
      <c r="F13" s="102">
        <f>'#9486.01 DCI Group'!H23</f>
        <v>12143.36</v>
      </c>
      <c r="G13" s="103"/>
    </row>
    <row r="14" spans="1:7" ht="13.35" customHeight="1" x14ac:dyDescent="0.25">
      <c r="A14" s="84"/>
      <c r="B14" s="87"/>
      <c r="C14" s="105"/>
      <c r="D14" s="106"/>
      <c r="E14" s="106"/>
      <c r="F14" s="102"/>
      <c r="G14" s="103"/>
    </row>
    <row r="15" spans="1:7" ht="24" customHeight="1" thickBot="1" x14ac:dyDescent="0.3">
      <c r="A15" s="107"/>
      <c r="B15" s="108" t="s">
        <v>43</v>
      </c>
      <c r="C15" s="109">
        <f>SUM(C8:C14)</f>
        <v>81147.94</v>
      </c>
      <c r="D15" s="109">
        <f>SUM(D8:D14)</f>
        <v>32621.919999999998</v>
      </c>
      <c r="E15" s="109">
        <f>SUM(E8:E14)</f>
        <v>10112.900000000001</v>
      </c>
      <c r="F15" s="109">
        <f>SUM(D15-E15)</f>
        <v>22509.019999999997</v>
      </c>
      <c r="G15" s="109">
        <f>C8-D15</f>
        <v>48526.020000000004</v>
      </c>
    </row>
    <row r="16" spans="1:7" ht="15" customHeight="1" thickTop="1" x14ac:dyDescent="0.25"/>
    <row r="49" ht="12" customHeight="1" x14ac:dyDescent="0.25"/>
    <row r="50" ht="15" hidden="1" customHeight="1" x14ac:dyDescent="0.25"/>
    <row r="51" ht="31.5" customHeight="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 xml:space="preserve">&amp;L
Acct Code: 0506-335-DA26
&amp;C&amp;Z&amp;F&amp;R&amp;P/&amp;N
</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6097-0D2B-490D-BD6C-286563588749}">
  <sheetPr>
    <pageSetUpPr fitToPage="1"/>
  </sheetPr>
  <dimension ref="A1:H25"/>
  <sheetViews>
    <sheetView zoomScaleNormal="100" workbookViewId="0">
      <selection activeCell="L28" sqref="L28"/>
    </sheetView>
  </sheetViews>
  <sheetFormatPr defaultRowHeight="15" customHeight="1" x14ac:dyDescent="0.25"/>
  <cols>
    <col min="1" max="1" width="15.5703125" customWidth="1"/>
    <col min="2" max="2" width="20.5703125" customWidth="1"/>
    <col min="3" max="3" width="12.42578125" bestFit="1" customWidth="1"/>
    <col min="4" max="4" width="39.85546875" customWidth="1"/>
    <col min="5" max="5" width="19.285156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#9486.01'!B1</f>
        <v>DVA IVH Fox and Ulery Carpet Replacement - Sound Issues</v>
      </c>
      <c r="B1" s="7"/>
      <c r="C1" s="2"/>
      <c r="D1" s="3"/>
      <c r="E1" s="3"/>
      <c r="F1" s="7"/>
      <c r="G1" s="7"/>
      <c r="H1" s="7"/>
    </row>
    <row r="2" spans="1:8" x14ac:dyDescent="0.25">
      <c r="A2" s="112" t="str">
        <f>'RECAP #9486.01'!B2</f>
        <v>Project # 9486.01</v>
      </c>
      <c r="B2" s="7"/>
      <c r="C2" s="113" t="s">
        <v>3</v>
      </c>
      <c r="D2" s="1"/>
      <c r="E2" s="1"/>
      <c r="F2" s="7"/>
      <c r="G2" s="7"/>
      <c r="H2" s="7"/>
    </row>
    <row r="3" spans="1:8" x14ac:dyDescent="0.25">
      <c r="A3" s="114" t="str">
        <f>'RECAP #9486.01'!B3</f>
        <v>Program code 948601</v>
      </c>
      <c r="B3" s="7"/>
      <c r="C3" s="113" t="s">
        <v>3</v>
      </c>
      <c r="D3" s="115" t="str">
        <f>'RECAP #9486.01'!E3</f>
        <v>Major Program 4B03</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#9486.01'!B6</f>
        <v>Project Manager - Brad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334" t="s">
        <v>710</v>
      </c>
      <c r="E9" s="12" t="s">
        <v>711</v>
      </c>
      <c r="F9" s="12">
        <v>46139</v>
      </c>
      <c r="G9" s="405">
        <v>25000</v>
      </c>
      <c r="H9" s="405">
        <v>25000</v>
      </c>
    </row>
    <row r="10" spans="1:8" ht="25.5" x14ac:dyDescent="0.25">
      <c r="A10" s="12"/>
      <c r="B10" s="12"/>
      <c r="C10" s="13"/>
      <c r="D10" s="334" t="s">
        <v>781</v>
      </c>
      <c r="E10" s="12" t="s">
        <v>780</v>
      </c>
      <c r="F10" s="12">
        <v>46163</v>
      </c>
      <c r="G10" s="471">
        <v>56147.94</v>
      </c>
      <c r="H10" s="471">
        <v>56147.94</v>
      </c>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81147.94</v>
      </c>
      <c r="H24" s="131">
        <f>SUM(H9:H22)</f>
        <v>81147.94</v>
      </c>
    </row>
    <row r="25" spans="1:8" ht="15" customHeight="1" thickTop="1" x14ac:dyDescent="0.25"/>
  </sheetData>
  <pageMargins left="0.25" right="0.25" top="0.85" bottom="0.75" header="0.08" footer="0.3"/>
  <pageSetup scale="7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A808-34C7-4C1F-9461-D1420E6A2313}">
  <sheetPr>
    <pageSetUpPr fitToPage="1"/>
  </sheetPr>
  <dimension ref="A1:I141"/>
  <sheetViews>
    <sheetView topLeftCell="A3" zoomScaleNormal="100" workbookViewId="0">
      <selection activeCell="A34" sqref="A3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#9486.01'!B1</f>
        <v>DVA IVH Fox and Ulery Carpet Replacement - Sound Issues</v>
      </c>
      <c r="B1" s="86"/>
      <c r="C1" s="6"/>
      <c r="D1" s="6"/>
      <c r="E1" s="6"/>
      <c r="F1" s="132"/>
      <c r="G1" s="132"/>
      <c r="H1" s="133"/>
      <c r="I1" s="133"/>
    </row>
    <row r="2" spans="1:9" ht="15.75" x14ac:dyDescent="0.25">
      <c r="A2" s="88" t="str">
        <f>'RECAP #9486.01'!B2</f>
        <v>Project # 9486.01</v>
      </c>
      <c r="B2" s="87"/>
      <c r="C2" s="6"/>
      <c r="D2" s="6"/>
      <c r="E2" s="6"/>
      <c r="F2" s="132"/>
      <c r="G2" s="132"/>
      <c r="H2" s="133"/>
      <c r="I2" s="133"/>
    </row>
    <row r="3" spans="1:9" ht="15.75" x14ac:dyDescent="0.25">
      <c r="A3" s="89" t="str">
        <f>'RECAP #9486.01'!B3</f>
        <v>Program code 948601</v>
      </c>
      <c r="B3" s="87"/>
      <c r="C3" s="6"/>
      <c r="D3" s="90" t="str">
        <f>'RECAP #9486.01'!E3</f>
        <v>Major Program 4B03</v>
      </c>
      <c r="E3" s="6"/>
      <c r="F3" s="132"/>
      <c r="G3" s="132"/>
      <c r="H3" s="133"/>
      <c r="I3" s="133"/>
    </row>
    <row r="4" spans="1:9" ht="15.75" x14ac:dyDescent="0.25">
      <c r="A4" s="116" t="s">
        <v>713</v>
      </c>
      <c r="B4" s="134"/>
      <c r="C4" s="135"/>
      <c r="D4" s="136" t="s">
        <v>715</v>
      </c>
      <c r="E4" s="132"/>
      <c r="F4" s="132"/>
      <c r="G4" s="132"/>
      <c r="H4" s="133"/>
      <c r="I4" s="133"/>
    </row>
    <row r="5" spans="1:9" ht="15.75" x14ac:dyDescent="0.25">
      <c r="A5" s="137" t="s">
        <v>182</v>
      </c>
      <c r="B5" s="138"/>
      <c r="C5" s="139"/>
      <c r="D5" s="140" t="s">
        <v>716</v>
      </c>
      <c r="E5" s="141"/>
      <c r="F5" s="142"/>
      <c r="G5" s="142"/>
      <c r="H5" s="138"/>
      <c r="I5" s="133"/>
    </row>
    <row r="6" spans="1:9" ht="15.75" x14ac:dyDescent="0.25">
      <c r="A6" s="93" t="str">
        <f>'RECAP #9486.01'!B6</f>
        <v>Project Manager - Brad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714</v>
      </c>
      <c r="B9" s="318">
        <v>46140</v>
      </c>
      <c r="C9" s="324" t="s">
        <v>146</v>
      </c>
      <c r="D9" s="319">
        <v>12633</v>
      </c>
      <c r="E9" s="320">
        <f>D9</f>
        <v>12633</v>
      </c>
      <c r="F9" s="321"/>
      <c r="G9" s="321"/>
      <c r="H9" s="321">
        <f>E9</f>
        <v>12633</v>
      </c>
      <c r="I9" s="322"/>
    </row>
    <row r="10" spans="1:9" s="308" customFormat="1" ht="12.75" customHeight="1" x14ac:dyDescent="0.25">
      <c r="A10" s="317" t="s">
        <v>859</v>
      </c>
      <c r="B10" s="323">
        <v>46189</v>
      </c>
      <c r="C10" s="324" t="s">
        <v>860</v>
      </c>
      <c r="D10" s="320"/>
      <c r="E10" s="320">
        <f t="shared" ref="E10:E21" si="0">E9+D10</f>
        <v>12633</v>
      </c>
      <c r="F10" s="325">
        <v>3309.5</v>
      </c>
      <c r="G10" s="321">
        <f t="shared" ref="G10:G21" si="1">G9+F10</f>
        <v>3309.5</v>
      </c>
      <c r="H10" s="321">
        <f t="shared" ref="H10:H21" si="2">H9-F10+D10</f>
        <v>9323.5</v>
      </c>
      <c r="I10" s="322"/>
    </row>
    <row r="11" spans="1:9" s="308" customFormat="1" ht="12.75" customHeight="1" x14ac:dyDescent="0.25">
      <c r="A11" s="317" t="s">
        <v>979</v>
      </c>
      <c r="B11" s="318">
        <v>46210</v>
      </c>
      <c r="C11" s="324" t="s">
        <v>980</v>
      </c>
      <c r="D11" s="320"/>
      <c r="E11" s="320">
        <f t="shared" si="0"/>
        <v>12633</v>
      </c>
      <c r="F11" s="325">
        <v>2978.55</v>
      </c>
      <c r="G11" s="321">
        <f t="shared" si="1"/>
        <v>6288.05</v>
      </c>
      <c r="H11" s="321">
        <f t="shared" si="2"/>
        <v>6344.95</v>
      </c>
      <c r="I11" s="322"/>
    </row>
    <row r="12" spans="1:9" s="308" customFormat="1" ht="12.75" customHeight="1" x14ac:dyDescent="0.25">
      <c r="A12" s="317"/>
      <c r="B12" s="318"/>
      <c r="C12" s="324"/>
      <c r="D12" s="320"/>
      <c r="E12" s="320">
        <f t="shared" si="0"/>
        <v>12633</v>
      </c>
      <c r="F12" s="326"/>
      <c r="G12" s="321">
        <f t="shared" si="1"/>
        <v>6288.05</v>
      </c>
      <c r="H12" s="321">
        <f t="shared" si="2"/>
        <v>6344.95</v>
      </c>
      <c r="I12" s="322"/>
    </row>
    <row r="13" spans="1:9" s="308" customFormat="1" ht="12.75" customHeight="1" x14ac:dyDescent="0.25">
      <c r="A13" s="317"/>
      <c r="B13" s="318"/>
      <c r="C13" s="324"/>
      <c r="D13" s="320"/>
      <c r="E13" s="320">
        <f t="shared" si="0"/>
        <v>12633</v>
      </c>
      <c r="F13" s="326"/>
      <c r="G13" s="321">
        <f t="shared" si="1"/>
        <v>6288.05</v>
      </c>
      <c r="H13" s="321">
        <f t="shared" si="2"/>
        <v>6344.95</v>
      </c>
      <c r="I13" s="322"/>
    </row>
    <row r="14" spans="1:9" s="308" customFormat="1" ht="12.75" customHeight="1" x14ac:dyDescent="0.25">
      <c r="A14" s="317"/>
      <c r="B14" s="318"/>
      <c r="C14" s="324"/>
      <c r="D14" s="320"/>
      <c r="E14" s="320">
        <f t="shared" si="0"/>
        <v>12633</v>
      </c>
      <c r="F14" s="321"/>
      <c r="G14" s="321">
        <f t="shared" si="1"/>
        <v>6288.05</v>
      </c>
      <c r="H14" s="321">
        <f t="shared" si="2"/>
        <v>6344.95</v>
      </c>
      <c r="I14" s="322"/>
    </row>
    <row r="15" spans="1:9" s="308" customFormat="1" ht="12.75" customHeight="1" x14ac:dyDescent="0.25">
      <c r="A15" s="317"/>
      <c r="B15" s="318"/>
      <c r="C15" s="324"/>
      <c r="D15" s="320"/>
      <c r="E15" s="320">
        <f t="shared" si="0"/>
        <v>12633</v>
      </c>
      <c r="F15" s="326"/>
      <c r="G15" s="321">
        <f t="shared" si="1"/>
        <v>6288.05</v>
      </c>
      <c r="H15" s="321">
        <f t="shared" si="2"/>
        <v>6344.95</v>
      </c>
      <c r="I15" s="322"/>
    </row>
    <row r="16" spans="1:9" s="308" customFormat="1" ht="12.75" customHeight="1" x14ac:dyDescent="0.25">
      <c r="A16" s="317"/>
      <c r="B16" s="318"/>
      <c r="C16" s="324"/>
      <c r="D16" s="320"/>
      <c r="E16" s="320">
        <f t="shared" si="0"/>
        <v>12633</v>
      </c>
      <c r="F16" s="326"/>
      <c r="G16" s="321">
        <f t="shared" si="1"/>
        <v>6288.05</v>
      </c>
      <c r="H16" s="321">
        <f t="shared" si="2"/>
        <v>6344.95</v>
      </c>
      <c r="I16" s="322"/>
    </row>
    <row r="17" spans="1:9" s="308" customFormat="1" ht="12.75" customHeight="1" x14ac:dyDescent="0.25">
      <c r="A17" s="317"/>
      <c r="B17" s="318"/>
      <c r="C17" s="324"/>
      <c r="D17" s="320"/>
      <c r="E17" s="320">
        <f t="shared" si="0"/>
        <v>12633</v>
      </c>
      <c r="F17" s="326"/>
      <c r="G17" s="321">
        <f t="shared" si="1"/>
        <v>6288.05</v>
      </c>
      <c r="H17" s="321">
        <f t="shared" si="2"/>
        <v>6344.95</v>
      </c>
      <c r="I17" s="322"/>
    </row>
    <row r="18" spans="1:9" s="308" customFormat="1" ht="12.75" customHeight="1" x14ac:dyDescent="0.25">
      <c r="A18" s="317"/>
      <c r="B18" s="318"/>
      <c r="C18" s="324"/>
      <c r="D18" s="320"/>
      <c r="E18" s="320">
        <f t="shared" si="0"/>
        <v>12633</v>
      </c>
      <c r="F18" s="326"/>
      <c r="G18" s="321">
        <f t="shared" si="1"/>
        <v>6288.05</v>
      </c>
      <c r="H18" s="321">
        <f t="shared" si="2"/>
        <v>6344.95</v>
      </c>
      <c r="I18" s="322"/>
    </row>
    <row r="19" spans="1:9" s="308" customFormat="1" ht="12.75" customHeight="1" x14ac:dyDescent="0.25">
      <c r="A19" s="317"/>
      <c r="B19" s="318"/>
      <c r="C19" s="324"/>
      <c r="D19" s="320"/>
      <c r="E19" s="320">
        <f t="shared" si="0"/>
        <v>12633</v>
      </c>
      <c r="F19" s="321"/>
      <c r="G19" s="321">
        <f t="shared" si="1"/>
        <v>6288.05</v>
      </c>
      <c r="H19" s="321">
        <f t="shared" si="2"/>
        <v>6344.95</v>
      </c>
      <c r="I19" s="322"/>
    </row>
    <row r="20" spans="1:9" s="308" customFormat="1" ht="12.75" customHeight="1" x14ac:dyDescent="0.25">
      <c r="A20" s="317"/>
      <c r="B20" s="318"/>
      <c r="C20" s="324"/>
      <c r="D20" s="320"/>
      <c r="E20" s="320">
        <f t="shared" si="0"/>
        <v>12633</v>
      </c>
      <c r="F20" s="321"/>
      <c r="G20" s="321">
        <f t="shared" si="1"/>
        <v>6288.05</v>
      </c>
      <c r="H20" s="321">
        <f t="shared" si="2"/>
        <v>6344.95</v>
      </c>
      <c r="I20" s="322"/>
    </row>
    <row r="21" spans="1:9" s="308" customFormat="1" ht="12.75" customHeight="1" x14ac:dyDescent="0.25">
      <c r="A21" s="317"/>
      <c r="B21" s="318"/>
      <c r="C21" s="327"/>
      <c r="D21" s="320"/>
      <c r="E21" s="320">
        <f t="shared" si="0"/>
        <v>12633</v>
      </c>
      <c r="F21" s="321"/>
      <c r="G21" s="321">
        <f t="shared" si="1"/>
        <v>6288.05</v>
      </c>
      <c r="H21" s="321">
        <f t="shared" si="2"/>
        <v>6344.95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12633</v>
      </c>
      <c r="E23" s="184"/>
      <c r="F23" s="184">
        <f>SUM(F9:F22)</f>
        <v>6288.05</v>
      </c>
      <c r="G23" s="184"/>
      <c r="H23" s="184">
        <f>D23-F23</f>
        <v>6344.95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233</v>
      </c>
      <c r="D26" s="321">
        <v>6619</v>
      </c>
      <c r="E26" s="321"/>
      <c r="F26" s="321">
        <f>3309.5+2978.55</f>
        <v>6288.05</v>
      </c>
      <c r="G26" s="321"/>
      <c r="H26" s="321">
        <f>D26-F26</f>
        <v>330.94999999999982</v>
      </c>
      <c r="I26" s="322"/>
    </row>
    <row r="27" spans="1:9" s="308" customFormat="1" ht="12.75" customHeight="1" x14ac:dyDescent="0.25">
      <c r="A27" s="317"/>
      <c r="B27" s="324"/>
      <c r="C27" s="328" t="s">
        <v>448</v>
      </c>
      <c r="D27" s="321">
        <v>1215</v>
      </c>
      <c r="E27" s="321"/>
      <c r="F27" s="321"/>
      <c r="G27" s="321"/>
      <c r="H27" s="321">
        <f t="shared" ref="H27:H28" si="3">D27-F27</f>
        <v>1215</v>
      </c>
      <c r="I27" s="322"/>
    </row>
    <row r="28" spans="1:9" s="308" customFormat="1" ht="12.75" customHeight="1" x14ac:dyDescent="0.25">
      <c r="A28" s="317"/>
      <c r="B28" s="324"/>
      <c r="C28" s="328" t="s">
        <v>306</v>
      </c>
      <c r="D28" s="321">
        <v>4799</v>
      </c>
      <c r="E28" s="185"/>
      <c r="F28" s="185"/>
      <c r="G28" s="185"/>
      <c r="H28" s="321">
        <f t="shared" si="3"/>
        <v>4799</v>
      </c>
      <c r="I28" s="322"/>
    </row>
    <row r="29" spans="1:9" s="308" customFormat="1" ht="12.75" customHeight="1" thickBot="1" x14ac:dyDescent="0.3">
      <c r="A29" s="317"/>
      <c r="B29" s="324"/>
      <c r="C29" s="359" t="s">
        <v>157</v>
      </c>
      <c r="D29" s="360">
        <f>SUM(D25:D28)</f>
        <v>12633</v>
      </c>
      <c r="E29" s="326"/>
      <c r="F29" s="360">
        <f>SUM(F25:F28)</f>
        <v>6288.05</v>
      </c>
      <c r="G29" s="326"/>
      <c r="H29" s="360">
        <f>SUM(H25:H28)</f>
        <v>6344.95</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sheetData>
  <conditionalFormatting sqref="I9:I25">
    <cfRule type="cellIs" dxfId="23"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8432-FC6B-4C4E-AD75-1CB4F61FFE9F}">
  <sheetPr>
    <pageSetUpPr fitToPage="1"/>
  </sheetPr>
  <dimension ref="A1:J182"/>
  <sheetViews>
    <sheetView zoomScaleNormal="100" workbookViewId="0">
      <selection activeCell="O24" sqref="O24"/>
    </sheetView>
  </sheetViews>
  <sheetFormatPr defaultColWidth="11.42578125" defaultRowHeight="15" customHeight="1" x14ac:dyDescent="0.25"/>
  <cols>
    <col min="1" max="1" width="24.5703125" customWidth="1"/>
    <col min="2" max="3" width="9.42578125" customWidth="1"/>
    <col min="4" max="4" width="41.28515625" customWidth="1"/>
    <col min="5" max="5" width="12.710937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#9486.01'!B1</f>
        <v>DVA IVH Fox and Ulery Carpet Replacement - Sound Issues</v>
      </c>
      <c r="B1" s="86"/>
      <c r="C1" s="86"/>
      <c r="D1" s="6"/>
      <c r="E1" s="6"/>
      <c r="F1" s="6"/>
      <c r="G1" s="132"/>
      <c r="H1" s="132"/>
      <c r="I1" s="133"/>
      <c r="J1" s="133"/>
    </row>
    <row r="2" spans="1:10" ht="15.75" x14ac:dyDescent="0.25">
      <c r="A2" s="88" t="str">
        <f>'RECAP #9486.01'!B2</f>
        <v>Project # 9486.01</v>
      </c>
      <c r="B2" s="87"/>
      <c r="C2" s="87"/>
      <c r="D2" s="6"/>
      <c r="E2" s="6"/>
      <c r="F2" s="6"/>
      <c r="G2" s="132"/>
      <c r="H2" s="132"/>
      <c r="I2" s="133"/>
      <c r="J2" s="133"/>
    </row>
    <row r="3" spans="1:10" ht="15.75" x14ac:dyDescent="0.25">
      <c r="A3" s="89" t="str">
        <f>'RECAP #9486.01'!B3</f>
        <v>Program code 948601</v>
      </c>
      <c r="B3" s="87"/>
      <c r="C3" s="87"/>
      <c r="D3" s="6"/>
      <c r="E3" s="90" t="str">
        <f>'RECAP #9486.01'!E3</f>
        <v>Major Program 4B03</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#9486.01'!B6</f>
        <v>Project Manager - Brad T.</v>
      </c>
      <c r="B6" s="93"/>
      <c r="C6" s="93"/>
      <c r="D6" s="143"/>
      <c r="E6" s="140" t="s">
        <v>712</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f>5000</f>
        <v>5000</v>
      </c>
      <c r="F9" s="320">
        <f>E9</f>
        <v>5000</v>
      </c>
      <c r="G9" s="321"/>
      <c r="H9" s="321"/>
      <c r="I9" s="321">
        <f>F9</f>
        <v>5000</v>
      </c>
      <c r="J9" s="322"/>
    </row>
    <row r="10" spans="1:10" s="308" customFormat="1" ht="12.75" customHeight="1" x14ac:dyDescent="0.2">
      <c r="A10" s="171" t="s">
        <v>752</v>
      </c>
      <c r="B10" s="153">
        <v>46149</v>
      </c>
      <c r="C10" s="155" t="s">
        <v>274</v>
      </c>
      <c r="D10" s="181" t="s">
        <v>753</v>
      </c>
      <c r="E10" s="320"/>
      <c r="F10" s="320">
        <f>E10+F9</f>
        <v>5000</v>
      </c>
      <c r="G10" s="325">
        <v>15.22</v>
      </c>
      <c r="H10" s="321">
        <f t="shared" ref="H10:H21" si="0">H9+G10</f>
        <v>15.22</v>
      </c>
      <c r="I10" s="321">
        <f>I9-G10+E10</f>
        <v>4984.78</v>
      </c>
      <c r="J10" s="322"/>
    </row>
    <row r="11" spans="1:10" s="308" customFormat="1" ht="12.75" customHeight="1" x14ac:dyDescent="0.2">
      <c r="A11" s="171" t="s">
        <v>752</v>
      </c>
      <c r="B11" s="153">
        <v>46149</v>
      </c>
      <c r="C11" s="401">
        <v>9500</v>
      </c>
      <c r="D11" s="126" t="s">
        <v>754</v>
      </c>
      <c r="E11" s="320"/>
      <c r="F11" s="320">
        <f t="shared" ref="F11:F21" si="1">E11+F10</f>
        <v>5000</v>
      </c>
      <c r="G11" s="325">
        <v>162.5</v>
      </c>
      <c r="H11" s="321">
        <f t="shared" si="0"/>
        <v>177.72</v>
      </c>
      <c r="I11" s="321">
        <f t="shared" ref="I11:I21" si="2">I10-G11+E11</f>
        <v>4822.28</v>
      </c>
      <c r="J11" s="322"/>
    </row>
    <row r="12" spans="1:10" s="308" customFormat="1" ht="12.75" customHeight="1" x14ac:dyDescent="0.2">
      <c r="A12" s="171" t="s">
        <v>844</v>
      </c>
      <c r="B12" s="153">
        <v>46181</v>
      </c>
      <c r="C12" s="155" t="s">
        <v>274</v>
      </c>
      <c r="D12" s="181" t="s">
        <v>845</v>
      </c>
      <c r="E12" s="320"/>
      <c r="F12" s="320">
        <f t="shared" si="1"/>
        <v>5000</v>
      </c>
      <c r="G12" s="325">
        <v>38.19</v>
      </c>
      <c r="H12" s="321">
        <f t="shared" si="0"/>
        <v>215.91</v>
      </c>
      <c r="I12" s="321">
        <f t="shared" si="2"/>
        <v>4784.09</v>
      </c>
      <c r="J12" s="322"/>
    </row>
    <row r="13" spans="1:10" s="308" customFormat="1" ht="12.75" customHeight="1" x14ac:dyDescent="0.2">
      <c r="A13" s="171" t="s">
        <v>844</v>
      </c>
      <c r="B13" s="153">
        <v>46181</v>
      </c>
      <c r="C13" s="401">
        <v>9500</v>
      </c>
      <c r="D13" s="126" t="s">
        <v>846</v>
      </c>
      <c r="E13" s="320"/>
      <c r="F13" s="320">
        <f t="shared" si="1"/>
        <v>5000</v>
      </c>
      <c r="G13" s="325">
        <v>472.3</v>
      </c>
      <c r="H13" s="321">
        <f t="shared" si="0"/>
        <v>688.21</v>
      </c>
      <c r="I13" s="321">
        <f t="shared" si="2"/>
        <v>4311.79</v>
      </c>
      <c r="J13" s="322"/>
    </row>
    <row r="14" spans="1:10" s="308" customFormat="1" ht="12.75" customHeight="1" x14ac:dyDescent="0.2">
      <c r="A14" s="171" t="s">
        <v>989</v>
      </c>
      <c r="B14" s="153">
        <v>46211</v>
      </c>
      <c r="C14" s="155" t="s">
        <v>274</v>
      </c>
      <c r="D14" s="181" t="s">
        <v>992</v>
      </c>
      <c r="E14" s="320"/>
      <c r="F14" s="320">
        <f t="shared" si="1"/>
        <v>5000</v>
      </c>
      <c r="G14" s="325">
        <v>22.61</v>
      </c>
      <c r="H14" s="321">
        <f t="shared" si="0"/>
        <v>710.82</v>
      </c>
      <c r="I14" s="321">
        <f t="shared" si="2"/>
        <v>4289.18</v>
      </c>
      <c r="J14" s="322"/>
    </row>
    <row r="15" spans="1:10" s="308" customFormat="1" ht="12.75" customHeight="1" x14ac:dyDescent="0.2">
      <c r="A15" s="171" t="s">
        <v>989</v>
      </c>
      <c r="B15" s="153">
        <v>46211</v>
      </c>
      <c r="C15" s="401">
        <v>9500</v>
      </c>
      <c r="D15" s="126" t="s">
        <v>993</v>
      </c>
      <c r="E15" s="320"/>
      <c r="F15" s="320">
        <f t="shared" si="1"/>
        <v>5000</v>
      </c>
      <c r="G15" s="325">
        <v>259.3</v>
      </c>
      <c r="H15" s="321">
        <f t="shared" si="0"/>
        <v>970.12000000000012</v>
      </c>
      <c r="I15" s="321">
        <f t="shared" si="2"/>
        <v>4029.88</v>
      </c>
      <c r="J15" s="322"/>
    </row>
    <row r="16" spans="1:10" s="308" customFormat="1" ht="12.75" customHeight="1" x14ac:dyDescent="0.2">
      <c r="A16" s="171" t="s">
        <v>1036</v>
      </c>
      <c r="B16" s="153">
        <v>46218</v>
      </c>
      <c r="C16" s="155" t="s">
        <v>274</v>
      </c>
      <c r="D16" s="181" t="s">
        <v>1037</v>
      </c>
      <c r="E16" s="320"/>
      <c r="F16" s="320">
        <f t="shared" si="1"/>
        <v>5000</v>
      </c>
      <c r="G16" s="325">
        <v>9.17</v>
      </c>
      <c r="H16" s="321">
        <f t="shared" si="0"/>
        <v>979.29000000000008</v>
      </c>
      <c r="I16" s="321">
        <f t="shared" si="2"/>
        <v>4020.71</v>
      </c>
      <c r="J16" s="322"/>
    </row>
    <row r="17" spans="1:10" s="308" customFormat="1" ht="12.75" customHeight="1" x14ac:dyDescent="0.25">
      <c r="A17" s="332"/>
      <c r="B17" s="318"/>
      <c r="C17" s="318"/>
      <c r="D17" s="328"/>
      <c r="E17" s="320"/>
      <c r="F17" s="320">
        <f t="shared" si="1"/>
        <v>5000</v>
      </c>
      <c r="G17" s="326"/>
      <c r="H17" s="321">
        <f t="shared" si="0"/>
        <v>979.29000000000008</v>
      </c>
      <c r="I17" s="321">
        <f t="shared" si="2"/>
        <v>4020.71</v>
      </c>
      <c r="J17" s="322"/>
    </row>
    <row r="18" spans="1:10" s="308" customFormat="1" ht="12.75" customHeight="1" x14ac:dyDescent="0.25">
      <c r="A18" s="332"/>
      <c r="B18" s="318"/>
      <c r="C18" s="318"/>
      <c r="D18" s="328"/>
      <c r="E18" s="320"/>
      <c r="F18" s="320">
        <f t="shared" si="1"/>
        <v>5000</v>
      </c>
      <c r="G18" s="326"/>
      <c r="H18" s="321">
        <f t="shared" si="0"/>
        <v>979.29000000000008</v>
      </c>
      <c r="I18" s="321">
        <f t="shared" si="2"/>
        <v>4020.71</v>
      </c>
      <c r="J18" s="322"/>
    </row>
    <row r="19" spans="1:10" s="308" customFormat="1" ht="12.75" customHeight="1" x14ac:dyDescent="0.25">
      <c r="A19" s="332"/>
      <c r="B19" s="318"/>
      <c r="C19" s="318"/>
      <c r="D19" s="328"/>
      <c r="E19" s="320"/>
      <c r="F19" s="320">
        <f t="shared" si="1"/>
        <v>5000</v>
      </c>
      <c r="G19" s="321"/>
      <c r="H19" s="321">
        <f t="shared" si="0"/>
        <v>979.29000000000008</v>
      </c>
      <c r="I19" s="321">
        <f t="shared" si="2"/>
        <v>4020.71</v>
      </c>
      <c r="J19" s="322"/>
    </row>
    <row r="20" spans="1:10" s="308" customFormat="1" ht="12.75" customHeight="1" x14ac:dyDescent="0.25">
      <c r="A20" s="332"/>
      <c r="B20" s="318"/>
      <c r="C20" s="318"/>
      <c r="D20" s="328"/>
      <c r="E20" s="320"/>
      <c r="F20" s="320">
        <f t="shared" si="1"/>
        <v>5000</v>
      </c>
      <c r="G20" s="321"/>
      <c r="H20" s="321">
        <f t="shared" si="0"/>
        <v>979.29000000000008</v>
      </c>
      <c r="I20" s="321">
        <f t="shared" si="2"/>
        <v>4020.71</v>
      </c>
      <c r="J20" s="322"/>
    </row>
    <row r="21" spans="1:10" s="308" customFormat="1" ht="12.75" customHeight="1" x14ac:dyDescent="0.25">
      <c r="A21" s="332"/>
      <c r="B21" s="318"/>
      <c r="C21" s="318"/>
      <c r="D21" s="363"/>
      <c r="E21" s="320"/>
      <c r="F21" s="320">
        <f t="shared" si="1"/>
        <v>5000</v>
      </c>
      <c r="G21" s="321"/>
      <c r="H21" s="321">
        <f t="shared" si="0"/>
        <v>979.29000000000008</v>
      </c>
      <c r="I21" s="321">
        <f t="shared" si="2"/>
        <v>4020.71</v>
      </c>
      <c r="J21" s="322"/>
    </row>
    <row r="22" spans="1:10" s="308" customFormat="1" ht="12.75" customHeight="1" x14ac:dyDescent="0.25">
      <c r="A22" s="332"/>
      <c r="B22" s="324"/>
      <c r="C22" s="324"/>
      <c r="D22" s="328"/>
      <c r="E22" s="321"/>
      <c r="F22" s="321"/>
      <c r="G22" s="321"/>
      <c r="H22" s="321"/>
      <c r="I22" s="321"/>
      <c r="J22" s="322"/>
    </row>
    <row r="23" spans="1:10" s="308" customFormat="1" ht="12.75" customHeight="1" thickBot="1" x14ac:dyDescent="0.3">
      <c r="A23" s="332"/>
      <c r="B23" s="329"/>
      <c r="C23" s="329"/>
      <c r="D23" s="330" t="s">
        <v>54</v>
      </c>
      <c r="E23" s="184">
        <f>SUM(E9:E22)</f>
        <v>5000</v>
      </c>
      <c r="F23" s="184"/>
      <c r="G23" s="184">
        <f>SUM(G9:G22)</f>
        <v>979.29000000000008</v>
      </c>
      <c r="H23" s="184"/>
      <c r="I23" s="184">
        <f>SUM(E23-G23)</f>
        <v>4020.71</v>
      </c>
      <c r="J23" s="322"/>
    </row>
    <row r="24" spans="1:10" s="308" customFormat="1" ht="12.75" customHeight="1" thickTop="1" x14ac:dyDescent="0.25"/>
    <row r="25" spans="1:10" s="308" customFormat="1" ht="12.75" customHeight="1" x14ac:dyDescent="0.25"/>
    <row r="26" spans="1:10" s="308" customFormat="1" ht="12.75" customHeight="1" x14ac:dyDescent="0.25"/>
    <row r="27" spans="1:10" s="308" customFormat="1" ht="12.75" customHeight="1" x14ac:dyDescent="0.25"/>
    <row r="28" spans="1:10" s="308" customFormat="1" ht="12.75" customHeight="1" x14ac:dyDescent="0.25"/>
    <row r="29" spans="1:10" s="308" customFormat="1" ht="12.75" customHeight="1" x14ac:dyDescent="0.25"/>
    <row r="30" spans="1:10" s="308" customFormat="1" ht="12.75" customHeight="1" x14ac:dyDescent="0.25"/>
    <row r="31" spans="1:10" s="308" customFormat="1" ht="12.75" customHeight="1" x14ac:dyDescent="0.25"/>
    <row r="32" spans="1:10"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row r="141" s="308" customFormat="1" ht="12.75" customHeight="1" x14ac:dyDescent="0.25"/>
    <row r="142" s="308" customFormat="1" ht="12.75" customHeight="1" x14ac:dyDescent="0.25"/>
    <row r="143" s="308" customFormat="1" ht="12.75" customHeight="1" x14ac:dyDescent="0.25"/>
    <row r="144" s="308" customFormat="1" ht="12.75" customHeight="1" x14ac:dyDescent="0.25"/>
    <row r="145" s="308" customFormat="1" ht="12.75" customHeight="1" x14ac:dyDescent="0.25"/>
    <row r="146" s="308" customFormat="1" ht="12.75" customHeight="1" x14ac:dyDescent="0.25"/>
    <row r="147" s="308" customFormat="1" ht="12.75" customHeight="1" x14ac:dyDescent="0.25"/>
    <row r="148" s="308" customFormat="1" ht="12.75" customHeight="1" x14ac:dyDescent="0.25"/>
    <row r="149" s="308" customFormat="1" ht="12.75" customHeight="1" x14ac:dyDescent="0.25"/>
    <row r="150" s="308" customFormat="1" ht="12.75" customHeight="1" x14ac:dyDescent="0.25"/>
    <row r="151" s="308" customFormat="1" ht="12.75" customHeight="1" x14ac:dyDescent="0.25"/>
    <row r="152" s="308" customFormat="1" ht="12.75" customHeight="1" x14ac:dyDescent="0.25"/>
    <row r="153" s="308" customFormat="1" ht="12.75" customHeight="1" x14ac:dyDescent="0.25"/>
    <row r="154" s="308" customFormat="1" ht="12.75" customHeight="1" x14ac:dyDescent="0.25"/>
    <row r="155" s="308" customFormat="1" ht="12.75" customHeight="1" x14ac:dyDescent="0.25"/>
    <row r="156" s="308" customFormat="1" ht="12.75" customHeight="1" x14ac:dyDescent="0.25"/>
    <row r="157" s="308" customFormat="1" ht="12.75" customHeight="1" x14ac:dyDescent="0.25"/>
    <row r="158" s="308" customFormat="1" ht="12.75" customHeight="1" x14ac:dyDescent="0.25"/>
    <row r="159" s="308" customFormat="1" ht="12.75" customHeight="1" x14ac:dyDescent="0.25"/>
    <row r="160" s="308" customFormat="1" ht="12.75" customHeight="1" x14ac:dyDescent="0.25"/>
    <row r="161" s="308" customFormat="1" ht="12.75" customHeight="1" x14ac:dyDescent="0.25"/>
    <row r="162" s="308" customFormat="1" ht="12.75" customHeight="1" x14ac:dyDescent="0.25"/>
    <row r="163" s="308" customFormat="1" ht="12.75" customHeight="1" x14ac:dyDescent="0.25"/>
    <row r="164" s="308" customFormat="1" ht="12.75" customHeight="1" x14ac:dyDescent="0.25"/>
    <row r="165" s="308" customFormat="1" ht="12.75" customHeight="1" x14ac:dyDescent="0.25"/>
    <row r="166" s="308" customFormat="1" ht="12.75" customHeight="1" x14ac:dyDescent="0.25"/>
    <row r="167" s="308" customFormat="1" ht="12.75" customHeight="1" x14ac:dyDescent="0.25"/>
    <row r="168" s="308" customFormat="1" ht="12.75" customHeight="1" x14ac:dyDescent="0.25"/>
    <row r="169" s="308" customFormat="1" ht="12.75" customHeight="1" x14ac:dyDescent="0.25"/>
    <row r="170" s="308" customFormat="1" ht="12.75" customHeight="1" x14ac:dyDescent="0.25"/>
    <row r="171" s="308" customFormat="1" ht="12.75" customHeight="1" x14ac:dyDescent="0.25"/>
    <row r="172" s="308" customFormat="1" ht="12.75" customHeight="1" x14ac:dyDescent="0.25"/>
    <row r="173" s="308" customFormat="1" ht="12.75" customHeight="1" x14ac:dyDescent="0.25"/>
    <row r="174" s="308" customFormat="1" ht="12.75" customHeight="1" x14ac:dyDescent="0.25"/>
    <row r="175" s="308" customFormat="1" ht="12.75" customHeight="1" x14ac:dyDescent="0.25"/>
    <row r="176" s="308" customFormat="1" ht="12.75" customHeight="1" x14ac:dyDescent="0.25"/>
    <row r="177" s="308" customFormat="1" ht="12.75" customHeight="1" x14ac:dyDescent="0.25"/>
    <row r="178" s="308" customFormat="1" ht="12.75" customHeight="1" x14ac:dyDescent="0.25"/>
    <row r="179" s="308" customFormat="1" ht="12.75" customHeight="1" x14ac:dyDescent="0.25"/>
    <row r="180" s="308" customFormat="1" ht="12.75" customHeight="1" x14ac:dyDescent="0.25"/>
    <row r="181" s="308" customFormat="1" ht="12.75" customHeight="1" x14ac:dyDescent="0.25"/>
    <row r="182" s="308"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2AD28-1CB2-4EA1-9F9F-BCFBED4C1002}">
  <sheetPr>
    <tabColor indexed="30"/>
    <pageSetUpPr fitToPage="1"/>
  </sheetPr>
  <dimension ref="A1:H23"/>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'#9486.01 PM TIME'!A1</f>
        <v>DVA IVH Fox and Ulery Carpet Replacement - Sound Issues</v>
      </c>
      <c r="B1" s="86"/>
      <c r="C1" s="86"/>
      <c r="D1" s="86"/>
      <c r="E1" s="6"/>
      <c r="F1" s="6"/>
      <c r="G1" s="6"/>
      <c r="H1" s="132"/>
    </row>
    <row r="2" spans="1:8" ht="15.75" x14ac:dyDescent="0.25">
      <c r="A2" s="88" t="str">
        <f>'RECAP #9486.01'!B2</f>
        <v>Project # 9486.01</v>
      </c>
      <c r="B2" s="87"/>
      <c r="C2" s="87"/>
      <c r="D2" s="87"/>
      <c r="E2" s="6"/>
      <c r="F2" s="6"/>
      <c r="G2" s="6"/>
      <c r="H2" s="132"/>
    </row>
    <row r="3" spans="1:8" ht="15.75" x14ac:dyDescent="0.25">
      <c r="A3" s="89" t="str">
        <f>'RECAP #9486.01'!B3</f>
        <v>Program code 948601</v>
      </c>
      <c r="B3" s="87"/>
      <c r="C3" s="87"/>
      <c r="D3" s="87"/>
      <c r="E3" s="90" t="str">
        <f>'RECAP #9486.01'!E3</f>
        <v>Major Program 4B03</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#9486.01'!B6</f>
        <v>Project Manager - Brad T.</v>
      </c>
      <c r="B6" s="93"/>
      <c r="C6" s="93"/>
      <c r="D6" s="93"/>
      <c r="E6" s="90" t="s">
        <v>202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c r="B9" s="153"/>
      <c r="C9" s="152"/>
      <c r="D9" s="152"/>
      <c r="E9" s="171"/>
      <c r="F9" s="172"/>
      <c r="G9" s="162"/>
      <c r="H9" s="162">
        <f>G9</f>
        <v>0</v>
      </c>
    </row>
    <row r="10" spans="1:8" x14ac:dyDescent="0.25">
      <c r="A10" s="165"/>
      <c r="B10" s="153"/>
      <c r="C10" s="160"/>
      <c r="D10" s="160"/>
      <c r="E10" s="141"/>
      <c r="F10" s="106"/>
      <c r="G10" s="162"/>
      <c r="H10" s="162">
        <f>H9+G10</f>
        <v>0</v>
      </c>
    </row>
    <row r="11" spans="1:8" x14ac:dyDescent="0.25">
      <c r="A11" s="165"/>
      <c r="B11" s="153"/>
      <c r="C11" s="153"/>
      <c r="D11" s="153"/>
      <c r="E11" s="141"/>
      <c r="F11" s="106"/>
      <c r="G11" s="162"/>
      <c r="H11" s="162">
        <f t="shared" ref="H11:H20" si="0">H10+G11</f>
        <v>0</v>
      </c>
    </row>
    <row r="12" spans="1:8" x14ac:dyDescent="0.25">
      <c r="A12" s="165" t="s">
        <v>3</v>
      </c>
      <c r="B12" s="153" t="s">
        <v>3</v>
      </c>
      <c r="C12" s="153"/>
      <c r="D12" s="153"/>
      <c r="E12" s="141" t="s">
        <v>3</v>
      </c>
      <c r="F12" s="106"/>
      <c r="G12" s="162"/>
      <c r="H12" s="162">
        <f t="shared" si="0"/>
        <v>0</v>
      </c>
    </row>
    <row r="13" spans="1:8" x14ac:dyDescent="0.25">
      <c r="A13" s="165" t="s">
        <v>3</v>
      </c>
      <c r="B13" s="153" t="s">
        <v>3</v>
      </c>
      <c r="C13" s="153"/>
      <c r="D13" s="153"/>
      <c r="E13" s="141" t="s">
        <v>3</v>
      </c>
      <c r="F13" s="106"/>
      <c r="G13" s="162"/>
      <c r="H13" s="162">
        <f t="shared" si="0"/>
        <v>0</v>
      </c>
    </row>
    <row r="14" spans="1:8" x14ac:dyDescent="0.25">
      <c r="A14" s="165"/>
      <c r="B14" s="153"/>
      <c r="C14" s="153"/>
      <c r="D14" s="153"/>
      <c r="E14" s="141"/>
      <c r="F14" s="106"/>
      <c r="G14" s="162"/>
      <c r="H14" s="162">
        <f t="shared" si="0"/>
        <v>0</v>
      </c>
    </row>
    <row r="15" spans="1:8" x14ac:dyDescent="0.25">
      <c r="A15" s="165"/>
      <c r="B15" s="153"/>
      <c r="C15" s="153"/>
      <c r="D15" s="153"/>
      <c r="E15" s="173"/>
      <c r="F15" s="106"/>
      <c r="G15" s="162"/>
      <c r="H15" s="162">
        <f t="shared" si="0"/>
        <v>0</v>
      </c>
    </row>
    <row r="16" spans="1:8" x14ac:dyDescent="0.25">
      <c r="A16" s="165"/>
      <c r="B16" s="153"/>
      <c r="C16" s="153"/>
      <c r="D16" s="153"/>
      <c r="E16" s="141"/>
      <c r="F16" s="106"/>
      <c r="G16" s="162"/>
      <c r="H16" s="162">
        <f t="shared" si="0"/>
        <v>0</v>
      </c>
    </row>
    <row r="17" spans="1:8" x14ac:dyDescent="0.25">
      <c r="A17" s="152"/>
      <c r="B17" s="153"/>
      <c r="C17" s="153"/>
      <c r="D17" s="153"/>
      <c r="E17" s="141"/>
      <c r="F17" s="106"/>
      <c r="G17" s="162"/>
      <c r="H17" s="162">
        <f t="shared" si="0"/>
        <v>0</v>
      </c>
    </row>
    <row r="18" spans="1:8" x14ac:dyDescent="0.25">
      <c r="A18" s="152"/>
      <c r="B18" s="153"/>
      <c r="C18" s="153"/>
      <c r="D18" s="153"/>
      <c r="E18" s="141"/>
      <c r="F18" s="106"/>
      <c r="G18" s="162"/>
      <c r="H18" s="162">
        <f t="shared" si="0"/>
        <v>0</v>
      </c>
    </row>
    <row r="19" spans="1:8" x14ac:dyDescent="0.25">
      <c r="A19" s="152"/>
      <c r="B19" s="153"/>
      <c r="C19" s="153"/>
      <c r="D19" s="153"/>
      <c r="E19" s="141"/>
      <c r="F19" s="106"/>
      <c r="G19" s="162"/>
      <c r="H19" s="162">
        <f t="shared" si="0"/>
        <v>0</v>
      </c>
    </row>
    <row r="20" spans="1:8" x14ac:dyDescent="0.25">
      <c r="A20" s="152"/>
      <c r="B20" s="153"/>
      <c r="C20" s="153"/>
      <c r="D20" s="153"/>
      <c r="E20" s="141"/>
      <c r="F20" s="106"/>
      <c r="G20" s="162"/>
      <c r="H20" s="162">
        <f t="shared" si="0"/>
        <v>0</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0</v>
      </c>
      <c r="H22" s="177"/>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6A46B-2966-4F60-9708-4402BC70CFD9}">
  <sheetPr>
    <pageSetUpPr fitToPage="1"/>
  </sheetPr>
  <dimension ref="A1:I140"/>
  <sheetViews>
    <sheetView zoomScaleNormal="100" workbookViewId="0">
      <selection activeCell="A26" sqref="A2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#9486.01'!B1</f>
        <v>DVA IVH Fox and Ulery Carpet Replacement - Sound Issues</v>
      </c>
      <c r="B1" s="86"/>
      <c r="C1" s="6"/>
      <c r="D1" s="6"/>
      <c r="E1" s="6"/>
      <c r="F1" s="132"/>
      <c r="G1" s="132"/>
      <c r="H1" s="133"/>
      <c r="I1" s="133"/>
    </row>
    <row r="2" spans="1:9" ht="15.75" x14ac:dyDescent="0.25">
      <c r="A2" s="88" t="str">
        <f>'RECAP #9486.01'!B2</f>
        <v>Project # 9486.01</v>
      </c>
      <c r="B2" s="87"/>
      <c r="C2" s="6"/>
      <c r="D2" s="6"/>
      <c r="E2" s="6"/>
      <c r="F2" s="132"/>
      <c r="G2" s="132"/>
      <c r="H2" s="133"/>
      <c r="I2" s="133"/>
    </row>
    <row r="3" spans="1:9" ht="15.75" x14ac:dyDescent="0.25">
      <c r="A3" s="89" t="str">
        <f>'RECAP #9486.01'!B3</f>
        <v>Program code 948601</v>
      </c>
      <c r="B3" s="87"/>
      <c r="C3" s="6"/>
      <c r="D3" s="90" t="str">
        <f>'RECAP #9486.01'!E3</f>
        <v>Major Program 4B03</v>
      </c>
      <c r="E3" s="6"/>
      <c r="F3" s="132"/>
      <c r="G3" s="132"/>
      <c r="H3" s="133"/>
      <c r="I3" s="133"/>
    </row>
    <row r="4" spans="1:9" ht="15.75" x14ac:dyDescent="0.25">
      <c r="A4" s="116" t="s">
        <v>197</v>
      </c>
      <c r="B4" s="134"/>
      <c r="C4" s="135"/>
      <c r="D4" s="136" t="s">
        <v>198</v>
      </c>
      <c r="E4" s="132"/>
      <c r="F4" s="132"/>
      <c r="G4" s="132"/>
      <c r="H4" s="133"/>
      <c r="I4" s="133"/>
    </row>
    <row r="5" spans="1:9" ht="15.75" x14ac:dyDescent="0.25">
      <c r="A5" s="137" t="s">
        <v>147</v>
      </c>
      <c r="B5" s="138"/>
      <c r="C5" s="139"/>
      <c r="D5" s="140" t="s">
        <v>199</v>
      </c>
      <c r="E5" s="141"/>
      <c r="F5" s="142"/>
      <c r="G5" s="142"/>
      <c r="H5" s="138"/>
      <c r="I5" s="133"/>
    </row>
    <row r="6" spans="1:9" ht="15.75" x14ac:dyDescent="0.25">
      <c r="A6" s="93" t="str">
        <f>'RECAP #9486.01'!B6</f>
        <v>Project Manager - Brad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811</v>
      </c>
      <c r="B9" s="318">
        <v>46175</v>
      </c>
      <c r="C9" s="324" t="s">
        <v>146</v>
      </c>
      <c r="D9" s="319">
        <v>14988.92</v>
      </c>
      <c r="E9" s="320">
        <f>D9</f>
        <v>14988.92</v>
      </c>
      <c r="F9" s="321"/>
      <c r="G9" s="321"/>
      <c r="H9" s="321">
        <f>E9</f>
        <v>14988.92</v>
      </c>
      <c r="I9" s="322"/>
    </row>
    <row r="10" spans="1:9" s="308" customFormat="1" ht="12.75" customHeight="1" x14ac:dyDescent="0.25">
      <c r="A10" s="317" t="s">
        <v>863</v>
      </c>
      <c r="B10" s="323">
        <v>46189</v>
      </c>
      <c r="C10" s="324" t="s">
        <v>864</v>
      </c>
      <c r="D10" s="320"/>
      <c r="E10" s="320">
        <f t="shared" ref="E10:E21" si="0">E9+D10</f>
        <v>14988.92</v>
      </c>
      <c r="F10" s="325">
        <v>2343.3000000000002</v>
      </c>
      <c r="G10" s="321">
        <f t="shared" ref="G10:G21" si="1">G9+F10</f>
        <v>2343.3000000000002</v>
      </c>
      <c r="H10" s="321">
        <f t="shared" ref="H10:H21" si="2">H9-F10+D10</f>
        <v>12645.619999999999</v>
      </c>
      <c r="I10" s="322"/>
    </row>
    <row r="11" spans="1:9" s="308" customFormat="1" ht="12.75" customHeight="1" x14ac:dyDescent="0.25">
      <c r="A11" s="317" t="s">
        <v>1021</v>
      </c>
      <c r="B11" s="318">
        <v>46216</v>
      </c>
      <c r="C11" s="324" t="s">
        <v>1022</v>
      </c>
      <c r="D11" s="320"/>
      <c r="E11" s="320">
        <f t="shared" si="0"/>
        <v>14988.92</v>
      </c>
      <c r="F11" s="325">
        <v>502.26</v>
      </c>
      <c r="G11" s="321">
        <f t="shared" si="1"/>
        <v>2845.5600000000004</v>
      </c>
      <c r="H11" s="321">
        <f t="shared" si="2"/>
        <v>12143.359999999999</v>
      </c>
      <c r="I11" s="322"/>
    </row>
    <row r="12" spans="1:9" s="308" customFormat="1" ht="12.75" customHeight="1" x14ac:dyDescent="0.25">
      <c r="A12" s="317"/>
      <c r="B12" s="318"/>
      <c r="C12" s="324"/>
      <c r="D12" s="320"/>
      <c r="E12" s="320">
        <f t="shared" si="0"/>
        <v>14988.92</v>
      </c>
      <c r="F12" s="326"/>
      <c r="G12" s="321">
        <f t="shared" si="1"/>
        <v>2845.5600000000004</v>
      </c>
      <c r="H12" s="321">
        <f t="shared" si="2"/>
        <v>12143.359999999999</v>
      </c>
      <c r="I12" s="322"/>
    </row>
    <row r="13" spans="1:9" s="308" customFormat="1" ht="12.75" customHeight="1" x14ac:dyDescent="0.25">
      <c r="A13" s="317"/>
      <c r="B13" s="318"/>
      <c r="C13" s="324"/>
      <c r="D13" s="320"/>
      <c r="E13" s="320">
        <f t="shared" si="0"/>
        <v>14988.92</v>
      </c>
      <c r="F13" s="326"/>
      <c r="G13" s="321">
        <f t="shared" si="1"/>
        <v>2845.5600000000004</v>
      </c>
      <c r="H13" s="321">
        <f t="shared" si="2"/>
        <v>12143.359999999999</v>
      </c>
      <c r="I13" s="322"/>
    </row>
    <row r="14" spans="1:9" s="308" customFormat="1" ht="12.75" customHeight="1" x14ac:dyDescent="0.25">
      <c r="A14" s="317"/>
      <c r="B14" s="318"/>
      <c r="C14" s="324"/>
      <c r="D14" s="320"/>
      <c r="E14" s="320">
        <f t="shared" si="0"/>
        <v>14988.92</v>
      </c>
      <c r="F14" s="321"/>
      <c r="G14" s="321">
        <f t="shared" si="1"/>
        <v>2845.5600000000004</v>
      </c>
      <c r="H14" s="321">
        <f t="shared" si="2"/>
        <v>12143.359999999999</v>
      </c>
      <c r="I14" s="322"/>
    </row>
    <row r="15" spans="1:9" s="308" customFormat="1" ht="12.75" customHeight="1" x14ac:dyDescent="0.25">
      <c r="A15" s="317"/>
      <c r="B15" s="318"/>
      <c r="C15" s="324"/>
      <c r="D15" s="320"/>
      <c r="E15" s="320">
        <f t="shared" si="0"/>
        <v>14988.92</v>
      </c>
      <c r="F15" s="326"/>
      <c r="G15" s="321">
        <f t="shared" si="1"/>
        <v>2845.5600000000004</v>
      </c>
      <c r="H15" s="321">
        <f t="shared" si="2"/>
        <v>12143.359999999999</v>
      </c>
      <c r="I15" s="322"/>
    </row>
    <row r="16" spans="1:9" s="308" customFormat="1" ht="12.75" customHeight="1" x14ac:dyDescent="0.25">
      <c r="A16" s="317"/>
      <c r="B16" s="318"/>
      <c r="C16" s="324"/>
      <c r="D16" s="320"/>
      <c r="E16" s="320">
        <f t="shared" si="0"/>
        <v>14988.92</v>
      </c>
      <c r="F16" s="326"/>
      <c r="G16" s="321">
        <f t="shared" si="1"/>
        <v>2845.5600000000004</v>
      </c>
      <c r="H16" s="321">
        <f t="shared" si="2"/>
        <v>12143.359999999999</v>
      </c>
      <c r="I16" s="322"/>
    </row>
    <row r="17" spans="1:9" s="308" customFormat="1" ht="12.75" customHeight="1" x14ac:dyDescent="0.25">
      <c r="A17" s="317"/>
      <c r="B17" s="318"/>
      <c r="C17" s="324"/>
      <c r="D17" s="320"/>
      <c r="E17" s="320">
        <f t="shared" si="0"/>
        <v>14988.92</v>
      </c>
      <c r="F17" s="326"/>
      <c r="G17" s="321">
        <f t="shared" si="1"/>
        <v>2845.5600000000004</v>
      </c>
      <c r="H17" s="321">
        <f t="shared" si="2"/>
        <v>12143.359999999999</v>
      </c>
      <c r="I17" s="322"/>
    </row>
    <row r="18" spans="1:9" s="308" customFormat="1" ht="12.75" customHeight="1" x14ac:dyDescent="0.25">
      <c r="A18" s="317"/>
      <c r="B18" s="318"/>
      <c r="C18" s="324"/>
      <c r="D18" s="320"/>
      <c r="E18" s="320">
        <f t="shared" si="0"/>
        <v>14988.92</v>
      </c>
      <c r="F18" s="326"/>
      <c r="G18" s="321">
        <f t="shared" si="1"/>
        <v>2845.5600000000004</v>
      </c>
      <c r="H18" s="321">
        <f t="shared" si="2"/>
        <v>12143.359999999999</v>
      </c>
      <c r="I18" s="322"/>
    </row>
    <row r="19" spans="1:9" s="308" customFormat="1" ht="12.75" customHeight="1" x14ac:dyDescent="0.25">
      <c r="A19" s="317"/>
      <c r="B19" s="318"/>
      <c r="C19" s="324"/>
      <c r="D19" s="320"/>
      <c r="E19" s="320">
        <f t="shared" si="0"/>
        <v>14988.92</v>
      </c>
      <c r="F19" s="321"/>
      <c r="G19" s="321">
        <f t="shared" si="1"/>
        <v>2845.5600000000004</v>
      </c>
      <c r="H19" s="321">
        <f t="shared" si="2"/>
        <v>12143.359999999999</v>
      </c>
      <c r="I19" s="322"/>
    </row>
    <row r="20" spans="1:9" s="308" customFormat="1" ht="12.75" customHeight="1" x14ac:dyDescent="0.25">
      <c r="A20" s="317"/>
      <c r="B20" s="318"/>
      <c r="C20" s="324"/>
      <c r="D20" s="320"/>
      <c r="E20" s="320">
        <f t="shared" si="0"/>
        <v>14988.92</v>
      </c>
      <c r="F20" s="321"/>
      <c r="G20" s="321">
        <f t="shared" si="1"/>
        <v>2845.5600000000004</v>
      </c>
      <c r="H20" s="321">
        <f t="shared" si="2"/>
        <v>12143.359999999999</v>
      </c>
      <c r="I20" s="322"/>
    </row>
    <row r="21" spans="1:9" s="308" customFormat="1" ht="12.75" customHeight="1" x14ac:dyDescent="0.25">
      <c r="A21" s="317"/>
      <c r="B21" s="318"/>
      <c r="C21" s="327"/>
      <c r="D21" s="320"/>
      <c r="E21" s="320">
        <f t="shared" si="0"/>
        <v>14988.92</v>
      </c>
      <c r="F21" s="321"/>
      <c r="G21" s="321">
        <f t="shared" si="1"/>
        <v>2845.5600000000004</v>
      </c>
      <c r="H21" s="321">
        <f t="shared" si="2"/>
        <v>12143.359999999999</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14988.92</v>
      </c>
      <c r="E23" s="184"/>
      <c r="F23" s="184">
        <f>SUM(F9:F22)</f>
        <v>2845.5600000000004</v>
      </c>
      <c r="G23" s="184"/>
      <c r="H23" s="184">
        <f>D23-F23</f>
        <v>12143.36</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812</v>
      </c>
      <c r="D26" s="321">
        <v>13988.92</v>
      </c>
      <c r="E26" s="321"/>
      <c r="F26" s="321">
        <f>2291.8+502.26</f>
        <v>2794.0600000000004</v>
      </c>
      <c r="G26" s="321"/>
      <c r="H26" s="321">
        <f>D26-F26</f>
        <v>11194.86</v>
      </c>
      <c r="I26" s="322"/>
    </row>
    <row r="27" spans="1:9" s="308" customFormat="1" ht="12.75" customHeight="1" x14ac:dyDescent="0.25">
      <c r="A27" s="317"/>
      <c r="B27" s="324"/>
      <c r="C27" s="328" t="s">
        <v>253</v>
      </c>
      <c r="D27" s="321">
        <v>1000</v>
      </c>
      <c r="E27" s="321"/>
      <c r="F27" s="321">
        <f>51.5</f>
        <v>51.5</v>
      </c>
      <c r="G27" s="321"/>
      <c r="H27" s="321">
        <f t="shared" ref="H27" si="3">D27-F27</f>
        <v>948.5</v>
      </c>
      <c r="I27" s="322"/>
    </row>
    <row r="28" spans="1:9" s="308" customFormat="1" ht="12.75" customHeight="1" thickBot="1" x14ac:dyDescent="0.3">
      <c r="A28" s="317"/>
      <c r="B28" s="324"/>
      <c r="C28" s="359" t="s">
        <v>157</v>
      </c>
      <c r="D28" s="360">
        <f>SUM(D25:D27)</f>
        <v>14988.92</v>
      </c>
      <c r="E28" s="326"/>
      <c r="F28" s="360">
        <f>SUM(F25:F27)</f>
        <v>2845.5600000000004</v>
      </c>
      <c r="G28" s="326"/>
      <c r="H28" s="360">
        <f>SUM(H25:H27)</f>
        <v>12143.36</v>
      </c>
      <c r="I28" s="322"/>
    </row>
    <row r="29" spans="1:9" s="308" customFormat="1" ht="12.75" customHeight="1" thickTop="1" x14ac:dyDescent="0.25"/>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row r="42" s="308" customFormat="1" ht="12.75" customHeight="1" x14ac:dyDescent="0.25"/>
    <row r="43" s="308" customFormat="1" ht="12.75" customHeight="1" x14ac:dyDescent="0.25"/>
    <row r="44" s="308" customFormat="1" ht="12.75" customHeight="1" x14ac:dyDescent="0.25"/>
    <row r="45" s="308" customFormat="1" ht="12.75" customHeight="1" x14ac:dyDescent="0.25"/>
    <row r="46" s="308" customFormat="1" ht="12.75" customHeight="1" x14ac:dyDescent="0.25"/>
    <row r="47" s="308" customFormat="1" ht="12.75" customHeight="1" x14ac:dyDescent="0.25"/>
    <row r="48"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row r="132" s="308" customFormat="1" ht="12.75" customHeight="1" x14ac:dyDescent="0.25"/>
    <row r="133" s="308" customFormat="1" ht="12.75" customHeight="1" x14ac:dyDescent="0.25"/>
    <row r="134" s="308" customFormat="1" ht="12.75" customHeight="1" x14ac:dyDescent="0.25"/>
    <row r="135" s="308" customFormat="1" ht="12.75" customHeight="1" x14ac:dyDescent="0.25"/>
    <row r="136" s="308" customFormat="1" ht="12.75" customHeight="1" x14ac:dyDescent="0.25"/>
    <row r="137" s="308" customFormat="1" ht="12.75" customHeight="1" x14ac:dyDescent="0.25"/>
    <row r="138" s="308" customFormat="1" ht="12.75" customHeight="1" x14ac:dyDescent="0.25"/>
    <row r="139" s="308" customFormat="1" ht="12.75" customHeight="1" x14ac:dyDescent="0.25"/>
    <row r="140" s="308" customFormat="1" ht="12.75" customHeight="1" x14ac:dyDescent="0.25"/>
  </sheetData>
  <conditionalFormatting sqref="I9:I25">
    <cfRule type="cellIs" dxfId="22" priority="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8467-A29B-4AC9-BDDF-0E5E73EE6C3F}">
  <sheetPr codeName="Sheet55">
    <pageSetUpPr fitToPage="1"/>
  </sheetPr>
  <dimension ref="A1:G20"/>
  <sheetViews>
    <sheetView topLeftCell="A2" zoomScaleNormal="100" workbookViewId="0">
      <selection activeCell="B25" sqref="B2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83</v>
      </c>
      <c r="C1" s="86"/>
      <c r="D1" s="6"/>
      <c r="E1" s="6"/>
      <c r="F1" s="6"/>
      <c r="G1" s="6"/>
    </row>
    <row r="2" spans="1:7" ht="15.75" x14ac:dyDescent="0.25">
      <c r="A2" s="84"/>
      <c r="B2" s="88" t="s">
        <v>88</v>
      </c>
      <c r="C2" s="87"/>
      <c r="D2" s="6"/>
      <c r="E2" s="6"/>
      <c r="F2" s="6"/>
      <c r="G2" s="6"/>
    </row>
    <row r="3" spans="1:7" ht="15.75" x14ac:dyDescent="0.25">
      <c r="A3" s="84"/>
      <c r="B3" s="89" t="s">
        <v>89</v>
      </c>
      <c r="C3" s="87"/>
      <c r="D3" s="6"/>
      <c r="E3" s="90" t="s">
        <v>90</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136</v>
      </c>
      <c r="C6" s="94"/>
      <c r="D6" s="95" t="s">
        <v>3</v>
      </c>
      <c r="E6" s="6"/>
      <c r="F6" s="6"/>
      <c r="G6" s="6"/>
    </row>
    <row r="7" spans="1:7" ht="35.25" customHeight="1" thickBot="1" x14ac:dyDescent="0.3">
      <c r="A7" s="84"/>
      <c r="B7" s="96" t="s">
        <v>3</v>
      </c>
      <c r="C7" s="97" t="s">
        <v>0</v>
      </c>
      <c r="D7" s="98" t="s">
        <v>1</v>
      </c>
      <c r="E7" s="99" t="s">
        <v>2</v>
      </c>
      <c r="F7" s="100" t="s">
        <v>37</v>
      </c>
      <c r="G7" s="100" t="s">
        <v>38</v>
      </c>
    </row>
    <row r="8" spans="1:7" ht="28.35" customHeight="1" x14ac:dyDescent="0.25">
      <c r="A8" s="84"/>
      <c r="B8" s="87" t="s">
        <v>39</v>
      </c>
      <c r="C8" s="101">
        <f>'#9487.00 Funds Rec''d'!H24</f>
        <v>1600000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81" t="s">
        <v>325</v>
      </c>
      <c r="B10" s="375" t="s">
        <v>197</v>
      </c>
      <c r="C10" s="376"/>
      <c r="D10" s="379">
        <f>'#9487.00 DCI Group'!D23</f>
        <v>26121.39</v>
      </c>
      <c r="E10" s="379">
        <f>'#9487.00 DCI Group'!F23</f>
        <v>26121.39</v>
      </c>
      <c r="F10" s="379">
        <f>'#9487.00 DCI Group'!H23</f>
        <v>0</v>
      </c>
      <c r="G10" s="378"/>
    </row>
    <row r="11" spans="1:7" s="308" customFormat="1" ht="12.75" customHeight="1" x14ac:dyDescent="0.25">
      <c r="A11" s="374"/>
      <c r="B11" s="375" t="s">
        <v>41</v>
      </c>
      <c r="C11" s="376"/>
      <c r="D11" s="379">
        <f>'#9487.00 PM TIME'!E38</f>
        <v>20000</v>
      </c>
      <c r="E11" s="379">
        <f>'#9487.00 PM TIME'!G38</f>
        <v>11999.379999999997</v>
      </c>
      <c r="F11" s="379">
        <f>'#9487.00 PM TIME'!I38</f>
        <v>8000.6200000000026</v>
      </c>
      <c r="G11" s="378"/>
    </row>
    <row r="12" spans="1:7" s="308" customFormat="1" ht="12.75" customHeight="1" x14ac:dyDescent="0.25">
      <c r="A12" s="374"/>
      <c r="B12" s="375" t="s">
        <v>42</v>
      </c>
      <c r="C12" s="377"/>
      <c r="D12" s="367">
        <f>'#9487.00 Misc'!G22</f>
        <v>13213.099999999999</v>
      </c>
      <c r="E12" s="367">
        <f>'#9487.00 Misc'!G22</f>
        <v>13213.099999999999</v>
      </c>
      <c r="F12" s="379">
        <f>D12-E12</f>
        <v>0</v>
      </c>
      <c r="G12" s="378"/>
    </row>
    <row r="13" spans="1:7" s="308" customFormat="1" ht="12.75" customHeight="1" x14ac:dyDescent="0.25">
      <c r="A13" s="381" t="s">
        <v>325</v>
      </c>
      <c r="B13" s="375" t="s">
        <v>181</v>
      </c>
      <c r="C13" s="377"/>
      <c r="D13" s="367">
        <f>'#9487.00 Genesis Architectural'!D23</f>
        <v>13500</v>
      </c>
      <c r="E13" s="367">
        <f>'#9487.00 Genesis Architectural'!F23</f>
        <v>13500</v>
      </c>
      <c r="F13" s="379">
        <f>'#9487.00 Genesis Architectural'!H23</f>
        <v>0</v>
      </c>
      <c r="G13" s="378"/>
    </row>
    <row r="14" spans="1:7" s="308" customFormat="1" ht="12.75" customHeight="1" x14ac:dyDescent="0.25">
      <c r="A14" s="381" t="s">
        <v>325</v>
      </c>
      <c r="B14" s="375" t="s">
        <v>464</v>
      </c>
      <c r="C14" s="377"/>
      <c r="D14" s="367">
        <f>'#9487.00 Genesis Architectu (2)'!D23</f>
        <v>4150</v>
      </c>
      <c r="E14" s="367">
        <f>'#9487.00 Genesis Architectu (2)'!F23</f>
        <v>4150</v>
      </c>
      <c r="F14" s="379">
        <f>'#9487.00 Genesis Architectu (2)'!H23</f>
        <v>0</v>
      </c>
      <c r="G14" s="378"/>
    </row>
    <row r="15" spans="1:7" s="308" customFormat="1" ht="12.75" customHeight="1" x14ac:dyDescent="0.25">
      <c r="A15" s="374"/>
      <c r="B15" s="375" t="s">
        <v>607</v>
      </c>
      <c r="C15" s="377"/>
      <c r="D15" s="367">
        <f>'#9487.00 Genesis Architectu (3)'!D23</f>
        <v>71600</v>
      </c>
      <c r="E15" s="367">
        <f>'#9487.00 Genesis Architectu (3)'!F23</f>
        <v>49370</v>
      </c>
      <c r="F15" s="379">
        <f>'#9487.00 Genesis Architectu (3)'!H23</f>
        <v>22230</v>
      </c>
      <c r="G15" s="378"/>
    </row>
    <row r="16" spans="1:7" s="308" customFormat="1" ht="12.75" customHeight="1" x14ac:dyDescent="0.25">
      <c r="A16" s="374"/>
      <c r="B16" s="375" t="s">
        <v>338</v>
      </c>
      <c r="C16" s="377"/>
      <c r="D16" s="367">
        <f>'#9487.00 DCI Group (2)'!D23</f>
        <v>210626.27</v>
      </c>
      <c r="E16" s="367">
        <f>'#9487.00 DCI Group (2)'!F23</f>
        <v>27063.32</v>
      </c>
      <c r="F16" s="379">
        <f>'#9487.00 DCI Group (2)'!H23</f>
        <v>183562.94999999998</v>
      </c>
      <c r="G16" s="378"/>
    </row>
    <row r="17" spans="1:7" s="308" customFormat="1" ht="12.75" customHeight="1" x14ac:dyDescent="0.25">
      <c r="A17" s="374"/>
      <c r="B17" s="375" t="s">
        <v>837</v>
      </c>
      <c r="C17" s="377"/>
      <c r="D17" s="367">
        <f>'#9487.00 Keystone Construction'!D23</f>
        <v>1100000</v>
      </c>
      <c r="E17" s="367">
        <f>'#9487.00 Keystone Construction'!F23</f>
        <v>16897.400000000001</v>
      </c>
      <c r="F17" s="379">
        <f>'#9487.00 Keystone Construction'!H23</f>
        <v>1083102.6000000001</v>
      </c>
      <c r="G17" s="378"/>
    </row>
    <row r="18" spans="1:7" s="308" customFormat="1" ht="12.75" customHeight="1" x14ac:dyDescent="0.25">
      <c r="A18" s="374"/>
      <c r="B18" s="375"/>
      <c r="C18" s="377"/>
      <c r="D18" s="367"/>
      <c r="E18" s="367"/>
      <c r="F18" s="379"/>
      <c r="G18" s="378"/>
    </row>
    <row r="19" spans="1:7" ht="24" customHeight="1" thickBot="1" x14ac:dyDescent="0.3">
      <c r="A19" s="107"/>
      <c r="B19" s="108" t="s">
        <v>43</v>
      </c>
      <c r="C19" s="109">
        <f>SUM(C8:C18)</f>
        <v>1600000</v>
      </c>
      <c r="D19" s="109">
        <f>SUM(D8:D18)</f>
        <v>1459210.76</v>
      </c>
      <c r="E19" s="109">
        <f>SUM(E8:E18)</f>
        <v>162314.59</v>
      </c>
      <c r="F19" s="109">
        <f>SUM(D19-E19)</f>
        <v>1296896.17</v>
      </c>
      <c r="G19" s="109">
        <f>C8-D19</f>
        <v>140789.24</v>
      </c>
    </row>
    <row r="20"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208ED-4FE2-4C89-BAC8-42BF82E88F51}">
  <sheetPr codeName="Sheet56">
    <pageSetUpPr fitToPage="1"/>
  </sheetPr>
  <dimension ref="A1:H41"/>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7" width="15.28515625" customWidth="1"/>
    <col min="8" max="8" width="15.4257812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#9487.00'!B1</f>
        <v>DVA IVH Loftus and Malloy Water Infiltration-Flooding (29C20)</v>
      </c>
      <c r="B1" s="7"/>
      <c r="C1" s="2"/>
      <c r="D1" s="3"/>
      <c r="E1" s="3"/>
      <c r="F1" s="7"/>
      <c r="G1" s="7"/>
      <c r="H1" s="7"/>
    </row>
    <row r="2" spans="1:8" x14ac:dyDescent="0.25">
      <c r="A2" s="112" t="str">
        <f>'RECAP #9487.00'!B2</f>
        <v>Project # 9487.00</v>
      </c>
      <c r="B2" s="7"/>
      <c r="C2" s="113" t="s">
        <v>3</v>
      </c>
      <c r="D2" s="1"/>
      <c r="E2" s="1"/>
      <c r="F2" s="7"/>
      <c r="G2" s="7"/>
      <c r="H2" s="7"/>
    </row>
    <row r="3" spans="1:8" x14ac:dyDescent="0.25">
      <c r="A3" s="114" t="str">
        <f>'RECAP #9487.00'!B3</f>
        <v>Program code 948700</v>
      </c>
      <c r="B3" s="7"/>
      <c r="C3" s="113" t="s">
        <v>3</v>
      </c>
      <c r="D3" s="115" t="str">
        <f>'RECAP #9487.00'!E3</f>
        <v>Major Program 4B03</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#9487.00'!B6</f>
        <v>Project Manager - Brad T.</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334" t="s">
        <v>99</v>
      </c>
      <c r="F9" s="335">
        <v>45867</v>
      </c>
      <c r="G9" s="405">
        <v>500000</v>
      </c>
      <c r="H9" s="405">
        <v>500000</v>
      </c>
    </row>
    <row r="10" spans="1:8" s="308" customFormat="1" ht="12.75" customHeight="1" x14ac:dyDescent="0.25">
      <c r="A10" s="331"/>
      <c r="B10" s="331"/>
      <c r="C10" s="336"/>
      <c r="D10" s="334" t="s">
        <v>266</v>
      </c>
      <c r="E10" s="331" t="s">
        <v>791</v>
      </c>
      <c r="F10" s="331">
        <v>46164</v>
      </c>
      <c r="G10" s="410">
        <v>1100000</v>
      </c>
      <c r="H10" s="410">
        <v>1100000</v>
      </c>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s="308" customFormat="1" ht="12.75" customHeight="1" thickBot="1" x14ac:dyDescent="0.3">
      <c r="A24" s="353"/>
      <c r="B24" s="354" t="s">
        <v>9</v>
      </c>
      <c r="C24" s="355">
        <f>SUM(C9:C23)</f>
        <v>0</v>
      </c>
      <c r="D24" s="356" t="s">
        <v>10</v>
      </c>
      <c r="E24" s="357"/>
      <c r="F24" s="358"/>
      <c r="G24" s="184">
        <f>SUM(G9:G23)</f>
        <v>1600000</v>
      </c>
      <c r="H24" s="184">
        <f>SUM(H9:H23)</f>
        <v>1600000</v>
      </c>
    </row>
    <row r="25" spans="1:8" s="308" customFormat="1" ht="12.75" customHeight="1" thickTop="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row r="34" s="308" customFormat="1" ht="12.75" customHeight="1" x14ac:dyDescent="0.25"/>
    <row r="35" s="308" customFormat="1" ht="12.75" customHeight="1" x14ac:dyDescent="0.25"/>
    <row r="36" s="308" customFormat="1" ht="12.75" customHeight="1" x14ac:dyDescent="0.25"/>
    <row r="37" s="308" customFormat="1" ht="12.75" customHeight="1" x14ac:dyDescent="0.25"/>
    <row r="38" s="308" customFormat="1" ht="12.75" customHeight="1" x14ac:dyDescent="0.25"/>
    <row r="39" s="308" customFormat="1" ht="12.75" customHeight="1" x14ac:dyDescent="0.25"/>
    <row r="40" s="308" customFormat="1" ht="12.75" customHeight="1" x14ac:dyDescent="0.25"/>
    <row r="41" s="308"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316C-08C3-4051-A64D-B69DF07936BC}">
  <sheetPr codeName="Sheet2">
    <pageSetUpPr fitToPage="1"/>
  </sheetPr>
  <dimension ref="A1:G26"/>
  <sheetViews>
    <sheetView topLeftCell="A3" zoomScaleNormal="100" workbookViewId="0">
      <selection activeCell="C29" sqref="C29"/>
    </sheetView>
  </sheetViews>
  <sheetFormatPr defaultColWidth="11.42578125" defaultRowHeight="15" customHeight="1" x14ac:dyDescent="0.25"/>
  <cols>
    <col min="1" max="1" width="3.5703125" customWidth="1"/>
    <col min="2" max="2" width="28.8554687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291</v>
      </c>
      <c r="C1" s="86"/>
      <c r="D1" s="6"/>
      <c r="E1" s="6"/>
      <c r="F1" s="6"/>
      <c r="G1" s="6"/>
    </row>
    <row r="2" spans="1:7" ht="15.75" x14ac:dyDescent="0.25">
      <c r="A2" s="84"/>
      <c r="B2" s="88" t="s">
        <v>292</v>
      </c>
      <c r="C2" s="87"/>
      <c r="D2" s="6"/>
      <c r="E2" s="6"/>
      <c r="F2" s="6"/>
      <c r="G2" s="6"/>
    </row>
    <row r="3" spans="1:7" ht="15.75" x14ac:dyDescent="0.25">
      <c r="A3" s="84"/>
      <c r="B3" s="89" t="s">
        <v>293</v>
      </c>
      <c r="C3" s="87"/>
      <c r="D3" s="6"/>
      <c r="E3" s="90" t="s">
        <v>294</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70</v>
      </c>
      <c r="C6" s="94"/>
      <c r="D6" s="95" t="s">
        <v>3</v>
      </c>
      <c r="E6" s="6"/>
      <c r="F6" s="6"/>
      <c r="G6" s="6"/>
    </row>
    <row r="7" spans="1:7" ht="38.25" customHeight="1" thickBot="1" x14ac:dyDescent="0.3">
      <c r="A7" s="84"/>
      <c r="B7" s="96" t="s">
        <v>3</v>
      </c>
      <c r="C7" s="97" t="s">
        <v>0</v>
      </c>
      <c r="D7" s="98" t="s">
        <v>1</v>
      </c>
      <c r="E7" s="99" t="s">
        <v>2</v>
      </c>
      <c r="F7" s="100" t="s">
        <v>37</v>
      </c>
      <c r="G7" s="100" t="s">
        <v>38</v>
      </c>
    </row>
    <row r="8" spans="1:7" ht="28.35" customHeight="1" x14ac:dyDescent="0.25">
      <c r="A8" s="84"/>
      <c r="B8" s="87" t="s">
        <v>39</v>
      </c>
      <c r="C8" s="101">
        <f>'#9279.50 Funds Rec''d'!H24</f>
        <v>14275000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74"/>
      <c r="B10" s="375" t="s">
        <v>426</v>
      </c>
      <c r="C10" s="376"/>
      <c r="D10" s="379">
        <f>'#9279.50 Shive Hattery'!D23</f>
        <v>592782</v>
      </c>
      <c r="E10" s="379">
        <f>'#9279.50 Shive Hattery'!F23</f>
        <v>459575</v>
      </c>
      <c r="F10" s="379">
        <f>'#9279.50 Shive Hattery'!H23</f>
        <v>133207</v>
      </c>
      <c r="G10" s="378"/>
    </row>
    <row r="11" spans="1:7" s="308" customFormat="1" ht="12.75" customHeight="1" x14ac:dyDescent="0.25">
      <c r="A11" s="374"/>
      <c r="B11" s="375" t="s">
        <v>41</v>
      </c>
      <c r="C11" s="376"/>
      <c r="D11" s="379">
        <f>'#9279.50 PM TIME'!E32</f>
        <v>293189</v>
      </c>
      <c r="E11" s="379">
        <f>'#9279.50 PM TIME'!G32</f>
        <v>14025.570000000002</v>
      </c>
      <c r="F11" s="379">
        <f>'#9279.50 PM TIME'!I32</f>
        <v>279163.43</v>
      </c>
      <c r="G11" s="378"/>
    </row>
    <row r="12" spans="1:7" s="308" customFormat="1" ht="12.75" customHeight="1" x14ac:dyDescent="0.25">
      <c r="A12" s="374"/>
      <c r="B12" s="375" t="s">
        <v>42</v>
      </c>
      <c r="C12" s="377"/>
      <c r="D12" s="367">
        <f>'#9279.50 Misc'!G22</f>
        <v>626.28</v>
      </c>
      <c r="E12" s="367">
        <f>'#9279.50 Misc'!G22</f>
        <v>626.28</v>
      </c>
      <c r="F12" s="379">
        <f>D12-E12</f>
        <v>0</v>
      </c>
      <c r="G12" s="378"/>
    </row>
    <row r="13" spans="1:7" s="308" customFormat="1" ht="12.75" customHeight="1" x14ac:dyDescent="0.25">
      <c r="A13" s="381" t="s">
        <v>325</v>
      </c>
      <c r="B13" s="375" t="s">
        <v>459</v>
      </c>
      <c r="C13" s="377"/>
      <c r="D13" s="367">
        <f>'#9279.50 StoryConstruction'!D23</f>
        <v>25114.78</v>
      </c>
      <c r="E13" s="367">
        <f>'#9279.50 StoryConstruction'!F23</f>
        <v>25114.78</v>
      </c>
      <c r="F13" s="379">
        <f>'#9279.50 StoryConstruction'!H23</f>
        <v>0</v>
      </c>
      <c r="G13" s="378"/>
    </row>
    <row r="14" spans="1:7" s="308" customFormat="1" ht="12.75" customHeight="1" x14ac:dyDescent="0.25">
      <c r="A14" s="381" t="s">
        <v>325</v>
      </c>
      <c r="B14" s="375" t="s">
        <v>636</v>
      </c>
      <c r="C14" s="377"/>
      <c r="D14" s="367">
        <f>'#9279.50 ATC Group'!D23</f>
        <v>8445.25</v>
      </c>
      <c r="E14" s="367">
        <f>'#9279.50 ATC Group'!F23</f>
        <v>8445.25</v>
      </c>
      <c r="F14" s="379">
        <f>'#9279.50 ATC Group'!H23</f>
        <v>0</v>
      </c>
      <c r="G14" s="378"/>
    </row>
    <row r="15" spans="1:7" s="308" customFormat="1" ht="12.75" customHeight="1" x14ac:dyDescent="0.25">
      <c r="A15" s="374"/>
      <c r="B15" s="375" t="s">
        <v>891</v>
      </c>
      <c r="C15" s="377"/>
      <c r="D15" s="367">
        <f>'#9279.50 Van Maanen'!D23</f>
        <v>57562</v>
      </c>
      <c r="E15" s="367">
        <f>'#9279.50 Van Maanen'!F23</f>
        <v>0</v>
      </c>
      <c r="F15" s="379">
        <f>'#9279.50 Van Maanen'!H23</f>
        <v>57562</v>
      </c>
      <c r="G15" s="378"/>
    </row>
    <row r="16" spans="1:7" s="308" customFormat="1" ht="12.75" customHeight="1" x14ac:dyDescent="0.25">
      <c r="A16" s="374"/>
      <c r="B16" s="375" t="s">
        <v>907</v>
      </c>
      <c r="C16" s="377"/>
      <c r="D16" s="367">
        <f>'#9279.50 Central IA Mechanical'!D23</f>
        <v>645267</v>
      </c>
      <c r="E16" s="367">
        <f>'#9279.50 Central IA Mechanical'!F23</f>
        <v>0</v>
      </c>
      <c r="F16" s="379">
        <f>'#9279.50 Central IA Mechanical'!H23</f>
        <v>645267</v>
      </c>
      <c r="G16" s="378"/>
    </row>
    <row r="17" spans="1:7" s="308" customFormat="1" ht="12.75" customHeight="1" x14ac:dyDescent="0.25">
      <c r="A17" s="374"/>
      <c r="B17" s="375" t="s">
        <v>911</v>
      </c>
      <c r="C17" s="377"/>
      <c r="D17" s="367">
        <f>'#9279.50 StoryConstruction (2)'!D23</f>
        <v>901304.13</v>
      </c>
      <c r="E17" s="367">
        <f>'#9279.50 StoryConstruction (2)'!F23</f>
        <v>2928.66</v>
      </c>
      <c r="F17" s="379">
        <f>'#9279.50 StoryConstruction (2)'!H23</f>
        <v>898375.47</v>
      </c>
      <c r="G17" s="378"/>
    </row>
    <row r="18" spans="1:7" s="308" customFormat="1" ht="12.75" customHeight="1" x14ac:dyDescent="0.25">
      <c r="A18" s="374"/>
      <c r="B18" s="375" t="s">
        <v>918</v>
      </c>
      <c r="C18" s="377"/>
      <c r="D18" s="367">
        <f>'#9279.50 Earth Services'!D23</f>
        <v>1725400</v>
      </c>
      <c r="E18" s="367">
        <f>'#9279.50 Earth Services'!F23</f>
        <v>0</v>
      </c>
      <c r="F18" s="379">
        <f>'#9279.50 Earth Services'!H23</f>
        <v>1725400</v>
      </c>
      <c r="G18" s="378"/>
    </row>
    <row r="19" spans="1:7" s="308" customFormat="1" ht="12.75" customHeight="1" x14ac:dyDescent="0.25">
      <c r="A19" s="374"/>
      <c r="B19" s="375" t="s">
        <v>921</v>
      </c>
      <c r="C19" s="377"/>
      <c r="D19" s="367">
        <f>'#9279.50 Earth Services (2)'!D23</f>
        <v>459375</v>
      </c>
      <c r="E19" s="367">
        <f>'#9279.50 Earth Services (2)'!F23</f>
        <v>0</v>
      </c>
      <c r="F19" s="379">
        <f>'#9279.50 Earth Services (2)'!H23</f>
        <v>459375</v>
      </c>
      <c r="G19" s="378"/>
    </row>
    <row r="20" spans="1:7" s="308" customFormat="1" ht="12.75" customHeight="1" x14ac:dyDescent="0.25">
      <c r="A20" s="374"/>
      <c r="B20" s="375" t="s">
        <v>924</v>
      </c>
      <c r="C20" s="377"/>
      <c r="D20" s="367">
        <f>'#9279.50 Breiholz Construction'!D23</f>
        <v>1286134</v>
      </c>
      <c r="E20" s="367">
        <f>'#9279.50 Breiholz Construction'!F23</f>
        <v>0</v>
      </c>
      <c r="F20" s="379">
        <f>'#9279.50 Breiholz Construction'!H23</f>
        <v>1286134</v>
      </c>
      <c r="G20" s="378"/>
    </row>
    <row r="21" spans="1:7" s="308" customFormat="1" ht="12.75" customHeight="1" x14ac:dyDescent="0.25">
      <c r="A21" s="374"/>
      <c r="B21" s="375" t="s">
        <v>891</v>
      </c>
      <c r="C21" s="377"/>
      <c r="D21" s="367">
        <f>'#9279.50 VanMaanen'!D23</f>
        <v>1281000</v>
      </c>
      <c r="E21" s="367">
        <f>'#9279.50 VanMaanen'!F23</f>
        <v>0</v>
      </c>
      <c r="F21" s="379">
        <f>'#9279.50 VanMaanen'!H23</f>
        <v>1281000</v>
      </c>
      <c r="G21" s="378"/>
    </row>
    <row r="22" spans="1:7" s="308" customFormat="1" ht="12.75" customHeight="1" x14ac:dyDescent="0.25">
      <c r="A22" s="374"/>
      <c r="B22" s="375" t="s">
        <v>941</v>
      </c>
      <c r="C22" s="377"/>
      <c r="D22" s="367">
        <f>'#9279.50 ATC Group (2)'!D23</f>
        <v>15497</v>
      </c>
      <c r="E22" s="367">
        <f>'#9279.50 ATC Group (2)'!F23</f>
        <v>0</v>
      </c>
      <c r="F22" s="379">
        <f>'#9279.50 ATC Group (2)'!H23</f>
        <v>15497</v>
      </c>
      <c r="G22" s="378"/>
    </row>
    <row r="23" spans="1:7" s="308" customFormat="1" ht="12.75" customHeight="1" x14ac:dyDescent="0.25">
      <c r="A23" s="374"/>
      <c r="B23" s="375" t="s">
        <v>954</v>
      </c>
      <c r="C23" s="377"/>
      <c r="D23" s="367">
        <f>'#9279.50 Reilly Construction'!D23</f>
        <v>2375000</v>
      </c>
      <c r="E23" s="367">
        <f>'#9279.50 Reilly Construction'!F23</f>
        <v>0</v>
      </c>
      <c r="F23" s="379">
        <f>'#9279.50 Reilly Construction'!H23</f>
        <v>2375000</v>
      </c>
      <c r="G23" s="378"/>
    </row>
    <row r="24" spans="1:7" s="308" customFormat="1" ht="12.75" customHeight="1" x14ac:dyDescent="0.25">
      <c r="A24" s="374"/>
      <c r="B24" s="375"/>
      <c r="C24" s="377"/>
      <c r="D24" s="367"/>
      <c r="E24" s="367"/>
      <c r="F24" s="379"/>
      <c r="G24" s="378"/>
    </row>
    <row r="25" spans="1:7" ht="24" customHeight="1" thickBot="1" x14ac:dyDescent="0.3">
      <c r="A25" s="107"/>
      <c r="B25" s="108" t="s">
        <v>43</v>
      </c>
      <c r="C25" s="109">
        <f>SUM(C8:C24)</f>
        <v>14275000</v>
      </c>
      <c r="D25" s="109">
        <f>SUM(D8:D24)</f>
        <v>9666696.4399999995</v>
      </c>
      <c r="E25" s="109">
        <f>SUM(E8:E24)</f>
        <v>510715.54</v>
      </c>
      <c r="F25" s="109">
        <f>SUM(D25-E25)</f>
        <v>9155980.9000000004</v>
      </c>
      <c r="G25" s="109">
        <f>C8-D25</f>
        <v>4608303.5600000005</v>
      </c>
    </row>
    <row r="26" spans="1:7" ht="15" customHeight="1" thickTop="1" x14ac:dyDescent="0.25"/>
  </sheetData>
  <pageMargins left="0.25" right="0.25" top="0.85" bottom="0.75" header="0.08" footer="0.3"/>
  <pageSetup scale="86" orientation="portrait" r:id="rId1"/>
  <headerFooter alignWithMargins="0">
    <oddHeader>&amp;CDepartment of Administrative Services
MOU Project Improvements DA26
&amp;A
&amp;D</oddHeader>
    <oddFooter>&amp;LAcct Code: 0506-335-DA26&amp;C&amp;Z&amp;F
&amp;R&amp;P/&amp;N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FC3B7-624F-4C32-9D24-43AF9AD83E9C}">
  <sheetPr codeName="Sheet57">
    <tabColor rgb="FF0070C0"/>
    <pageSetUpPr fitToPage="1"/>
  </sheetPr>
  <dimension ref="A1:I34"/>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6.85546875" style="267" customWidth="1"/>
    <col min="4" max="4" width="14.42578125" style="267" customWidth="1"/>
    <col min="5" max="5" width="13.5703125" style="267" customWidth="1"/>
    <col min="6" max="6" width="12.42578125" style="267" customWidth="1"/>
    <col min="7" max="7" width="10.5703125" style="267" customWidth="1"/>
    <col min="8" max="8" width="12"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#9487.00'!B1</f>
        <v>DVA IVH Loftus and Malloy Water Infiltration-Flooding (29C20)</v>
      </c>
      <c r="B1" s="116"/>
      <c r="C1" s="193"/>
      <c r="D1" s="193"/>
      <c r="E1" s="193"/>
      <c r="F1" s="194"/>
      <c r="G1" s="194"/>
      <c r="H1" s="195"/>
      <c r="I1" s="195"/>
    </row>
    <row r="2" spans="1:9" ht="15.75" x14ac:dyDescent="0.25">
      <c r="A2" s="134" t="str">
        <f>'RECAP #9487.00'!B2</f>
        <v>Project # 9487.00</v>
      </c>
      <c r="B2" s="196"/>
      <c r="C2" s="193"/>
      <c r="D2" s="193"/>
      <c r="E2" s="193"/>
      <c r="F2" s="194"/>
      <c r="G2" s="194"/>
      <c r="H2" s="195"/>
      <c r="I2" s="195"/>
    </row>
    <row r="3" spans="1:9" ht="15.75" x14ac:dyDescent="0.25">
      <c r="A3" s="197" t="str">
        <f>'RECAP #9487.00'!B3</f>
        <v>Program code 948700</v>
      </c>
      <c r="B3" s="196"/>
      <c r="C3" s="193"/>
      <c r="D3" s="198" t="str">
        <f>'RECAP #9487.00'!E3</f>
        <v>Major Program 4B03</v>
      </c>
      <c r="E3" s="193"/>
      <c r="F3" s="194"/>
      <c r="G3" s="194"/>
      <c r="H3" s="195"/>
      <c r="I3" s="195"/>
    </row>
    <row r="4" spans="1:9" ht="15.75" x14ac:dyDescent="0.25">
      <c r="A4" s="116" t="s">
        <v>197</v>
      </c>
      <c r="B4" s="134"/>
      <c r="C4" s="195"/>
      <c r="D4" s="199" t="s">
        <v>198</v>
      </c>
      <c r="E4" s="194"/>
      <c r="F4" s="194"/>
      <c r="G4" s="194"/>
      <c r="H4" s="195"/>
      <c r="I4" s="195"/>
    </row>
    <row r="5" spans="1:9" ht="15.75" x14ac:dyDescent="0.25">
      <c r="A5" s="200" t="s">
        <v>147</v>
      </c>
      <c r="B5" s="195"/>
      <c r="C5" s="201"/>
      <c r="D5" s="140" t="s">
        <v>199</v>
      </c>
      <c r="E5" s="145"/>
      <c r="F5" s="194"/>
      <c r="G5" s="194"/>
      <c r="H5" s="195"/>
      <c r="I5" s="195"/>
    </row>
    <row r="6" spans="1:9" ht="15.75" x14ac:dyDescent="0.25">
      <c r="A6" s="134" t="str">
        <f>'RECAP #9487.00'!B6</f>
        <v>Project Manager - Brad T.</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201</v>
      </c>
      <c r="B9" s="383">
        <v>45912</v>
      </c>
      <c r="C9" s="391" t="s">
        <v>146</v>
      </c>
      <c r="D9" s="385">
        <v>29130.18</v>
      </c>
      <c r="E9" s="386">
        <f>D9</f>
        <v>29130.18</v>
      </c>
      <c r="F9" s="387"/>
      <c r="G9" s="387"/>
      <c r="H9" s="387">
        <f>E9</f>
        <v>29130.18</v>
      </c>
      <c r="I9" s="388"/>
    </row>
    <row r="10" spans="1:9" s="389" customFormat="1" ht="12.75" customHeight="1" x14ac:dyDescent="0.25">
      <c r="A10" s="382" t="s">
        <v>342</v>
      </c>
      <c r="B10" s="390">
        <v>45994</v>
      </c>
      <c r="C10" s="391" t="s">
        <v>343</v>
      </c>
      <c r="D10" s="386"/>
      <c r="E10" s="386">
        <f t="shared" ref="E10:E21" si="0">E9+D10</f>
        <v>29130.18</v>
      </c>
      <c r="F10" s="392">
        <v>7266.66</v>
      </c>
      <c r="G10" s="387">
        <f t="shared" ref="G10:G21" si="1">G9+F10</f>
        <v>7266.66</v>
      </c>
      <c r="H10" s="387">
        <f t="shared" ref="H10:H21" si="2">H9-F10+D10</f>
        <v>21863.52</v>
      </c>
      <c r="I10" s="388"/>
    </row>
    <row r="11" spans="1:9" s="389" customFormat="1" ht="12.75" customHeight="1" x14ac:dyDescent="0.25">
      <c r="A11" s="382" t="s">
        <v>392</v>
      </c>
      <c r="B11" s="383">
        <v>46014</v>
      </c>
      <c r="C11" s="391" t="s">
        <v>393</v>
      </c>
      <c r="D11" s="386"/>
      <c r="E11" s="386">
        <f t="shared" si="0"/>
        <v>29130.18</v>
      </c>
      <c r="F11" s="392">
        <v>1220.22</v>
      </c>
      <c r="G11" s="387">
        <f t="shared" si="1"/>
        <v>8486.8799999999992</v>
      </c>
      <c r="H11" s="387">
        <f t="shared" si="2"/>
        <v>20643.3</v>
      </c>
      <c r="I11" s="388"/>
    </row>
    <row r="12" spans="1:9" s="389" customFormat="1" ht="12.75" customHeight="1" x14ac:dyDescent="0.25">
      <c r="A12" s="382" t="s">
        <v>453</v>
      </c>
      <c r="B12" s="383">
        <v>46048</v>
      </c>
      <c r="C12" s="391" t="s">
        <v>454</v>
      </c>
      <c r="D12" s="386"/>
      <c r="E12" s="386">
        <f t="shared" si="0"/>
        <v>29130.18</v>
      </c>
      <c r="F12" s="392">
        <v>2810.82</v>
      </c>
      <c r="G12" s="387">
        <f t="shared" si="1"/>
        <v>11297.699999999999</v>
      </c>
      <c r="H12" s="387">
        <f t="shared" si="2"/>
        <v>17832.48</v>
      </c>
      <c r="I12" s="388"/>
    </row>
    <row r="13" spans="1:9" s="389" customFormat="1" ht="12.75" customHeight="1" x14ac:dyDescent="0.25">
      <c r="A13" s="382" t="s">
        <v>506</v>
      </c>
      <c r="B13" s="383">
        <v>46066</v>
      </c>
      <c r="C13" s="391" t="s">
        <v>507</v>
      </c>
      <c r="D13" s="386"/>
      <c r="E13" s="386">
        <f t="shared" si="0"/>
        <v>29130.18</v>
      </c>
      <c r="F13" s="392">
        <v>4564.3500000000004</v>
      </c>
      <c r="G13" s="387">
        <f t="shared" si="1"/>
        <v>15862.05</v>
      </c>
      <c r="H13" s="387">
        <f t="shared" si="2"/>
        <v>13268.13</v>
      </c>
      <c r="I13" s="388"/>
    </row>
    <row r="14" spans="1:9" s="389" customFormat="1" ht="12.75" customHeight="1" x14ac:dyDescent="0.25">
      <c r="A14" s="382" t="s">
        <v>579</v>
      </c>
      <c r="B14" s="383">
        <v>46101</v>
      </c>
      <c r="C14" s="391" t="s">
        <v>580</v>
      </c>
      <c r="D14" s="386"/>
      <c r="E14" s="386">
        <f t="shared" si="0"/>
        <v>29130.18</v>
      </c>
      <c r="F14" s="392">
        <v>7005.12</v>
      </c>
      <c r="G14" s="387">
        <f t="shared" si="1"/>
        <v>22867.17</v>
      </c>
      <c r="H14" s="387">
        <f t="shared" si="2"/>
        <v>6263.0099999999993</v>
      </c>
      <c r="I14" s="388"/>
    </row>
    <row r="15" spans="1:9" s="389" customFormat="1" ht="12.75" customHeight="1" x14ac:dyDescent="0.25">
      <c r="A15" s="382" t="s">
        <v>675</v>
      </c>
      <c r="B15" s="383">
        <v>46129</v>
      </c>
      <c r="C15" s="391" t="s">
        <v>676</v>
      </c>
      <c r="D15" s="386"/>
      <c r="E15" s="386">
        <f t="shared" si="0"/>
        <v>29130.18</v>
      </c>
      <c r="F15" s="392">
        <v>2203.7199999999998</v>
      </c>
      <c r="G15" s="387">
        <f t="shared" si="1"/>
        <v>25070.89</v>
      </c>
      <c r="H15" s="387">
        <f t="shared" si="2"/>
        <v>4059.2899999999995</v>
      </c>
      <c r="I15" s="388"/>
    </row>
    <row r="16" spans="1:9" s="389" customFormat="1" ht="12.75" customHeight="1" x14ac:dyDescent="0.25">
      <c r="A16" s="382" t="s">
        <v>201</v>
      </c>
      <c r="B16" s="383">
        <v>46164</v>
      </c>
      <c r="C16" s="391" t="s">
        <v>212</v>
      </c>
      <c r="D16" s="385">
        <v>896</v>
      </c>
      <c r="E16" s="386">
        <f t="shared" si="0"/>
        <v>30026.18</v>
      </c>
      <c r="F16" s="392"/>
      <c r="G16" s="387">
        <f t="shared" si="1"/>
        <v>25070.89</v>
      </c>
      <c r="H16" s="387">
        <f t="shared" si="2"/>
        <v>4955.2899999999991</v>
      </c>
      <c r="I16" s="388"/>
    </row>
    <row r="17" spans="1:9" s="389" customFormat="1" ht="12.75" customHeight="1" x14ac:dyDescent="0.25">
      <c r="A17" s="382" t="s">
        <v>905</v>
      </c>
      <c r="B17" s="383">
        <v>46195</v>
      </c>
      <c r="C17" s="391" t="s">
        <v>906</v>
      </c>
      <c r="D17" s="385">
        <v>-3904.79</v>
      </c>
      <c r="E17" s="386">
        <f t="shared" si="0"/>
        <v>26121.39</v>
      </c>
      <c r="F17" s="392">
        <v>1050.5</v>
      </c>
      <c r="G17" s="387">
        <f t="shared" si="1"/>
        <v>26121.39</v>
      </c>
      <c r="H17" s="387">
        <f t="shared" si="2"/>
        <v>0</v>
      </c>
      <c r="I17" s="388"/>
    </row>
    <row r="18" spans="1:9" s="389" customFormat="1" ht="12.75" customHeight="1" x14ac:dyDescent="0.25">
      <c r="A18" s="382"/>
      <c r="B18" s="383"/>
      <c r="C18" s="391"/>
      <c r="D18" s="386"/>
      <c r="E18" s="386">
        <f t="shared" si="0"/>
        <v>26121.39</v>
      </c>
      <c r="F18" s="392"/>
      <c r="G18" s="387">
        <f t="shared" si="1"/>
        <v>26121.39</v>
      </c>
      <c r="H18" s="387">
        <f t="shared" si="2"/>
        <v>0</v>
      </c>
      <c r="I18" s="388"/>
    </row>
    <row r="19" spans="1:9" s="389" customFormat="1" ht="12.75" customHeight="1" x14ac:dyDescent="0.25">
      <c r="A19" s="382"/>
      <c r="B19" s="383"/>
      <c r="C19" s="391"/>
      <c r="D19" s="386"/>
      <c r="E19" s="386">
        <f t="shared" si="0"/>
        <v>26121.39</v>
      </c>
      <c r="F19" s="387"/>
      <c r="G19" s="387">
        <f t="shared" si="1"/>
        <v>26121.39</v>
      </c>
      <c r="H19" s="387">
        <f t="shared" si="2"/>
        <v>0</v>
      </c>
      <c r="I19" s="388"/>
    </row>
    <row r="20" spans="1:9" s="389" customFormat="1" ht="12.75" customHeight="1" x14ac:dyDescent="0.25">
      <c r="A20" s="382"/>
      <c r="B20" s="383"/>
      <c r="C20" s="391"/>
      <c r="D20" s="386"/>
      <c r="E20" s="386">
        <f t="shared" si="0"/>
        <v>26121.39</v>
      </c>
      <c r="F20" s="387"/>
      <c r="G20" s="387">
        <f t="shared" si="1"/>
        <v>26121.39</v>
      </c>
      <c r="H20" s="387">
        <f t="shared" si="2"/>
        <v>0</v>
      </c>
      <c r="I20" s="388"/>
    </row>
    <row r="21" spans="1:9" s="389" customFormat="1" ht="12.75" customHeight="1" x14ac:dyDescent="0.25">
      <c r="A21" s="382"/>
      <c r="B21" s="383"/>
      <c r="C21" s="393"/>
      <c r="D21" s="386"/>
      <c r="E21" s="386">
        <f t="shared" si="0"/>
        <v>26121.39</v>
      </c>
      <c r="F21" s="387"/>
      <c r="G21" s="387">
        <f t="shared" si="1"/>
        <v>26121.39</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26121.39</v>
      </c>
      <c r="E23" s="396"/>
      <c r="F23" s="396">
        <f>SUM(F9:F22)</f>
        <v>26121.39</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252</v>
      </c>
      <c r="D26" s="387">
        <f>28130.18-3755.42</f>
        <v>24374.760000000002</v>
      </c>
      <c r="E26" s="387"/>
      <c r="F26" s="387">
        <f>7060.66+1220.22+2810.82+4512.85+6566.49+2203.72</f>
        <v>24374.760000000002</v>
      </c>
      <c r="G26" s="387"/>
      <c r="H26" s="387">
        <f>D26-F26</f>
        <v>0</v>
      </c>
      <c r="I26" s="388"/>
    </row>
    <row r="27" spans="1:9" s="389" customFormat="1" ht="12.75" customHeight="1" x14ac:dyDescent="0.25">
      <c r="A27" s="382"/>
      <c r="B27" s="391"/>
      <c r="C27" s="372" t="s">
        <v>253</v>
      </c>
      <c r="D27" s="387">
        <f>1000-149.37</f>
        <v>850.63</v>
      </c>
      <c r="E27" s="398"/>
      <c r="F27" s="387">
        <f>206+51.5+438.63+154.5</f>
        <v>850.63</v>
      </c>
      <c r="G27" s="398"/>
      <c r="H27" s="387">
        <f>D27-F27</f>
        <v>0</v>
      </c>
      <c r="I27" s="388"/>
    </row>
    <row r="28" spans="1:9" s="389" customFormat="1" ht="12.75" customHeight="1" x14ac:dyDescent="0.25">
      <c r="A28" s="382"/>
      <c r="B28" s="391"/>
      <c r="C28" s="372" t="s">
        <v>212</v>
      </c>
      <c r="D28" s="387">
        <v>896</v>
      </c>
      <c r="E28" s="398"/>
      <c r="F28" s="387">
        <f>896</f>
        <v>896</v>
      </c>
      <c r="G28" s="398"/>
      <c r="H28" s="387">
        <f>D28-F28</f>
        <v>0</v>
      </c>
      <c r="I28" s="388"/>
    </row>
    <row r="29" spans="1:9" s="389" customFormat="1" ht="12.75" customHeight="1" thickBot="1" x14ac:dyDescent="0.3">
      <c r="A29" s="382"/>
      <c r="B29" s="391"/>
      <c r="C29" s="399" t="s">
        <v>157</v>
      </c>
      <c r="D29" s="400">
        <f>SUM(D26:D28)</f>
        <v>26121.390000000003</v>
      </c>
      <c r="E29" s="392"/>
      <c r="F29" s="400">
        <f>SUM(F26:F28)</f>
        <v>26121.390000000003</v>
      </c>
      <c r="G29" s="392"/>
      <c r="H29" s="400">
        <f>SUM(H26:H28)</f>
        <v>0</v>
      </c>
      <c r="I29" s="388"/>
    </row>
    <row r="30" spans="1:9" s="389" customFormat="1" ht="12.75" customHeight="1" thickTop="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sheetData>
  <conditionalFormatting sqref="I9:I22 I24:I25">
    <cfRule type="cellIs" dxfId="21"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F785-22AE-41B1-90ED-6F4F741A216E}">
  <sheetPr codeName="Sheet58">
    <pageSetUpPr fitToPage="1"/>
  </sheetPr>
  <dimension ref="A1:J47"/>
  <sheetViews>
    <sheetView topLeftCell="A8" zoomScaleNormal="100" workbookViewId="0">
      <selection activeCell="N33" sqref="N33"/>
    </sheetView>
  </sheetViews>
  <sheetFormatPr defaultColWidth="11.42578125" defaultRowHeight="15" customHeight="1" x14ac:dyDescent="0.25"/>
  <cols>
    <col min="1" max="1" width="24.5703125" customWidth="1"/>
    <col min="2" max="3" width="9.42578125" customWidth="1"/>
    <col min="4" max="4" width="41.85546875" customWidth="1"/>
    <col min="5" max="5" width="15.425781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#9487.00'!B1</f>
        <v>DVA IVH Loftus and Malloy Water Infiltration-Flooding (29C20)</v>
      </c>
      <c r="B1" s="86"/>
      <c r="C1" s="86"/>
      <c r="D1" s="6"/>
      <c r="E1" s="6"/>
      <c r="F1" s="6"/>
      <c r="G1" s="132"/>
      <c r="H1" s="132"/>
      <c r="I1" s="133"/>
      <c r="J1" s="133"/>
    </row>
    <row r="2" spans="1:10" ht="15.75" x14ac:dyDescent="0.25">
      <c r="A2" s="88" t="str">
        <f>'RECAP #9487.00'!B2</f>
        <v>Project # 9487.00</v>
      </c>
      <c r="B2" s="87"/>
      <c r="C2" s="87"/>
      <c r="D2" s="6"/>
      <c r="E2" s="6"/>
      <c r="F2" s="6"/>
      <c r="G2" s="132"/>
      <c r="H2" s="132"/>
      <c r="I2" s="133"/>
      <c r="J2" s="133"/>
    </row>
    <row r="3" spans="1:10" ht="15.75" x14ac:dyDescent="0.25">
      <c r="A3" s="89" t="str">
        <f>'RECAP #9487.00'!B3</f>
        <v>Program code 948700</v>
      </c>
      <c r="B3" s="87"/>
      <c r="C3" s="87"/>
      <c r="D3" s="6"/>
      <c r="E3" s="90" t="str">
        <f>'RECAP #9487.00'!E3</f>
        <v>Major Program 4B03</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#9487.00'!B6</f>
        <v>Project Manager - Brad T.</v>
      </c>
      <c r="B6" s="93"/>
      <c r="C6" s="93"/>
      <c r="D6" s="143"/>
      <c r="E6" s="140" t="s">
        <v>93</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ht="12.75" customHeight="1" x14ac:dyDescent="0.25">
      <c r="A9" s="165"/>
      <c r="B9" s="153"/>
      <c r="C9" s="153"/>
      <c r="D9" s="160" t="s">
        <v>95</v>
      </c>
      <c r="E9" s="166">
        <v>20000</v>
      </c>
      <c r="F9" s="155">
        <f>E9</f>
        <v>20000</v>
      </c>
      <c r="G9" s="156"/>
      <c r="H9" s="156"/>
      <c r="I9" s="156">
        <f>F9</f>
        <v>20000</v>
      </c>
      <c r="J9" s="157"/>
    </row>
    <row r="10" spans="1:10" ht="12.75" customHeight="1" x14ac:dyDescent="0.25">
      <c r="A10" s="171" t="s">
        <v>148</v>
      </c>
      <c r="B10" s="153">
        <v>45876</v>
      </c>
      <c r="C10" s="180">
        <v>2507</v>
      </c>
      <c r="D10" s="181" t="s">
        <v>149</v>
      </c>
      <c r="E10" s="155"/>
      <c r="F10" s="155">
        <f t="shared" ref="F10:F36" si="0">F9+E10</f>
        <v>20000</v>
      </c>
      <c r="G10" s="167">
        <f>13.8+19.9</f>
        <v>33.700000000000003</v>
      </c>
      <c r="H10" s="156">
        <f t="shared" ref="H10:H36" si="1">H9+G10</f>
        <v>33.700000000000003</v>
      </c>
      <c r="I10" s="156">
        <f t="shared" ref="I10:I36" si="2">I9-G10+E10</f>
        <v>19966.3</v>
      </c>
      <c r="J10" s="157"/>
    </row>
    <row r="11" spans="1:10" ht="12.75" customHeight="1" x14ac:dyDescent="0.25">
      <c r="A11" s="171" t="s">
        <v>148</v>
      </c>
      <c r="B11" s="153">
        <v>45876</v>
      </c>
      <c r="C11" s="180">
        <v>9500</v>
      </c>
      <c r="D11" s="126" t="s">
        <v>150</v>
      </c>
      <c r="E11" s="155"/>
      <c r="F11" s="155">
        <f t="shared" si="0"/>
        <v>20000</v>
      </c>
      <c r="G11" s="167">
        <f>24.5+344.3</f>
        <v>368.8</v>
      </c>
      <c r="H11" s="156">
        <f t="shared" si="1"/>
        <v>402.5</v>
      </c>
      <c r="I11" s="156">
        <f t="shared" si="2"/>
        <v>19597.5</v>
      </c>
      <c r="J11" s="157"/>
    </row>
    <row r="12" spans="1:10" ht="12.75" customHeight="1" x14ac:dyDescent="0.25">
      <c r="A12" s="171" t="s">
        <v>213</v>
      </c>
      <c r="B12" s="153">
        <v>45908</v>
      </c>
      <c r="C12" s="180">
        <v>2507</v>
      </c>
      <c r="D12" s="181" t="s">
        <v>216</v>
      </c>
      <c r="E12" s="155"/>
      <c r="F12" s="155">
        <f t="shared" si="0"/>
        <v>20000</v>
      </c>
      <c r="G12" s="167">
        <v>99.87</v>
      </c>
      <c r="H12" s="156">
        <f t="shared" si="1"/>
        <v>502.37</v>
      </c>
      <c r="I12" s="156">
        <f t="shared" si="2"/>
        <v>19497.63</v>
      </c>
      <c r="J12" s="157"/>
    </row>
    <row r="13" spans="1:10" ht="12.75" customHeight="1" x14ac:dyDescent="0.25">
      <c r="A13" s="171" t="s">
        <v>213</v>
      </c>
      <c r="B13" s="153">
        <v>45908</v>
      </c>
      <c r="C13" s="180">
        <v>9500</v>
      </c>
      <c r="D13" s="126" t="s">
        <v>217</v>
      </c>
      <c r="E13" s="155"/>
      <c r="F13" s="155">
        <f t="shared" si="0"/>
        <v>20000</v>
      </c>
      <c r="G13" s="167">
        <v>776.9</v>
      </c>
      <c r="H13" s="156">
        <f t="shared" si="1"/>
        <v>1279.27</v>
      </c>
      <c r="I13" s="156">
        <f t="shared" si="2"/>
        <v>18720.73</v>
      </c>
      <c r="J13" s="157"/>
    </row>
    <row r="14" spans="1:10" ht="12.75" customHeight="1" x14ac:dyDescent="0.25">
      <c r="A14" s="171" t="s">
        <v>273</v>
      </c>
      <c r="B14" s="153">
        <v>45937</v>
      </c>
      <c r="C14" s="180" t="s">
        <v>274</v>
      </c>
      <c r="D14" s="181" t="s">
        <v>275</v>
      </c>
      <c r="E14" s="155"/>
      <c r="F14" s="155">
        <f t="shared" si="0"/>
        <v>20000</v>
      </c>
      <c r="G14" s="167">
        <v>127.29</v>
      </c>
      <c r="H14" s="156">
        <f t="shared" si="1"/>
        <v>1406.56</v>
      </c>
      <c r="I14" s="156">
        <f t="shared" si="2"/>
        <v>18593.439999999999</v>
      </c>
      <c r="J14" s="157"/>
    </row>
    <row r="15" spans="1:10" ht="12.75" customHeight="1" x14ac:dyDescent="0.25">
      <c r="A15" s="171" t="s">
        <v>273</v>
      </c>
      <c r="B15" s="153">
        <v>45937</v>
      </c>
      <c r="C15" s="180">
        <v>9500</v>
      </c>
      <c r="D15" s="126" t="s">
        <v>276</v>
      </c>
      <c r="E15" s="155"/>
      <c r="F15" s="155">
        <f t="shared" si="0"/>
        <v>20000</v>
      </c>
      <c r="G15" s="167">
        <v>666.1</v>
      </c>
      <c r="H15" s="156">
        <f t="shared" si="1"/>
        <v>2072.66</v>
      </c>
      <c r="I15" s="156">
        <f t="shared" si="2"/>
        <v>17927.34</v>
      </c>
      <c r="J15" s="157"/>
    </row>
    <row r="16" spans="1:10" ht="12.75" customHeight="1" x14ac:dyDescent="0.25">
      <c r="A16" s="171" t="s">
        <v>320</v>
      </c>
      <c r="B16" s="153">
        <v>45968</v>
      </c>
      <c r="C16" s="180" t="s">
        <v>274</v>
      </c>
      <c r="D16" s="181" t="s">
        <v>323</v>
      </c>
      <c r="E16" s="155"/>
      <c r="F16" s="155">
        <f t="shared" si="0"/>
        <v>20000</v>
      </c>
      <c r="G16" s="167">
        <v>79.989999999999995</v>
      </c>
      <c r="H16" s="156">
        <f t="shared" si="1"/>
        <v>2152.6499999999996</v>
      </c>
      <c r="I16" s="156">
        <f t="shared" si="2"/>
        <v>17847.349999999999</v>
      </c>
      <c r="J16" s="157"/>
    </row>
    <row r="17" spans="1:10" ht="12.75" customHeight="1" x14ac:dyDescent="0.25">
      <c r="A17" s="171" t="s">
        <v>320</v>
      </c>
      <c r="B17" s="153">
        <v>45968</v>
      </c>
      <c r="C17" s="180">
        <v>9500</v>
      </c>
      <c r="D17" s="126" t="s">
        <v>324</v>
      </c>
      <c r="E17" s="155"/>
      <c r="F17" s="155">
        <f t="shared" si="0"/>
        <v>20000</v>
      </c>
      <c r="G17" s="167">
        <v>794.7</v>
      </c>
      <c r="H17" s="156">
        <f t="shared" si="1"/>
        <v>2947.3499999999995</v>
      </c>
      <c r="I17" s="156">
        <f t="shared" si="2"/>
        <v>17052.649999999998</v>
      </c>
      <c r="J17" s="157"/>
    </row>
    <row r="18" spans="1:10" ht="12.75" customHeight="1" x14ac:dyDescent="0.25">
      <c r="A18" s="171" t="s">
        <v>383</v>
      </c>
      <c r="B18" s="153">
        <v>45996</v>
      </c>
      <c r="C18" s="155" t="s">
        <v>274</v>
      </c>
      <c r="D18" s="181" t="s">
        <v>384</v>
      </c>
      <c r="E18" s="155"/>
      <c r="F18" s="155">
        <f t="shared" si="0"/>
        <v>20000</v>
      </c>
      <c r="G18" s="167">
        <v>59.49</v>
      </c>
      <c r="H18" s="156">
        <f t="shared" si="1"/>
        <v>3006.8399999999992</v>
      </c>
      <c r="I18" s="156">
        <f t="shared" si="2"/>
        <v>16993.159999999996</v>
      </c>
      <c r="J18" s="157"/>
    </row>
    <row r="19" spans="1:10" ht="12.75" customHeight="1" x14ac:dyDescent="0.25">
      <c r="A19" s="171" t="s">
        <v>383</v>
      </c>
      <c r="B19" s="153">
        <v>45996</v>
      </c>
      <c r="C19" s="401">
        <v>9500</v>
      </c>
      <c r="D19" s="126" t="s">
        <v>385</v>
      </c>
      <c r="E19" s="155"/>
      <c r="F19" s="155">
        <f t="shared" si="0"/>
        <v>20000</v>
      </c>
      <c r="G19" s="167">
        <v>377.3</v>
      </c>
      <c r="H19" s="156">
        <f t="shared" si="1"/>
        <v>3384.1399999999994</v>
      </c>
      <c r="I19" s="156">
        <f t="shared" si="2"/>
        <v>16615.859999999997</v>
      </c>
      <c r="J19" s="157"/>
    </row>
    <row r="20" spans="1:10" ht="12.75" customHeight="1" x14ac:dyDescent="0.25">
      <c r="A20" s="171" t="s">
        <v>418</v>
      </c>
      <c r="B20" s="153">
        <v>46030</v>
      </c>
      <c r="C20" s="155" t="s">
        <v>274</v>
      </c>
      <c r="D20" s="181" t="s">
        <v>419</v>
      </c>
      <c r="E20" s="155"/>
      <c r="F20" s="155">
        <f t="shared" si="0"/>
        <v>20000</v>
      </c>
      <c r="G20" s="167">
        <v>89.21</v>
      </c>
      <c r="H20" s="156">
        <f t="shared" si="1"/>
        <v>3473.3499999999995</v>
      </c>
      <c r="I20" s="156">
        <f t="shared" si="2"/>
        <v>16526.649999999998</v>
      </c>
      <c r="J20" s="157"/>
    </row>
    <row r="21" spans="1:10" ht="12.75" customHeight="1" x14ac:dyDescent="0.25">
      <c r="A21" s="171" t="s">
        <v>418</v>
      </c>
      <c r="B21" s="153">
        <v>46030</v>
      </c>
      <c r="C21" s="401">
        <v>9500</v>
      </c>
      <c r="D21" s="126" t="s">
        <v>420</v>
      </c>
      <c r="E21" s="155"/>
      <c r="F21" s="155">
        <f t="shared" si="0"/>
        <v>20000</v>
      </c>
      <c r="G21" s="167">
        <v>1008.2</v>
      </c>
      <c r="H21" s="156">
        <f t="shared" si="1"/>
        <v>4481.5499999999993</v>
      </c>
      <c r="I21" s="156">
        <f t="shared" si="2"/>
        <v>15518.449999999997</v>
      </c>
      <c r="J21" s="157"/>
    </row>
    <row r="22" spans="1:10" ht="12.75" customHeight="1" x14ac:dyDescent="0.25">
      <c r="A22" s="171" t="s">
        <v>492</v>
      </c>
      <c r="B22" s="153">
        <v>46062</v>
      </c>
      <c r="C22" s="155" t="s">
        <v>274</v>
      </c>
      <c r="D22" s="181" t="s">
        <v>493</v>
      </c>
      <c r="E22" s="155"/>
      <c r="F22" s="155">
        <f t="shared" si="0"/>
        <v>20000</v>
      </c>
      <c r="G22" s="167">
        <v>107.3</v>
      </c>
      <c r="H22" s="156">
        <f t="shared" si="1"/>
        <v>4588.8499999999995</v>
      </c>
      <c r="I22" s="156">
        <f t="shared" si="2"/>
        <v>15411.149999999998</v>
      </c>
      <c r="J22" s="157"/>
    </row>
    <row r="23" spans="1:10" ht="12.75" customHeight="1" x14ac:dyDescent="0.25">
      <c r="A23" s="171" t="s">
        <v>492</v>
      </c>
      <c r="B23" s="153">
        <v>46062</v>
      </c>
      <c r="C23" s="401">
        <v>9500</v>
      </c>
      <c r="D23" s="126" t="s">
        <v>494</v>
      </c>
      <c r="E23" s="155"/>
      <c r="F23" s="155">
        <f t="shared" si="0"/>
        <v>20000</v>
      </c>
      <c r="G23" s="167">
        <v>1336.3</v>
      </c>
      <c r="H23" s="156">
        <f t="shared" si="1"/>
        <v>5925.15</v>
      </c>
      <c r="I23" s="156">
        <f t="shared" si="2"/>
        <v>14074.849999999999</v>
      </c>
      <c r="J23" s="157"/>
    </row>
    <row r="24" spans="1:10" ht="12.75" customHeight="1" x14ac:dyDescent="0.25">
      <c r="A24" s="171" t="s">
        <v>550</v>
      </c>
      <c r="B24" s="153">
        <v>46090</v>
      </c>
      <c r="C24" s="155" t="s">
        <v>274</v>
      </c>
      <c r="D24" s="181" t="s">
        <v>551</v>
      </c>
      <c r="E24" s="155"/>
      <c r="F24" s="155">
        <f t="shared" si="0"/>
        <v>20000</v>
      </c>
      <c r="G24" s="167">
        <v>78.569999999999993</v>
      </c>
      <c r="H24" s="156">
        <f t="shared" si="1"/>
        <v>6003.7199999999993</v>
      </c>
      <c r="I24" s="156">
        <f t="shared" si="2"/>
        <v>13996.279999999999</v>
      </c>
      <c r="J24" s="157"/>
    </row>
    <row r="25" spans="1:10" ht="12.75" customHeight="1" x14ac:dyDescent="0.25">
      <c r="A25" s="171" t="s">
        <v>550</v>
      </c>
      <c r="B25" s="153">
        <v>46090</v>
      </c>
      <c r="C25" s="401">
        <v>9500</v>
      </c>
      <c r="D25" s="126" t="s">
        <v>552</v>
      </c>
      <c r="E25" s="155"/>
      <c r="F25" s="155">
        <f t="shared" si="0"/>
        <v>20000</v>
      </c>
      <c r="G25" s="167">
        <v>906.5</v>
      </c>
      <c r="H25" s="156">
        <f t="shared" si="1"/>
        <v>6910.2199999999993</v>
      </c>
      <c r="I25" s="156">
        <f t="shared" si="2"/>
        <v>13089.779999999999</v>
      </c>
      <c r="J25" s="157"/>
    </row>
    <row r="26" spans="1:10" ht="12.75" customHeight="1" x14ac:dyDescent="0.25">
      <c r="A26" s="171" t="s">
        <v>626</v>
      </c>
      <c r="B26" s="153">
        <v>46118</v>
      </c>
      <c r="C26" s="155" t="s">
        <v>274</v>
      </c>
      <c r="D26" s="181" t="s">
        <v>627</v>
      </c>
      <c r="E26" s="155"/>
      <c r="F26" s="155">
        <f t="shared" si="0"/>
        <v>20000</v>
      </c>
      <c r="G26" s="167">
        <v>108.49</v>
      </c>
      <c r="H26" s="156">
        <f t="shared" si="1"/>
        <v>7018.7099999999991</v>
      </c>
      <c r="I26" s="156">
        <f t="shared" si="2"/>
        <v>12981.289999999999</v>
      </c>
      <c r="J26" s="157"/>
    </row>
    <row r="27" spans="1:10" ht="12.75" customHeight="1" x14ac:dyDescent="0.25">
      <c r="A27" s="171" t="s">
        <v>626</v>
      </c>
      <c r="B27" s="153">
        <v>46118</v>
      </c>
      <c r="C27" s="401">
        <v>9500</v>
      </c>
      <c r="D27" s="126" t="s">
        <v>628</v>
      </c>
      <c r="E27" s="155"/>
      <c r="F27" s="155">
        <f t="shared" si="0"/>
        <v>20000</v>
      </c>
      <c r="G27" s="167">
        <v>881.2</v>
      </c>
      <c r="H27" s="156">
        <f t="shared" si="1"/>
        <v>7899.9099999999989</v>
      </c>
      <c r="I27" s="156">
        <f t="shared" si="2"/>
        <v>12100.089999999998</v>
      </c>
      <c r="J27" s="157"/>
    </row>
    <row r="28" spans="1:10" ht="12.75" customHeight="1" x14ac:dyDescent="0.25">
      <c r="A28" s="171" t="s">
        <v>752</v>
      </c>
      <c r="B28" s="153">
        <v>46149</v>
      </c>
      <c r="C28" s="155" t="s">
        <v>274</v>
      </c>
      <c r="D28" s="181" t="s">
        <v>753</v>
      </c>
      <c r="E28" s="155"/>
      <c r="F28" s="155">
        <f t="shared" si="0"/>
        <v>20000</v>
      </c>
      <c r="G28" s="167">
        <v>136.08000000000001</v>
      </c>
      <c r="H28" s="156">
        <f t="shared" si="1"/>
        <v>8035.9899999999989</v>
      </c>
      <c r="I28" s="156">
        <f t="shared" si="2"/>
        <v>11964.009999999998</v>
      </c>
      <c r="J28" s="157"/>
    </row>
    <row r="29" spans="1:10" x14ac:dyDescent="0.25">
      <c r="A29" s="171" t="s">
        <v>752</v>
      </c>
      <c r="B29" s="153">
        <v>46149</v>
      </c>
      <c r="C29" s="401">
        <v>9500</v>
      </c>
      <c r="D29" s="126" t="s">
        <v>754</v>
      </c>
      <c r="E29" s="155"/>
      <c r="F29" s="155">
        <f t="shared" si="0"/>
        <v>20000</v>
      </c>
      <c r="G29" s="167">
        <v>1420.5</v>
      </c>
      <c r="H29" s="156">
        <f t="shared" si="1"/>
        <v>9456.489999999998</v>
      </c>
      <c r="I29" s="156">
        <f t="shared" si="2"/>
        <v>10543.509999999998</v>
      </c>
      <c r="J29" s="157"/>
    </row>
    <row r="30" spans="1:10" ht="15" customHeight="1" x14ac:dyDescent="0.25">
      <c r="A30" s="171" t="s">
        <v>844</v>
      </c>
      <c r="B30" s="153">
        <v>46181</v>
      </c>
      <c r="C30" s="155" t="s">
        <v>274</v>
      </c>
      <c r="D30" s="181" t="s">
        <v>845</v>
      </c>
      <c r="E30" s="155"/>
      <c r="F30" s="155">
        <f t="shared" si="0"/>
        <v>20000</v>
      </c>
      <c r="G30" s="325">
        <v>125.74</v>
      </c>
      <c r="H30" s="156">
        <f t="shared" si="1"/>
        <v>9582.2299999999977</v>
      </c>
      <c r="I30" s="156">
        <f t="shared" si="2"/>
        <v>10417.769999999999</v>
      </c>
      <c r="J30" s="157"/>
    </row>
    <row r="31" spans="1:10" ht="15" customHeight="1" x14ac:dyDescent="0.25">
      <c r="A31" s="171" t="s">
        <v>844</v>
      </c>
      <c r="B31" s="153">
        <v>46181</v>
      </c>
      <c r="C31" s="401">
        <v>9500</v>
      </c>
      <c r="D31" s="126" t="s">
        <v>846</v>
      </c>
      <c r="E31" s="155"/>
      <c r="F31" s="155">
        <f t="shared" si="0"/>
        <v>20000</v>
      </c>
      <c r="G31" s="325">
        <v>1545.3</v>
      </c>
      <c r="H31" s="156">
        <f t="shared" si="1"/>
        <v>11127.529999999997</v>
      </c>
      <c r="I31" s="156">
        <f t="shared" si="2"/>
        <v>8872.4699999999993</v>
      </c>
      <c r="J31" s="157"/>
    </row>
    <row r="32" spans="1:10" ht="15" customHeight="1" x14ac:dyDescent="0.25">
      <c r="A32" s="171" t="s">
        <v>989</v>
      </c>
      <c r="B32" s="153">
        <v>46211</v>
      </c>
      <c r="C32" s="155" t="s">
        <v>274</v>
      </c>
      <c r="D32" s="181" t="s">
        <v>992</v>
      </c>
      <c r="E32" s="155"/>
      <c r="F32" s="155">
        <f t="shared" si="0"/>
        <v>20000</v>
      </c>
      <c r="G32" s="325">
        <v>67.37</v>
      </c>
      <c r="H32" s="156">
        <f t="shared" si="1"/>
        <v>11194.899999999998</v>
      </c>
      <c r="I32" s="156">
        <f t="shared" si="2"/>
        <v>8805.0999999999985</v>
      </c>
      <c r="J32" s="157"/>
    </row>
    <row r="33" spans="1:10" ht="15" customHeight="1" x14ac:dyDescent="0.25">
      <c r="A33" s="171" t="s">
        <v>989</v>
      </c>
      <c r="B33" s="153">
        <v>46211</v>
      </c>
      <c r="C33" s="401">
        <v>9500</v>
      </c>
      <c r="D33" s="126" t="s">
        <v>993</v>
      </c>
      <c r="E33" s="155"/>
      <c r="F33" s="155">
        <f t="shared" si="0"/>
        <v>20000</v>
      </c>
      <c r="G33" s="325">
        <v>777.3</v>
      </c>
      <c r="H33" s="156">
        <f t="shared" si="1"/>
        <v>11972.199999999997</v>
      </c>
      <c r="I33" s="156">
        <f t="shared" si="2"/>
        <v>8027.7999999999984</v>
      </c>
      <c r="J33" s="157"/>
    </row>
    <row r="34" spans="1:10" ht="15" customHeight="1" x14ac:dyDescent="0.25">
      <c r="A34" s="171" t="s">
        <v>1036</v>
      </c>
      <c r="B34" s="153">
        <v>46218</v>
      </c>
      <c r="C34" s="155" t="s">
        <v>274</v>
      </c>
      <c r="D34" s="181" t="s">
        <v>1037</v>
      </c>
      <c r="E34" s="155"/>
      <c r="F34" s="155">
        <f t="shared" si="0"/>
        <v>20000</v>
      </c>
      <c r="G34" s="325">
        <v>27.18</v>
      </c>
      <c r="H34" s="156">
        <f t="shared" si="1"/>
        <v>11999.379999999997</v>
      </c>
      <c r="I34" s="156">
        <f t="shared" si="2"/>
        <v>8000.6199999999981</v>
      </c>
      <c r="J34" s="157"/>
    </row>
    <row r="35" spans="1:10" ht="15" customHeight="1" x14ac:dyDescent="0.25">
      <c r="A35" s="171"/>
      <c r="B35" s="153"/>
      <c r="C35" s="401"/>
      <c r="D35" s="126"/>
      <c r="E35" s="155"/>
      <c r="F35" s="155">
        <f t="shared" si="0"/>
        <v>20000</v>
      </c>
      <c r="G35" s="325"/>
      <c r="H35" s="156">
        <f t="shared" si="1"/>
        <v>11999.379999999997</v>
      </c>
      <c r="I35" s="156">
        <f t="shared" si="2"/>
        <v>8000.6199999999981</v>
      </c>
      <c r="J35" s="157"/>
    </row>
    <row r="36" spans="1:10" ht="12.75" customHeight="1" x14ac:dyDescent="0.25">
      <c r="A36" s="171"/>
      <c r="B36" s="153"/>
      <c r="C36" s="401"/>
      <c r="D36" s="126"/>
      <c r="E36" s="155"/>
      <c r="F36" s="155">
        <f t="shared" si="0"/>
        <v>20000</v>
      </c>
      <c r="G36" s="158"/>
      <c r="H36" s="156">
        <f t="shared" si="1"/>
        <v>11999.379999999997</v>
      </c>
      <c r="I36" s="156">
        <f t="shared" si="2"/>
        <v>8000.6199999999981</v>
      </c>
      <c r="J36" s="157"/>
    </row>
    <row r="37" spans="1:10" ht="12.75" customHeight="1" x14ac:dyDescent="0.25">
      <c r="A37" s="126"/>
      <c r="B37" s="154"/>
      <c r="C37" s="180"/>
      <c r="D37" s="160"/>
      <c r="E37" s="156"/>
      <c r="F37" s="156"/>
      <c r="G37" s="156"/>
      <c r="H37" s="156"/>
      <c r="I37" s="156"/>
      <c r="J37" s="157"/>
    </row>
    <row r="38" spans="1:10" s="308" customFormat="1" ht="12.75" customHeight="1" thickBot="1" x14ac:dyDescent="0.3">
      <c r="A38" s="332"/>
      <c r="B38" s="329"/>
      <c r="C38" s="404"/>
      <c r="D38" s="330" t="s">
        <v>54</v>
      </c>
      <c r="E38" s="184">
        <f>SUM(E9:E37)</f>
        <v>20000</v>
      </c>
      <c r="F38" s="184"/>
      <c r="G38" s="184">
        <f>SUM(G9:G37)</f>
        <v>11999.379999999997</v>
      </c>
      <c r="H38" s="184"/>
      <c r="I38" s="184">
        <f>E38-G38</f>
        <v>8000.6200000000026</v>
      </c>
      <c r="J38" s="322"/>
    </row>
    <row r="39" spans="1:10" ht="12.75" customHeight="1" thickTop="1" x14ac:dyDescent="0.25"/>
    <row r="40" spans="1:10" ht="12.75" customHeight="1" x14ac:dyDescent="0.25"/>
    <row r="41" spans="1:10" ht="12.75" customHeight="1" x14ac:dyDescent="0.25"/>
    <row r="42" spans="1:10" ht="12.75" customHeight="1" x14ac:dyDescent="0.25"/>
    <row r="43" spans="1:10" ht="12.75" customHeight="1" x14ac:dyDescent="0.25"/>
    <row r="44" spans="1:10" ht="12.75" customHeight="1" x14ac:dyDescent="0.25"/>
    <row r="45" spans="1:10" ht="12.75" customHeight="1" x14ac:dyDescent="0.25"/>
    <row r="46" spans="1:10" ht="12.75" customHeight="1" x14ac:dyDescent="0.25"/>
    <row r="47" spans="1:10" ht="12.75" customHeight="1" x14ac:dyDescent="0.25"/>
  </sheetData>
  <pageMargins left="0.25" right="0.25" top="0.85" bottom="0.75" header="0.08" footer="0.3"/>
  <pageSetup scale="63"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DD2A-4ED2-4EEE-A7A8-61B239CD5498}">
  <sheetPr codeName="Sheet59">
    <pageSetUpPr fitToPage="1"/>
  </sheetPr>
  <dimension ref="A1:H27"/>
  <sheetViews>
    <sheetView zoomScaleNormal="100" workbookViewId="0">
      <selection activeCell="P26" sqref="P2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28.7109375" customWidth="1"/>
    <col min="6" max="6" width="14"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'RECAP #9487.00'!B1</f>
        <v>DVA IVH Loftus and Malloy Water Infiltration-Flooding (29C20)</v>
      </c>
      <c r="B1" s="86"/>
      <c r="C1" s="86"/>
      <c r="D1" s="86"/>
      <c r="E1" s="6"/>
      <c r="F1" s="6"/>
      <c r="G1" s="6"/>
      <c r="H1" s="132"/>
    </row>
    <row r="2" spans="1:8" ht="15.75" x14ac:dyDescent="0.25">
      <c r="A2" s="88" t="str">
        <f>'RECAP #9487.00'!B2</f>
        <v>Project # 9487.00</v>
      </c>
      <c r="B2" s="87"/>
      <c r="C2" s="87"/>
      <c r="D2" s="87"/>
      <c r="E2" s="6"/>
      <c r="F2" s="6"/>
      <c r="G2" s="6"/>
      <c r="H2" s="132"/>
    </row>
    <row r="3" spans="1:8" ht="15.75" x14ac:dyDescent="0.25">
      <c r="A3" s="89" t="str">
        <f>'RECAP #9487.00'!B3</f>
        <v>Program code 948700</v>
      </c>
      <c r="B3" s="87"/>
      <c r="C3" s="87"/>
      <c r="D3" s="87"/>
      <c r="E3" s="90" t="str">
        <f>'RECAP #9487.00'!E3</f>
        <v>Major Program 4B03</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#9487.00'!B6</f>
        <v>Project Manager - Brad T.</v>
      </c>
      <c r="B6" s="93"/>
      <c r="C6" s="93"/>
      <c r="D6" s="93"/>
      <c r="E6" s="90" t="s">
        <v>202</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s="308" customFormat="1" ht="12.75" customHeight="1" x14ac:dyDescent="0.2">
      <c r="A9" s="327" t="s">
        <v>545</v>
      </c>
      <c r="B9" s="318">
        <v>46090</v>
      </c>
      <c r="C9" s="317" t="s">
        <v>209</v>
      </c>
      <c r="D9" s="317" t="s">
        <v>546</v>
      </c>
      <c r="E9" s="364" t="s">
        <v>548</v>
      </c>
      <c r="F9" s="365" t="s">
        <v>547</v>
      </c>
      <c r="G9" s="167">
        <v>6702.99</v>
      </c>
      <c r="H9" s="366">
        <f>G9</f>
        <v>6702.99</v>
      </c>
    </row>
    <row r="10" spans="1:8" s="308" customFormat="1" ht="12.75" customHeight="1" x14ac:dyDescent="0.2">
      <c r="A10" s="364" t="s">
        <v>686</v>
      </c>
      <c r="B10" s="318">
        <v>46134</v>
      </c>
      <c r="C10" s="317" t="s">
        <v>209</v>
      </c>
      <c r="D10" s="317" t="s">
        <v>372</v>
      </c>
      <c r="E10" s="364" t="s">
        <v>548</v>
      </c>
      <c r="F10" s="365" t="s">
        <v>685</v>
      </c>
      <c r="G10" s="167">
        <v>4047.47</v>
      </c>
      <c r="H10" s="366">
        <f>H9+G10</f>
        <v>10750.46</v>
      </c>
    </row>
    <row r="11" spans="1:8" s="308" customFormat="1" ht="12.75" customHeight="1" x14ac:dyDescent="0.2">
      <c r="A11" s="364" t="s">
        <v>787</v>
      </c>
      <c r="B11" s="318">
        <v>46164</v>
      </c>
      <c r="C11" s="317" t="s">
        <v>209</v>
      </c>
      <c r="D11" s="317" t="s">
        <v>372</v>
      </c>
      <c r="E11" s="363" t="s">
        <v>785</v>
      </c>
      <c r="F11" s="407" t="s">
        <v>786</v>
      </c>
      <c r="G11" s="167">
        <v>2002</v>
      </c>
      <c r="H11" s="366">
        <f t="shared" ref="H11:H20" si="0">H10+G11</f>
        <v>12752.46</v>
      </c>
    </row>
    <row r="12" spans="1:8" s="308" customFormat="1" ht="12.75" customHeight="1" x14ac:dyDescent="0.2">
      <c r="A12" s="364" t="s">
        <v>818</v>
      </c>
      <c r="B12" s="318">
        <v>46175</v>
      </c>
      <c r="C12" s="364" t="s">
        <v>209</v>
      </c>
      <c r="D12" s="364" t="s">
        <v>372</v>
      </c>
      <c r="E12" s="171" t="s">
        <v>472</v>
      </c>
      <c r="F12" s="407" t="s">
        <v>817</v>
      </c>
      <c r="G12" s="167">
        <v>460.64</v>
      </c>
      <c r="H12" s="366">
        <f t="shared" si="0"/>
        <v>13213.099999999999</v>
      </c>
    </row>
    <row r="13" spans="1:8" s="308" customFormat="1" ht="12.75" customHeight="1" x14ac:dyDescent="0.25">
      <c r="A13" s="361" t="s">
        <v>3</v>
      </c>
      <c r="B13" s="318" t="s">
        <v>3</v>
      </c>
      <c r="C13" s="318"/>
      <c r="D13" s="318"/>
      <c r="E13" s="363" t="s">
        <v>3</v>
      </c>
      <c r="F13" s="367"/>
      <c r="G13" s="366"/>
      <c r="H13" s="366">
        <f t="shared" si="0"/>
        <v>13213.099999999999</v>
      </c>
    </row>
    <row r="14" spans="1:8" s="308" customFormat="1" ht="12.75" customHeight="1" x14ac:dyDescent="0.25">
      <c r="A14" s="361"/>
      <c r="B14" s="318"/>
      <c r="C14" s="318"/>
      <c r="D14" s="318"/>
      <c r="E14" s="363"/>
      <c r="F14" s="367"/>
      <c r="G14" s="366"/>
      <c r="H14" s="366">
        <f t="shared" si="0"/>
        <v>13213.099999999999</v>
      </c>
    </row>
    <row r="15" spans="1:8" s="308" customFormat="1" ht="12.75" customHeight="1" x14ac:dyDescent="0.25">
      <c r="A15" s="361"/>
      <c r="B15" s="318"/>
      <c r="C15" s="318"/>
      <c r="D15" s="318"/>
      <c r="E15" s="368"/>
      <c r="F15" s="367"/>
      <c r="G15" s="366"/>
      <c r="H15" s="366">
        <f t="shared" si="0"/>
        <v>13213.099999999999</v>
      </c>
    </row>
    <row r="16" spans="1:8" s="308" customFormat="1" ht="12.75" customHeight="1" x14ac:dyDescent="0.25">
      <c r="A16" s="361"/>
      <c r="B16" s="318"/>
      <c r="C16" s="318"/>
      <c r="D16" s="318"/>
      <c r="E16" s="363"/>
      <c r="F16" s="367"/>
      <c r="G16" s="366"/>
      <c r="H16" s="366">
        <f t="shared" si="0"/>
        <v>13213.099999999999</v>
      </c>
    </row>
    <row r="17" spans="1:8" s="308" customFormat="1" ht="12.75" customHeight="1" x14ac:dyDescent="0.25">
      <c r="A17" s="317"/>
      <c r="B17" s="318"/>
      <c r="C17" s="318"/>
      <c r="D17" s="318"/>
      <c r="E17" s="363"/>
      <c r="F17" s="367"/>
      <c r="G17" s="366"/>
      <c r="H17" s="366">
        <f t="shared" si="0"/>
        <v>13213.099999999999</v>
      </c>
    </row>
    <row r="18" spans="1:8" s="308" customFormat="1" ht="12.75" customHeight="1" x14ac:dyDescent="0.25">
      <c r="A18" s="317"/>
      <c r="B18" s="318"/>
      <c r="C18" s="318"/>
      <c r="D18" s="318"/>
      <c r="E18" s="363"/>
      <c r="F18" s="367"/>
      <c r="G18" s="366"/>
      <c r="H18" s="366">
        <f t="shared" si="0"/>
        <v>13213.099999999999</v>
      </c>
    </row>
    <row r="19" spans="1:8" s="308" customFormat="1" ht="12.75" customHeight="1" x14ac:dyDescent="0.25">
      <c r="A19" s="317"/>
      <c r="B19" s="318"/>
      <c r="C19" s="318"/>
      <c r="D19" s="318"/>
      <c r="E19" s="363"/>
      <c r="F19" s="367"/>
      <c r="G19" s="366"/>
      <c r="H19" s="366">
        <f t="shared" si="0"/>
        <v>13213.099999999999</v>
      </c>
    </row>
    <row r="20" spans="1:8" s="308" customFormat="1" ht="12.75" customHeight="1" x14ac:dyDescent="0.25">
      <c r="A20" s="317"/>
      <c r="B20" s="318"/>
      <c r="C20" s="318"/>
      <c r="D20" s="318"/>
      <c r="E20" s="363"/>
      <c r="F20" s="367"/>
      <c r="G20" s="366"/>
      <c r="H20" s="366">
        <f t="shared" si="0"/>
        <v>13213.099999999999</v>
      </c>
    </row>
    <row r="21" spans="1:8" s="308" customFormat="1" ht="12.75" customHeight="1" x14ac:dyDescent="0.25">
      <c r="A21" s="317"/>
      <c r="B21" s="328"/>
      <c r="C21" s="328"/>
      <c r="D21" s="328"/>
      <c r="E21" s="363"/>
      <c r="F21" s="366"/>
      <c r="G21" s="363"/>
      <c r="H21" s="366"/>
    </row>
    <row r="22" spans="1:8" s="308" customFormat="1" ht="12.75" customHeight="1" thickBot="1" x14ac:dyDescent="0.3">
      <c r="A22" s="369"/>
      <c r="B22" s="359"/>
      <c r="C22" s="359"/>
      <c r="D22" s="359"/>
      <c r="E22" s="370" t="s">
        <v>54</v>
      </c>
      <c r="F22" s="371"/>
      <c r="G22" s="184">
        <f>SUM(G9:G21)</f>
        <v>13213.099999999999</v>
      </c>
      <c r="H22" s="371"/>
    </row>
    <row r="23" spans="1:8" s="308" customFormat="1" ht="12.75" customHeight="1" thickTop="1" x14ac:dyDescent="0.25"/>
    <row r="24" spans="1:8" s="308" customFormat="1" ht="12.75" customHeight="1" x14ac:dyDescent="0.25"/>
    <row r="25" spans="1:8" s="308" customFormat="1" ht="12.75" customHeight="1" x14ac:dyDescent="0.25"/>
    <row r="26" spans="1:8" s="308" customFormat="1" ht="12.75" customHeight="1" x14ac:dyDescent="0.25"/>
    <row r="27" spans="1:8" s="308" customFormat="1" ht="12.75" customHeight="1" x14ac:dyDescent="0.25"/>
  </sheetData>
  <pageMargins left="0.25" right="0.25" top="0.85" bottom="0.75" header="0.08" footer="0.3"/>
  <pageSetup scale="81"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6E40E-2FBA-4245-98A3-D0E96B8D2307}">
  <sheetPr codeName="Sheet60">
    <tabColor rgb="FF0070C0"/>
    <pageSetUpPr fitToPage="1"/>
  </sheetPr>
  <dimension ref="A1:I31"/>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#9487.00'!B1</f>
        <v>DVA IVH Loftus and Malloy Water Infiltration-Flooding (29C20)</v>
      </c>
      <c r="B1" s="116"/>
      <c r="C1" s="193"/>
      <c r="D1" s="193"/>
      <c r="E1" s="193"/>
      <c r="F1" s="194"/>
      <c r="G1" s="194"/>
      <c r="H1" s="195"/>
      <c r="I1" s="195"/>
    </row>
    <row r="2" spans="1:9" ht="15.75" x14ac:dyDescent="0.25">
      <c r="A2" s="134" t="str">
        <f>'RECAP #9487.00'!B2</f>
        <v>Project # 9487.00</v>
      </c>
      <c r="B2" s="196"/>
      <c r="C2" s="193"/>
      <c r="D2" s="193"/>
      <c r="E2" s="193"/>
      <c r="F2" s="194"/>
      <c r="G2" s="194"/>
      <c r="H2" s="195"/>
      <c r="I2" s="195"/>
    </row>
    <row r="3" spans="1:9" ht="15.75" x14ac:dyDescent="0.25">
      <c r="A3" s="197" t="str">
        <f>'RECAP #9487.00'!B3</f>
        <v>Program code 948700</v>
      </c>
      <c r="B3" s="196"/>
      <c r="C3" s="193"/>
      <c r="D3" s="198" t="str">
        <f>'RECAP #9487.00'!E3</f>
        <v>Major Program 4B03</v>
      </c>
      <c r="E3" s="193"/>
      <c r="F3" s="194"/>
      <c r="G3" s="194"/>
      <c r="H3" s="195"/>
      <c r="I3" s="195"/>
    </row>
    <row r="4" spans="1:9" ht="15.75" x14ac:dyDescent="0.25">
      <c r="A4" s="116" t="s">
        <v>181</v>
      </c>
      <c r="B4" s="134"/>
      <c r="C4" s="195"/>
      <c r="D4" s="199" t="s">
        <v>183</v>
      </c>
      <c r="E4" s="194"/>
      <c r="F4" s="194"/>
      <c r="G4" s="194"/>
      <c r="H4" s="195"/>
      <c r="I4" s="195"/>
    </row>
    <row r="5" spans="1:9" ht="15.75" x14ac:dyDescent="0.25">
      <c r="A5" s="200" t="s">
        <v>182</v>
      </c>
      <c r="B5" s="195"/>
      <c r="C5" s="201"/>
      <c r="D5" s="140" t="s">
        <v>267</v>
      </c>
      <c r="E5" s="145"/>
      <c r="F5" s="194"/>
      <c r="G5" s="194"/>
      <c r="H5" s="195"/>
      <c r="I5" s="195"/>
    </row>
    <row r="6" spans="1:9" ht="15.75" x14ac:dyDescent="0.25">
      <c r="A6" s="134" t="str">
        <f>'RECAP #9487.00'!B6</f>
        <v>Project Manager - Brad T.</v>
      </c>
      <c r="B6" s="134"/>
      <c r="C6" s="202"/>
      <c r="D6" s="300" t="s">
        <v>184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268</v>
      </c>
      <c r="B9" s="383">
        <v>45933</v>
      </c>
      <c r="C9" s="391" t="s">
        <v>146</v>
      </c>
      <c r="D9" s="385">
        <v>13500</v>
      </c>
      <c r="E9" s="386">
        <f>D9</f>
        <v>13500</v>
      </c>
      <c r="F9" s="387"/>
      <c r="G9" s="387"/>
      <c r="H9" s="387">
        <f>E9</f>
        <v>13500</v>
      </c>
      <c r="I9" s="388"/>
    </row>
    <row r="10" spans="1:9" s="389" customFormat="1" ht="12.75" customHeight="1" x14ac:dyDescent="0.2">
      <c r="A10" s="382" t="s">
        <v>344</v>
      </c>
      <c r="B10" s="390">
        <v>45994</v>
      </c>
      <c r="C10" s="391" t="s">
        <v>345</v>
      </c>
      <c r="D10" s="386"/>
      <c r="E10" s="386">
        <f t="shared" ref="E10:E21" si="0">E9+D10</f>
        <v>13500</v>
      </c>
      <c r="F10" s="216">
        <v>7020</v>
      </c>
      <c r="G10" s="387">
        <f t="shared" ref="G10:G21" si="1">G9+F10</f>
        <v>7020</v>
      </c>
      <c r="H10" s="387">
        <f t="shared" ref="H10:H21" si="2">H9-F10+D10</f>
        <v>6480</v>
      </c>
      <c r="I10" s="388"/>
    </row>
    <row r="11" spans="1:9" s="389" customFormat="1" ht="12.75" customHeight="1" x14ac:dyDescent="0.2">
      <c r="A11" s="382" t="s">
        <v>368</v>
      </c>
      <c r="B11" s="383">
        <v>46006</v>
      </c>
      <c r="C11" s="391" t="s">
        <v>369</v>
      </c>
      <c r="D11" s="386"/>
      <c r="E11" s="386">
        <f t="shared" si="0"/>
        <v>13500</v>
      </c>
      <c r="F11" s="216">
        <v>5910</v>
      </c>
      <c r="G11" s="387">
        <f t="shared" si="1"/>
        <v>12930</v>
      </c>
      <c r="H11" s="387">
        <f t="shared" si="2"/>
        <v>570</v>
      </c>
      <c r="I11" s="388"/>
    </row>
    <row r="12" spans="1:9" s="389" customFormat="1" ht="12.75" customHeight="1" x14ac:dyDescent="0.25">
      <c r="A12" s="382" t="s">
        <v>744</v>
      </c>
      <c r="B12" s="383">
        <v>46154</v>
      </c>
      <c r="C12" s="391" t="s">
        <v>745</v>
      </c>
      <c r="D12" s="386"/>
      <c r="E12" s="386">
        <f t="shared" si="0"/>
        <v>13500</v>
      </c>
      <c r="F12" s="392">
        <v>570</v>
      </c>
      <c r="G12" s="387">
        <f t="shared" si="1"/>
        <v>13500</v>
      </c>
      <c r="H12" s="387">
        <f t="shared" si="2"/>
        <v>0</v>
      </c>
      <c r="I12" s="388"/>
    </row>
    <row r="13" spans="1:9" s="389" customFormat="1" ht="12.75" customHeight="1" x14ac:dyDescent="0.25">
      <c r="A13" s="382"/>
      <c r="B13" s="383"/>
      <c r="C13" s="391"/>
      <c r="D13" s="386"/>
      <c r="E13" s="386">
        <f t="shared" si="0"/>
        <v>13500</v>
      </c>
      <c r="F13" s="392"/>
      <c r="G13" s="387">
        <f t="shared" si="1"/>
        <v>13500</v>
      </c>
      <c r="H13" s="387">
        <f t="shared" si="2"/>
        <v>0</v>
      </c>
      <c r="I13" s="388"/>
    </row>
    <row r="14" spans="1:9" s="389" customFormat="1" ht="12.75" customHeight="1" x14ac:dyDescent="0.25">
      <c r="A14" s="382"/>
      <c r="B14" s="383"/>
      <c r="C14" s="391"/>
      <c r="D14" s="386"/>
      <c r="E14" s="386">
        <f t="shared" si="0"/>
        <v>13500</v>
      </c>
      <c r="F14" s="387"/>
      <c r="G14" s="387">
        <f t="shared" si="1"/>
        <v>13500</v>
      </c>
      <c r="H14" s="387">
        <f t="shared" si="2"/>
        <v>0</v>
      </c>
      <c r="I14" s="388"/>
    </row>
    <row r="15" spans="1:9" s="389" customFormat="1" ht="12.75" customHeight="1" x14ac:dyDescent="0.25">
      <c r="A15" s="382"/>
      <c r="B15" s="383"/>
      <c r="C15" s="391"/>
      <c r="D15" s="386"/>
      <c r="E15" s="386">
        <f t="shared" si="0"/>
        <v>13500</v>
      </c>
      <c r="F15" s="392"/>
      <c r="G15" s="387">
        <f t="shared" si="1"/>
        <v>13500</v>
      </c>
      <c r="H15" s="387">
        <f t="shared" si="2"/>
        <v>0</v>
      </c>
      <c r="I15" s="388"/>
    </row>
    <row r="16" spans="1:9" s="389" customFormat="1" ht="12.75" customHeight="1" x14ac:dyDescent="0.25">
      <c r="A16" s="382"/>
      <c r="B16" s="383"/>
      <c r="C16" s="391"/>
      <c r="D16" s="386"/>
      <c r="E16" s="386">
        <f t="shared" si="0"/>
        <v>13500</v>
      </c>
      <c r="F16" s="392"/>
      <c r="G16" s="387">
        <f t="shared" si="1"/>
        <v>13500</v>
      </c>
      <c r="H16" s="387">
        <f t="shared" si="2"/>
        <v>0</v>
      </c>
      <c r="I16" s="388"/>
    </row>
    <row r="17" spans="1:9" s="389" customFormat="1" ht="12.75" customHeight="1" x14ac:dyDescent="0.25">
      <c r="A17" s="382"/>
      <c r="B17" s="383"/>
      <c r="C17" s="391"/>
      <c r="D17" s="386"/>
      <c r="E17" s="386">
        <f t="shared" si="0"/>
        <v>13500</v>
      </c>
      <c r="F17" s="392"/>
      <c r="G17" s="387">
        <f t="shared" si="1"/>
        <v>13500</v>
      </c>
      <c r="H17" s="387">
        <f t="shared" si="2"/>
        <v>0</v>
      </c>
      <c r="I17" s="388"/>
    </row>
    <row r="18" spans="1:9" s="389" customFormat="1" ht="12.75" customHeight="1" x14ac:dyDescent="0.25">
      <c r="A18" s="382"/>
      <c r="B18" s="383"/>
      <c r="C18" s="391"/>
      <c r="D18" s="386"/>
      <c r="E18" s="386">
        <f t="shared" si="0"/>
        <v>13500</v>
      </c>
      <c r="F18" s="392"/>
      <c r="G18" s="387">
        <f t="shared" si="1"/>
        <v>13500</v>
      </c>
      <c r="H18" s="387">
        <f t="shared" si="2"/>
        <v>0</v>
      </c>
      <c r="I18" s="388"/>
    </row>
    <row r="19" spans="1:9" s="389" customFormat="1" ht="12.75" customHeight="1" x14ac:dyDescent="0.25">
      <c r="A19" s="382"/>
      <c r="B19" s="383"/>
      <c r="C19" s="391"/>
      <c r="D19" s="386"/>
      <c r="E19" s="386">
        <f t="shared" si="0"/>
        <v>13500</v>
      </c>
      <c r="F19" s="387"/>
      <c r="G19" s="387">
        <f t="shared" si="1"/>
        <v>13500</v>
      </c>
      <c r="H19" s="387">
        <f t="shared" si="2"/>
        <v>0</v>
      </c>
      <c r="I19" s="388"/>
    </row>
    <row r="20" spans="1:9" s="389" customFormat="1" ht="12.75" customHeight="1" x14ac:dyDescent="0.25">
      <c r="A20" s="382"/>
      <c r="B20" s="383"/>
      <c r="C20" s="391"/>
      <c r="D20" s="386"/>
      <c r="E20" s="386">
        <f t="shared" si="0"/>
        <v>13500</v>
      </c>
      <c r="F20" s="387"/>
      <c r="G20" s="387">
        <f t="shared" si="1"/>
        <v>13500</v>
      </c>
      <c r="H20" s="387">
        <f t="shared" si="2"/>
        <v>0</v>
      </c>
      <c r="I20" s="388"/>
    </row>
    <row r="21" spans="1:9" s="389" customFormat="1" ht="12.75" customHeight="1" x14ac:dyDescent="0.25">
      <c r="A21" s="382"/>
      <c r="B21" s="383"/>
      <c r="C21" s="393"/>
      <c r="D21" s="386"/>
      <c r="E21" s="386">
        <f t="shared" si="0"/>
        <v>13500</v>
      </c>
      <c r="F21" s="387"/>
      <c r="G21" s="387">
        <f t="shared" si="1"/>
        <v>13500</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13500</v>
      </c>
      <c r="E23" s="396"/>
      <c r="F23" s="396">
        <f>SUM(F9:F22)</f>
        <v>13500</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269</v>
      </c>
      <c r="D26" s="387">
        <v>7800</v>
      </c>
      <c r="E26" s="387"/>
      <c r="F26" s="387">
        <f>7020+780</f>
        <v>7800</v>
      </c>
      <c r="G26" s="387"/>
      <c r="H26" s="387">
        <f>D26-F26</f>
        <v>0</v>
      </c>
      <c r="I26" s="388"/>
    </row>
    <row r="27" spans="1:9" s="389" customFormat="1" ht="12.75" customHeight="1" x14ac:dyDescent="0.25">
      <c r="A27" s="382"/>
      <c r="B27" s="391"/>
      <c r="C27" s="372" t="s">
        <v>270</v>
      </c>
      <c r="D27" s="387">
        <v>5700</v>
      </c>
      <c r="E27" s="398"/>
      <c r="F27" s="398">
        <f>5130+570</f>
        <v>5700</v>
      </c>
      <c r="G27" s="398"/>
      <c r="H27" s="387">
        <f>D27-F27</f>
        <v>0</v>
      </c>
      <c r="I27" s="388"/>
    </row>
    <row r="28" spans="1:9" s="389" customFormat="1" ht="12.75" customHeight="1" thickBot="1" x14ac:dyDescent="0.3">
      <c r="A28" s="382"/>
      <c r="B28" s="391"/>
      <c r="C28" s="399" t="s">
        <v>157</v>
      </c>
      <c r="D28" s="400">
        <f>SUM(D26:D27)</f>
        <v>13500</v>
      </c>
      <c r="E28" s="392"/>
      <c r="F28" s="400">
        <f>SUM(F26:F27)</f>
        <v>13500</v>
      </c>
      <c r="G28" s="392"/>
      <c r="H28" s="400">
        <f>SUM(H26:H27)</f>
        <v>0</v>
      </c>
      <c r="I28" s="388"/>
    </row>
    <row r="29" spans="1:9" s="389" customFormat="1" ht="12.75" customHeight="1" thickTop="1" x14ac:dyDescent="0.25"/>
    <row r="30" spans="1:9" s="389" customFormat="1" ht="12.75" customHeight="1" x14ac:dyDescent="0.25"/>
    <row r="31" spans="1:9" s="389"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5E623-9399-409B-B7C5-27E60E63C05E}">
  <sheetPr codeName="Sheet61">
    <tabColor rgb="FF0070C0"/>
    <pageSetUpPr fitToPage="1"/>
  </sheetPr>
  <dimension ref="A1:I31"/>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 style="267" customWidth="1"/>
    <col min="9"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#9487.00'!B1</f>
        <v>DVA IVH Loftus and Malloy Water Infiltration-Flooding (29C20)</v>
      </c>
      <c r="B1" s="116"/>
      <c r="C1" s="193"/>
      <c r="D1" s="193"/>
      <c r="E1" s="193"/>
      <c r="F1" s="194"/>
      <c r="G1" s="194"/>
      <c r="H1" s="195"/>
      <c r="I1" s="195"/>
    </row>
    <row r="2" spans="1:9" ht="15.75" x14ac:dyDescent="0.25">
      <c r="A2" s="134" t="str">
        <f>'RECAP #9487.00'!B2</f>
        <v>Project # 9487.00</v>
      </c>
      <c r="B2" s="196"/>
      <c r="C2" s="193"/>
      <c r="D2" s="193"/>
      <c r="E2" s="193"/>
      <c r="F2" s="194"/>
      <c r="G2" s="194"/>
      <c r="H2" s="195"/>
      <c r="I2" s="195"/>
    </row>
    <row r="3" spans="1:9" ht="15.75" x14ac:dyDescent="0.25">
      <c r="A3" s="197" t="str">
        <f>'RECAP #9487.00'!B3</f>
        <v>Program code 948700</v>
      </c>
      <c r="B3" s="196"/>
      <c r="C3" s="193"/>
      <c r="D3" s="198" t="str">
        <f>'RECAP #9487.00'!E3</f>
        <v>Major Program 4B03</v>
      </c>
      <c r="E3" s="193"/>
      <c r="F3" s="194"/>
      <c r="G3" s="194"/>
      <c r="H3" s="195"/>
      <c r="I3" s="195"/>
    </row>
    <row r="4" spans="1:9" ht="15.75" x14ac:dyDescent="0.25">
      <c r="A4" s="116" t="s">
        <v>464</v>
      </c>
      <c r="B4" s="134"/>
      <c r="C4" s="195"/>
      <c r="D4" s="199" t="s">
        <v>183</v>
      </c>
      <c r="E4" s="194"/>
      <c r="F4" s="194"/>
      <c r="G4" s="194"/>
      <c r="H4" s="195"/>
      <c r="I4" s="195"/>
    </row>
    <row r="5" spans="1:9" ht="15.75" x14ac:dyDescent="0.25">
      <c r="A5" s="200" t="s">
        <v>182</v>
      </c>
      <c r="B5" s="195"/>
      <c r="C5" s="201"/>
      <c r="D5" s="140" t="s">
        <v>267</v>
      </c>
      <c r="E5" s="145"/>
      <c r="F5" s="194"/>
      <c r="G5" s="194"/>
      <c r="H5" s="195"/>
      <c r="I5" s="195"/>
    </row>
    <row r="6" spans="1:9" ht="15.75" x14ac:dyDescent="0.25">
      <c r="A6" s="134" t="str">
        <f>'RECAP #9487.00'!B6</f>
        <v>Project Manager - Brad T.</v>
      </c>
      <c r="B6" s="134"/>
      <c r="C6" s="202"/>
      <c r="D6" s="300" t="s">
        <v>184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465</v>
      </c>
      <c r="B9" s="383">
        <v>46052</v>
      </c>
      <c r="C9" s="391" t="s">
        <v>146</v>
      </c>
      <c r="D9" s="385">
        <v>4150</v>
      </c>
      <c r="E9" s="386">
        <f>D9</f>
        <v>4150</v>
      </c>
      <c r="F9" s="387"/>
      <c r="G9" s="387"/>
      <c r="H9" s="387">
        <f>E9</f>
        <v>4150</v>
      </c>
      <c r="I9" s="388"/>
    </row>
    <row r="10" spans="1:9" s="389" customFormat="1" ht="12.75" customHeight="1" x14ac:dyDescent="0.2">
      <c r="A10" s="382" t="s">
        <v>748</v>
      </c>
      <c r="B10" s="390">
        <v>46154</v>
      </c>
      <c r="C10" s="391" t="s">
        <v>749</v>
      </c>
      <c r="D10" s="386"/>
      <c r="E10" s="386">
        <f t="shared" ref="E10:E21" si="0">E9+D10</f>
        <v>4150</v>
      </c>
      <c r="F10" s="216">
        <v>4150</v>
      </c>
      <c r="G10" s="387">
        <f t="shared" ref="G10:G21" si="1">G9+F10</f>
        <v>4150</v>
      </c>
      <c r="H10" s="387">
        <f t="shared" ref="H10:H21" si="2">H9-F10+D10</f>
        <v>0</v>
      </c>
      <c r="I10" s="388"/>
    </row>
    <row r="11" spans="1:9" s="389" customFormat="1" ht="12.75" customHeight="1" x14ac:dyDescent="0.2">
      <c r="A11" s="382"/>
      <c r="B11" s="383"/>
      <c r="C11" s="391"/>
      <c r="D11" s="386"/>
      <c r="E11" s="386">
        <f t="shared" si="0"/>
        <v>4150</v>
      </c>
      <c r="F11" s="216"/>
      <c r="G11" s="387">
        <f t="shared" si="1"/>
        <v>4150</v>
      </c>
      <c r="H11" s="387">
        <f t="shared" si="2"/>
        <v>0</v>
      </c>
      <c r="I11" s="388"/>
    </row>
    <row r="12" spans="1:9" s="389" customFormat="1" ht="12.75" customHeight="1" x14ac:dyDescent="0.25">
      <c r="A12" s="382"/>
      <c r="B12" s="383"/>
      <c r="C12" s="391"/>
      <c r="D12" s="386"/>
      <c r="E12" s="386">
        <f t="shared" si="0"/>
        <v>4150</v>
      </c>
      <c r="F12" s="392"/>
      <c r="G12" s="387">
        <f t="shared" si="1"/>
        <v>4150</v>
      </c>
      <c r="H12" s="387">
        <f t="shared" si="2"/>
        <v>0</v>
      </c>
      <c r="I12" s="388"/>
    </row>
    <row r="13" spans="1:9" s="389" customFormat="1" ht="12.75" customHeight="1" x14ac:dyDescent="0.25">
      <c r="A13" s="382"/>
      <c r="B13" s="383"/>
      <c r="C13" s="391"/>
      <c r="D13" s="386"/>
      <c r="E13" s="386">
        <f t="shared" si="0"/>
        <v>4150</v>
      </c>
      <c r="F13" s="392"/>
      <c r="G13" s="387">
        <f t="shared" si="1"/>
        <v>4150</v>
      </c>
      <c r="H13" s="387">
        <f t="shared" si="2"/>
        <v>0</v>
      </c>
      <c r="I13" s="388"/>
    </row>
    <row r="14" spans="1:9" s="389" customFormat="1" ht="12.75" customHeight="1" x14ac:dyDescent="0.25">
      <c r="A14" s="382"/>
      <c r="B14" s="383"/>
      <c r="C14" s="391"/>
      <c r="D14" s="386"/>
      <c r="E14" s="386">
        <f t="shared" si="0"/>
        <v>4150</v>
      </c>
      <c r="F14" s="387"/>
      <c r="G14" s="387">
        <f t="shared" si="1"/>
        <v>4150</v>
      </c>
      <c r="H14" s="387">
        <f t="shared" si="2"/>
        <v>0</v>
      </c>
      <c r="I14" s="388"/>
    </row>
    <row r="15" spans="1:9" s="389" customFormat="1" ht="12.75" customHeight="1" x14ac:dyDescent="0.25">
      <c r="A15" s="382"/>
      <c r="B15" s="383"/>
      <c r="C15" s="391"/>
      <c r="D15" s="386"/>
      <c r="E15" s="386">
        <f t="shared" si="0"/>
        <v>4150</v>
      </c>
      <c r="F15" s="392"/>
      <c r="G15" s="387">
        <f t="shared" si="1"/>
        <v>4150</v>
      </c>
      <c r="H15" s="387">
        <f t="shared" si="2"/>
        <v>0</v>
      </c>
      <c r="I15" s="388"/>
    </row>
    <row r="16" spans="1:9" s="389" customFormat="1" ht="12.75" customHeight="1" x14ac:dyDescent="0.25">
      <c r="A16" s="382"/>
      <c r="B16" s="383"/>
      <c r="C16" s="391"/>
      <c r="D16" s="386"/>
      <c r="E16" s="386">
        <f t="shared" si="0"/>
        <v>4150</v>
      </c>
      <c r="F16" s="392"/>
      <c r="G16" s="387">
        <f t="shared" si="1"/>
        <v>4150</v>
      </c>
      <c r="H16" s="387">
        <f t="shared" si="2"/>
        <v>0</v>
      </c>
      <c r="I16" s="388"/>
    </row>
    <row r="17" spans="1:9" s="389" customFormat="1" ht="12.75" customHeight="1" x14ac:dyDescent="0.25">
      <c r="A17" s="382"/>
      <c r="B17" s="383"/>
      <c r="C17" s="391"/>
      <c r="D17" s="386"/>
      <c r="E17" s="386">
        <f t="shared" si="0"/>
        <v>4150</v>
      </c>
      <c r="F17" s="392"/>
      <c r="G17" s="387">
        <f t="shared" si="1"/>
        <v>4150</v>
      </c>
      <c r="H17" s="387">
        <f t="shared" si="2"/>
        <v>0</v>
      </c>
      <c r="I17" s="388"/>
    </row>
    <row r="18" spans="1:9" s="389" customFormat="1" ht="12.75" customHeight="1" x14ac:dyDescent="0.25">
      <c r="A18" s="382"/>
      <c r="B18" s="383"/>
      <c r="C18" s="391"/>
      <c r="D18" s="386"/>
      <c r="E18" s="386">
        <f t="shared" si="0"/>
        <v>4150</v>
      </c>
      <c r="F18" s="392"/>
      <c r="G18" s="387">
        <f t="shared" si="1"/>
        <v>4150</v>
      </c>
      <c r="H18" s="387">
        <f t="shared" si="2"/>
        <v>0</v>
      </c>
      <c r="I18" s="388"/>
    </row>
    <row r="19" spans="1:9" s="389" customFormat="1" ht="12.75" customHeight="1" x14ac:dyDescent="0.25">
      <c r="A19" s="382"/>
      <c r="B19" s="383"/>
      <c r="C19" s="391"/>
      <c r="D19" s="386"/>
      <c r="E19" s="386">
        <f t="shared" si="0"/>
        <v>4150</v>
      </c>
      <c r="F19" s="387"/>
      <c r="G19" s="387">
        <f t="shared" si="1"/>
        <v>4150</v>
      </c>
      <c r="H19" s="387">
        <f t="shared" si="2"/>
        <v>0</v>
      </c>
      <c r="I19" s="388"/>
    </row>
    <row r="20" spans="1:9" s="389" customFormat="1" ht="12.75" customHeight="1" x14ac:dyDescent="0.25">
      <c r="A20" s="382"/>
      <c r="B20" s="383"/>
      <c r="C20" s="391"/>
      <c r="D20" s="386"/>
      <c r="E20" s="386">
        <f t="shared" si="0"/>
        <v>4150</v>
      </c>
      <c r="F20" s="387"/>
      <c r="G20" s="387">
        <f t="shared" si="1"/>
        <v>4150</v>
      </c>
      <c r="H20" s="387">
        <f t="shared" si="2"/>
        <v>0</v>
      </c>
      <c r="I20" s="388"/>
    </row>
    <row r="21" spans="1:9" s="389" customFormat="1" ht="12.75" customHeight="1" x14ac:dyDescent="0.25">
      <c r="A21" s="382"/>
      <c r="B21" s="383"/>
      <c r="C21" s="393"/>
      <c r="D21" s="386"/>
      <c r="E21" s="386">
        <f t="shared" si="0"/>
        <v>4150</v>
      </c>
      <c r="F21" s="387"/>
      <c r="G21" s="387">
        <f t="shared" si="1"/>
        <v>4150</v>
      </c>
      <c r="H21" s="387">
        <f t="shared" si="2"/>
        <v>0</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4150</v>
      </c>
      <c r="E23" s="396"/>
      <c r="F23" s="396">
        <f>SUM(F9:F22)</f>
        <v>4150</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c r="D26" s="387"/>
      <c r="E26" s="387"/>
      <c r="F26" s="387"/>
      <c r="G26" s="387"/>
      <c r="H26" s="387"/>
      <c r="I26" s="388"/>
    </row>
    <row r="27" spans="1:9" s="389" customFormat="1" ht="12.75" customHeight="1" x14ac:dyDescent="0.25">
      <c r="A27" s="382"/>
      <c r="B27" s="391"/>
      <c r="C27" s="372"/>
      <c r="D27" s="387"/>
      <c r="E27" s="398"/>
      <c r="F27" s="398"/>
      <c r="G27" s="398"/>
      <c r="H27" s="387"/>
      <c r="I27" s="388"/>
    </row>
    <row r="28" spans="1:9" s="389" customFormat="1" ht="12.75" customHeight="1" x14ac:dyDescent="0.25">
      <c r="A28" s="382"/>
      <c r="B28" s="391"/>
      <c r="C28" s="399"/>
      <c r="D28" s="470"/>
      <c r="E28" s="392"/>
      <c r="F28" s="470"/>
      <c r="G28" s="392"/>
      <c r="H28" s="470"/>
      <c r="I28" s="388"/>
    </row>
    <row r="29" spans="1:9" s="389" customFormat="1" ht="12.75" customHeight="1" x14ac:dyDescent="0.25"/>
    <row r="30" spans="1:9" s="389" customFormat="1" ht="12.75" customHeight="1" x14ac:dyDescent="0.25"/>
    <row r="31" spans="1:9" s="389"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1EF44-E3AB-4853-B3AC-7873959E6E78}">
  <sheetPr codeName="Sheet62">
    <pageSetUpPr fitToPage="1"/>
  </sheetPr>
  <dimension ref="A1:I34"/>
  <sheetViews>
    <sheetView topLeftCell="A8" zoomScaleNormal="100" workbookViewId="0">
      <selection activeCell="A37" sqref="A37"/>
    </sheetView>
  </sheetViews>
  <sheetFormatPr defaultColWidth="11.42578125" defaultRowHeight="15" customHeight="1" x14ac:dyDescent="0.25"/>
  <cols>
    <col min="1" max="1" width="24.5703125" customWidth="1"/>
    <col min="2" max="2" width="9.42578125" customWidth="1"/>
    <col min="3" max="3" width="26.140625" customWidth="1"/>
    <col min="4" max="4" width="14.42578125" customWidth="1"/>
    <col min="5" max="5" width="13.5703125" customWidth="1"/>
    <col min="6" max="6" width="12.42578125" customWidth="1"/>
    <col min="7" max="7" width="10.5703125" customWidth="1"/>
    <col min="8" max="8" width="12"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#9487.00'!B1</f>
        <v>DVA IVH Loftus and Malloy Water Infiltration-Flooding (29C20)</v>
      </c>
      <c r="B1" s="86"/>
      <c r="C1" s="6"/>
      <c r="D1" s="6"/>
      <c r="E1" s="6"/>
      <c r="F1" s="132"/>
      <c r="G1" s="132"/>
      <c r="H1" s="133"/>
      <c r="I1" s="133"/>
    </row>
    <row r="2" spans="1:9" ht="15.75" x14ac:dyDescent="0.25">
      <c r="A2" s="88" t="str">
        <f>'RECAP #9487.00'!B2</f>
        <v>Project # 9487.00</v>
      </c>
      <c r="B2" s="87"/>
      <c r="C2" s="6"/>
      <c r="D2" s="6"/>
      <c r="E2" s="6"/>
      <c r="F2" s="132"/>
      <c r="G2" s="132"/>
      <c r="H2" s="133"/>
      <c r="I2" s="133"/>
    </row>
    <row r="3" spans="1:9" ht="15.75" x14ac:dyDescent="0.25">
      <c r="A3" s="89" t="str">
        <f>'RECAP #9487.00'!B3</f>
        <v>Program code 948700</v>
      </c>
      <c r="B3" s="87"/>
      <c r="C3" s="6"/>
      <c r="D3" s="90" t="str">
        <f>'RECAP #9487.00'!E3</f>
        <v>Major Program 4B03</v>
      </c>
      <c r="E3" s="6"/>
      <c r="F3" s="132"/>
      <c r="G3" s="132"/>
      <c r="H3" s="133"/>
      <c r="I3" s="133"/>
    </row>
    <row r="4" spans="1:9" ht="15.75" x14ac:dyDescent="0.25">
      <c r="A4" s="116" t="s">
        <v>607</v>
      </c>
      <c r="B4" s="134"/>
      <c r="C4" s="135"/>
      <c r="D4" s="136" t="s">
        <v>183</v>
      </c>
      <c r="E4" s="132"/>
      <c r="F4" s="132"/>
      <c r="G4" s="132"/>
      <c r="H4" s="133"/>
      <c r="I4" s="133"/>
    </row>
    <row r="5" spans="1:9" ht="15.75" x14ac:dyDescent="0.25">
      <c r="A5" s="137" t="s">
        <v>182</v>
      </c>
      <c r="B5" s="138"/>
      <c r="C5" s="139"/>
      <c r="D5" s="140" t="s">
        <v>267</v>
      </c>
      <c r="E5" s="141"/>
      <c r="F5" s="142"/>
      <c r="G5" s="142"/>
      <c r="H5" s="138"/>
      <c r="I5" s="133"/>
    </row>
    <row r="6" spans="1:9" ht="15.75" x14ac:dyDescent="0.25">
      <c r="A6" s="93" t="str">
        <f>'RECAP #9487.00'!B6</f>
        <v>Project Manager - Brad T.</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608</v>
      </c>
      <c r="B9" s="318">
        <v>46114</v>
      </c>
      <c r="C9" s="324" t="s">
        <v>146</v>
      </c>
      <c r="D9" s="319">
        <v>71600</v>
      </c>
      <c r="E9" s="320">
        <f>D9</f>
        <v>71600</v>
      </c>
      <c r="F9" s="321"/>
      <c r="G9" s="321"/>
      <c r="H9" s="321">
        <f>E9</f>
        <v>71600</v>
      </c>
      <c r="I9" s="322"/>
    </row>
    <row r="10" spans="1:9" s="308" customFormat="1" ht="12.75" customHeight="1" x14ac:dyDescent="0.2">
      <c r="A10" s="317" t="s">
        <v>746</v>
      </c>
      <c r="B10" s="323">
        <v>46153</v>
      </c>
      <c r="C10" s="324" t="s">
        <v>747</v>
      </c>
      <c r="D10" s="320"/>
      <c r="E10" s="320">
        <f t="shared" ref="E10:E21" si="0">E9+D10</f>
        <v>71600</v>
      </c>
      <c r="F10" s="167">
        <v>43100</v>
      </c>
      <c r="G10" s="321">
        <f t="shared" ref="G10:G21" si="1">G9+F10</f>
        <v>43100</v>
      </c>
      <c r="H10" s="321">
        <f t="shared" ref="H10:H21" si="2">H9-F10+D10</f>
        <v>28500</v>
      </c>
      <c r="I10" s="322"/>
    </row>
    <row r="11" spans="1:9" s="308" customFormat="1" ht="12.75" customHeight="1" x14ac:dyDescent="0.2">
      <c r="A11" s="317" t="s">
        <v>987</v>
      </c>
      <c r="B11" s="318">
        <v>46211</v>
      </c>
      <c r="C11" s="324" t="s">
        <v>988</v>
      </c>
      <c r="D11" s="320"/>
      <c r="E11" s="320">
        <f t="shared" si="0"/>
        <v>71600</v>
      </c>
      <c r="F11" s="167">
        <v>6270</v>
      </c>
      <c r="G11" s="321">
        <f t="shared" si="1"/>
        <v>49370</v>
      </c>
      <c r="H11" s="321">
        <f t="shared" si="2"/>
        <v>22230</v>
      </c>
      <c r="I11" s="322"/>
    </row>
    <row r="12" spans="1:9" s="308" customFormat="1" ht="12.75" customHeight="1" x14ac:dyDescent="0.25">
      <c r="A12" s="317"/>
      <c r="B12" s="318"/>
      <c r="C12" s="324"/>
      <c r="D12" s="320"/>
      <c r="E12" s="320">
        <f t="shared" si="0"/>
        <v>71600</v>
      </c>
      <c r="F12" s="326"/>
      <c r="G12" s="321">
        <f t="shared" si="1"/>
        <v>49370</v>
      </c>
      <c r="H12" s="321">
        <f t="shared" si="2"/>
        <v>22230</v>
      </c>
      <c r="I12" s="322"/>
    </row>
    <row r="13" spans="1:9" s="308" customFormat="1" ht="12.75" customHeight="1" x14ac:dyDescent="0.25">
      <c r="A13" s="317"/>
      <c r="B13" s="318"/>
      <c r="C13" s="324"/>
      <c r="D13" s="320"/>
      <c r="E13" s="320">
        <f t="shared" si="0"/>
        <v>71600</v>
      </c>
      <c r="F13" s="326"/>
      <c r="G13" s="321">
        <f t="shared" si="1"/>
        <v>49370</v>
      </c>
      <c r="H13" s="321">
        <f t="shared" si="2"/>
        <v>22230</v>
      </c>
      <c r="I13" s="322"/>
    </row>
    <row r="14" spans="1:9" s="308" customFormat="1" ht="12.75" customHeight="1" x14ac:dyDescent="0.25">
      <c r="A14" s="317"/>
      <c r="B14" s="318"/>
      <c r="C14" s="324"/>
      <c r="D14" s="320"/>
      <c r="E14" s="320">
        <f t="shared" si="0"/>
        <v>71600</v>
      </c>
      <c r="F14" s="321"/>
      <c r="G14" s="321">
        <f t="shared" si="1"/>
        <v>49370</v>
      </c>
      <c r="H14" s="321">
        <f t="shared" si="2"/>
        <v>22230</v>
      </c>
      <c r="I14" s="322"/>
    </row>
    <row r="15" spans="1:9" s="308" customFormat="1" ht="12.75" customHeight="1" x14ac:dyDescent="0.25">
      <c r="A15" s="317"/>
      <c r="B15" s="318"/>
      <c r="C15" s="324"/>
      <c r="D15" s="320"/>
      <c r="E15" s="320">
        <f t="shared" si="0"/>
        <v>71600</v>
      </c>
      <c r="F15" s="326"/>
      <c r="G15" s="321">
        <f t="shared" si="1"/>
        <v>49370</v>
      </c>
      <c r="H15" s="321">
        <f t="shared" si="2"/>
        <v>22230</v>
      </c>
      <c r="I15" s="322"/>
    </row>
    <row r="16" spans="1:9" s="308" customFormat="1" ht="12.75" customHeight="1" x14ac:dyDescent="0.25">
      <c r="A16" s="317"/>
      <c r="B16" s="318"/>
      <c r="C16" s="324"/>
      <c r="D16" s="320"/>
      <c r="E16" s="320">
        <f t="shared" si="0"/>
        <v>71600</v>
      </c>
      <c r="F16" s="326"/>
      <c r="G16" s="321">
        <f t="shared" si="1"/>
        <v>49370</v>
      </c>
      <c r="H16" s="321">
        <f t="shared" si="2"/>
        <v>22230</v>
      </c>
      <c r="I16" s="322"/>
    </row>
    <row r="17" spans="1:9" s="308" customFormat="1" ht="12.75" customHeight="1" x14ac:dyDescent="0.25">
      <c r="A17" s="317"/>
      <c r="B17" s="318"/>
      <c r="C17" s="324"/>
      <c r="D17" s="320"/>
      <c r="E17" s="320">
        <f t="shared" si="0"/>
        <v>71600</v>
      </c>
      <c r="F17" s="326"/>
      <c r="G17" s="321">
        <f t="shared" si="1"/>
        <v>49370</v>
      </c>
      <c r="H17" s="321">
        <f t="shared" si="2"/>
        <v>22230</v>
      </c>
      <c r="I17" s="322"/>
    </row>
    <row r="18" spans="1:9" s="308" customFormat="1" ht="12.75" customHeight="1" x14ac:dyDescent="0.25">
      <c r="A18" s="317"/>
      <c r="B18" s="318"/>
      <c r="C18" s="324"/>
      <c r="D18" s="320"/>
      <c r="E18" s="320">
        <f t="shared" si="0"/>
        <v>71600</v>
      </c>
      <c r="F18" s="326"/>
      <c r="G18" s="321">
        <f t="shared" si="1"/>
        <v>49370</v>
      </c>
      <c r="H18" s="321">
        <f t="shared" si="2"/>
        <v>22230</v>
      </c>
      <c r="I18" s="322"/>
    </row>
    <row r="19" spans="1:9" s="308" customFormat="1" ht="12.75" customHeight="1" x14ac:dyDescent="0.25">
      <c r="A19" s="317"/>
      <c r="B19" s="318"/>
      <c r="C19" s="324"/>
      <c r="D19" s="320"/>
      <c r="E19" s="320">
        <f t="shared" si="0"/>
        <v>71600</v>
      </c>
      <c r="F19" s="321"/>
      <c r="G19" s="321">
        <f t="shared" si="1"/>
        <v>49370</v>
      </c>
      <c r="H19" s="321">
        <f t="shared" si="2"/>
        <v>22230</v>
      </c>
      <c r="I19" s="322"/>
    </row>
    <row r="20" spans="1:9" s="308" customFormat="1" ht="12.75" customHeight="1" x14ac:dyDescent="0.25">
      <c r="A20" s="317"/>
      <c r="B20" s="318"/>
      <c r="C20" s="324"/>
      <c r="D20" s="320"/>
      <c r="E20" s="320">
        <f t="shared" si="0"/>
        <v>71600</v>
      </c>
      <c r="F20" s="321"/>
      <c r="G20" s="321">
        <f t="shared" si="1"/>
        <v>49370</v>
      </c>
      <c r="H20" s="321">
        <f t="shared" si="2"/>
        <v>22230</v>
      </c>
      <c r="I20" s="322"/>
    </row>
    <row r="21" spans="1:9" s="308" customFormat="1" ht="12.75" customHeight="1" x14ac:dyDescent="0.25">
      <c r="A21" s="317"/>
      <c r="B21" s="318"/>
      <c r="C21" s="327"/>
      <c r="D21" s="320"/>
      <c r="E21" s="320">
        <f t="shared" si="0"/>
        <v>71600</v>
      </c>
      <c r="F21" s="321"/>
      <c r="G21" s="321">
        <f t="shared" si="1"/>
        <v>49370</v>
      </c>
      <c r="H21" s="321">
        <f t="shared" si="2"/>
        <v>22230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71600</v>
      </c>
      <c r="E23" s="184"/>
      <c r="F23" s="184">
        <f>SUM(F9:F22)</f>
        <v>49370</v>
      </c>
      <c r="G23" s="184"/>
      <c r="H23" s="184">
        <f>D23-F23</f>
        <v>22230</v>
      </c>
      <c r="I23" s="322"/>
    </row>
    <row r="24" spans="1:9" s="308" customFormat="1" ht="12.75" customHeight="1" thickTop="1" x14ac:dyDescent="0.25">
      <c r="A24" s="317"/>
      <c r="B24" s="324"/>
      <c r="C24" s="328"/>
      <c r="D24" s="321"/>
      <c r="E24" s="321"/>
      <c r="F24" s="321"/>
      <c r="G24" s="321"/>
      <c r="H24" s="321"/>
      <c r="I24" s="322"/>
    </row>
    <row r="25" spans="1:9" s="308" customFormat="1" ht="13.5" customHeight="1" x14ac:dyDescent="0.25">
      <c r="A25" s="317"/>
      <c r="B25" s="324"/>
      <c r="C25" s="328"/>
      <c r="D25" s="321"/>
      <c r="E25" s="321"/>
      <c r="F25" s="321"/>
      <c r="G25" s="321"/>
      <c r="H25" s="321"/>
      <c r="I25" s="322"/>
    </row>
    <row r="26" spans="1:9" s="308" customFormat="1" ht="13.5" customHeight="1" x14ac:dyDescent="0.25">
      <c r="A26" s="317"/>
      <c r="B26" s="324"/>
      <c r="C26" s="328" t="s">
        <v>609</v>
      </c>
      <c r="D26" s="321">
        <v>16340</v>
      </c>
      <c r="E26" s="321"/>
      <c r="F26" s="321">
        <f>16340</f>
        <v>16340</v>
      </c>
      <c r="G26" s="321"/>
      <c r="H26" s="321">
        <f>D26-F26</f>
        <v>0</v>
      </c>
      <c r="I26" s="322"/>
    </row>
    <row r="27" spans="1:9" s="308" customFormat="1" ht="13.5" customHeight="1" x14ac:dyDescent="0.25">
      <c r="A27" s="317"/>
      <c r="B27" s="324"/>
      <c r="C27" s="328" t="s">
        <v>610</v>
      </c>
      <c r="D27" s="321">
        <v>21760</v>
      </c>
      <c r="E27" s="321"/>
      <c r="F27" s="321">
        <f>21760</f>
        <v>21760</v>
      </c>
      <c r="G27" s="321"/>
      <c r="H27" s="321">
        <f t="shared" ref="H27:H30" si="3">D27-F27</f>
        <v>0</v>
      </c>
      <c r="I27" s="322"/>
    </row>
    <row r="28" spans="1:9" s="308" customFormat="1" ht="13.5" customHeight="1" x14ac:dyDescent="0.25">
      <c r="A28" s="317"/>
      <c r="B28" s="324"/>
      <c r="C28" s="328" t="s">
        <v>611</v>
      </c>
      <c r="D28" s="321">
        <v>5000</v>
      </c>
      <c r="E28" s="321"/>
      <c r="F28" s="321">
        <f>5000</f>
        <v>5000</v>
      </c>
      <c r="G28" s="321"/>
      <c r="H28" s="321">
        <f t="shared" si="3"/>
        <v>0</v>
      </c>
      <c r="I28" s="322"/>
    </row>
    <row r="29" spans="1:9" s="308" customFormat="1" x14ac:dyDescent="0.25">
      <c r="A29" s="317"/>
      <c r="B29" s="324"/>
      <c r="C29" s="328" t="s">
        <v>612</v>
      </c>
      <c r="D29" s="321">
        <v>5100</v>
      </c>
      <c r="E29" s="321"/>
      <c r="F29" s="321">
        <f>5100</f>
        <v>5100</v>
      </c>
      <c r="G29" s="321"/>
      <c r="H29" s="321">
        <f t="shared" si="3"/>
        <v>0</v>
      </c>
      <c r="I29" s="322"/>
    </row>
    <row r="30" spans="1:9" s="308" customFormat="1" ht="12.75" customHeight="1" x14ac:dyDescent="0.25">
      <c r="A30" s="317"/>
      <c r="B30" s="324"/>
      <c r="C30" s="328" t="s">
        <v>613</v>
      </c>
      <c r="D30" s="321">
        <v>23400</v>
      </c>
      <c r="E30" s="185"/>
      <c r="F30" s="321">
        <f>1170</f>
        <v>1170</v>
      </c>
      <c r="G30" s="185"/>
      <c r="H30" s="321">
        <f t="shared" si="3"/>
        <v>22230</v>
      </c>
      <c r="I30" s="322"/>
    </row>
    <row r="31" spans="1:9" s="308" customFormat="1" ht="12.75" customHeight="1" thickBot="1" x14ac:dyDescent="0.3">
      <c r="A31" s="317"/>
      <c r="B31" s="324"/>
      <c r="C31" s="359" t="s">
        <v>157</v>
      </c>
      <c r="D31" s="360">
        <f>SUM(D26:D30)</f>
        <v>71600</v>
      </c>
      <c r="E31" s="326"/>
      <c r="F31" s="360">
        <f>SUM(F26:F30)</f>
        <v>49370</v>
      </c>
      <c r="G31" s="326"/>
      <c r="H31" s="360">
        <f>SUM(H26:H30)</f>
        <v>22230</v>
      </c>
      <c r="I31" s="322"/>
    </row>
    <row r="32" spans="1:9" s="308" customFormat="1" ht="12.75" customHeight="1" thickTop="1" x14ac:dyDescent="0.25"/>
    <row r="33" s="308" customFormat="1" ht="12.75" customHeight="1" x14ac:dyDescent="0.25"/>
    <row r="34" s="308"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B275-0BD9-4E92-9E0D-5F0EEC72D93B}">
  <sheetPr>
    <pageSetUpPr fitToPage="1"/>
  </sheetPr>
  <dimension ref="A1:I34"/>
  <sheetViews>
    <sheetView zoomScaleNormal="100" workbookViewId="0">
      <selection activeCell="A25" sqref="A25"/>
    </sheetView>
  </sheetViews>
  <sheetFormatPr defaultColWidth="11.42578125" defaultRowHeight="15" customHeight="1" x14ac:dyDescent="0.25"/>
  <cols>
    <col min="1" max="1" width="24.5703125" customWidth="1"/>
    <col min="2" max="2" width="9.42578125" customWidth="1"/>
    <col min="3" max="3" width="15.7109375" bestFit="1" customWidth="1"/>
    <col min="4" max="4" width="14.42578125" customWidth="1"/>
    <col min="5" max="5" width="13.5703125" customWidth="1"/>
    <col min="6" max="6" width="12.42578125" customWidth="1"/>
    <col min="7" max="7" width="10.5703125" customWidth="1"/>
    <col min="8" max="8" width="12"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#9487.00'!B1</f>
        <v>DVA IVH Loftus and Malloy Water Infiltration-Flooding (29C20)</v>
      </c>
      <c r="B1" s="86"/>
      <c r="C1" s="6"/>
      <c r="D1" s="6"/>
      <c r="E1" s="6"/>
      <c r="F1" s="132"/>
      <c r="G1" s="132"/>
      <c r="H1" s="133"/>
      <c r="I1" s="133"/>
    </row>
    <row r="2" spans="1:9" ht="15.75" x14ac:dyDescent="0.25">
      <c r="A2" s="88" t="str">
        <f>'RECAP #9487.00'!B2</f>
        <v>Project # 9487.00</v>
      </c>
      <c r="B2" s="87"/>
      <c r="C2" s="6"/>
      <c r="D2" s="6"/>
      <c r="E2" s="6"/>
      <c r="F2" s="132"/>
      <c r="G2" s="132"/>
      <c r="H2" s="133"/>
      <c r="I2" s="133"/>
    </row>
    <row r="3" spans="1:9" ht="15.75" x14ac:dyDescent="0.25">
      <c r="A3" s="89" t="str">
        <f>'RECAP #9487.00'!B3</f>
        <v>Program code 948700</v>
      </c>
      <c r="B3" s="87"/>
      <c r="C3" s="6"/>
      <c r="D3" s="90" t="str">
        <f>'RECAP #9487.00'!E3</f>
        <v>Major Program 4B03</v>
      </c>
      <c r="E3" s="6"/>
      <c r="F3" s="132"/>
      <c r="G3" s="132"/>
      <c r="H3" s="133"/>
      <c r="I3" s="133"/>
    </row>
    <row r="4" spans="1:9" ht="15.75" x14ac:dyDescent="0.25">
      <c r="A4" s="116" t="s">
        <v>338</v>
      </c>
      <c r="B4" s="134"/>
      <c r="C4" s="135"/>
      <c r="D4" s="136" t="s">
        <v>198</v>
      </c>
      <c r="E4" s="132"/>
      <c r="F4" s="132"/>
      <c r="G4" s="132"/>
      <c r="H4" s="133"/>
      <c r="I4" s="133"/>
    </row>
    <row r="5" spans="1:9" ht="15.75" x14ac:dyDescent="0.25">
      <c r="A5" s="137" t="s">
        <v>147</v>
      </c>
      <c r="B5" s="138"/>
      <c r="C5" s="139"/>
      <c r="D5" s="140" t="s">
        <v>199</v>
      </c>
      <c r="E5" s="141"/>
      <c r="F5" s="142"/>
      <c r="G5" s="142"/>
      <c r="H5" s="138"/>
      <c r="I5" s="133"/>
    </row>
    <row r="6" spans="1:9" ht="15.75" x14ac:dyDescent="0.25">
      <c r="A6" s="93" t="str">
        <f>'RECAP #9487.00'!B6</f>
        <v>Project Manager - Brad T.</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803</v>
      </c>
      <c r="B9" s="318">
        <v>46170</v>
      </c>
      <c r="C9" s="324" t="s">
        <v>146</v>
      </c>
      <c r="D9" s="319">
        <v>210626.27</v>
      </c>
      <c r="E9" s="320">
        <f>D9</f>
        <v>210626.27</v>
      </c>
      <c r="F9" s="321"/>
      <c r="G9" s="321"/>
      <c r="H9" s="321">
        <f>E9</f>
        <v>210626.27</v>
      </c>
      <c r="I9" s="322"/>
    </row>
    <row r="10" spans="1:9" s="308" customFormat="1" ht="12.75" customHeight="1" x14ac:dyDescent="0.2">
      <c r="A10" s="317" t="s">
        <v>1023</v>
      </c>
      <c r="B10" s="323">
        <v>46217</v>
      </c>
      <c r="C10" s="324" t="s">
        <v>1024</v>
      </c>
      <c r="D10" s="320"/>
      <c r="E10" s="320">
        <f t="shared" ref="E10:E21" si="0">E9+D10</f>
        <v>210626.27</v>
      </c>
      <c r="F10" s="167">
        <v>27063.32</v>
      </c>
      <c r="G10" s="321">
        <f t="shared" ref="G10:G21" si="1">G9+F10</f>
        <v>27063.32</v>
      </c>
      <c r="H10" s="321">
        <f t="shared" ref="H10:H21" si="2">H9-F10+D10</f>
        <v>183562.94999999998</v>
      </c>
      <c r="I10" s="322"/>
    </row>
    <row r="11" spans="1:9" s="308" customFormat="1" ht="12.75" customHeight="1" x14ac:dyDescent="0.25">
      <c r="A11" s="317"/>
      <c r="B11" s="318"/>
      <c r="C11" s="324"/>
      <c r="D11" s="320"/>
      <c r="E11" s="320">
        <f t="shared" si="0"/>
        <v>210626.27</v>
      </c>
      <c r="F11" s="325"/>
      <c r="G11" s="321">
        <f t="shared" si="1"/>
        <v>27063.32</v>
      </c>
      <c r="H11" s="321">
        <f t="shared" si="2"/>
        <v>183562.94999999998</v>
      </c>
      <c r="I11" s="322"/>
    </row>
    <row r="12" spans="1:9" s="308" customFormat="1" ht="12.75" customHeight="1" x14ac:dyDescent="0.25">
      <c r="A12" s="382"/>
      <c r="B12" s="318"/>
      <c r="C12" s="324"/>
      <c r="D12" s="320"/>
      <c r="E12" s="320">
        <f t="shared" si="0"/>
        <v>210626.27</v>
      </c>
      <c r="F12" s="325"/>
      <c r="G12" s="321">
        <f t="shared" si="1"/>
        <v>27063.32</v>
      </c>
      <c r="H12" s="321">
        <f t="shared" si="2"/>
        <v>183562.94999999998</v>
      </c>
      <c r="I12" s="322"/>
    </row>
    <row r="13" spans="1:9" s="308" customFormat="1" ht="12.75" customHeight="1" x14ac:dyDescent="0.25">
      <c r="A13" s="382"/>
      <c r="B13" s="318"/>
      <c r="C13" s="324"/>
      <c r="D13" s="320"/>
      <c r="E13" s="320">
        <f t="shared" si="0"/>
        <v>210626.27</v>
      </c>
      <c r="F13" s="325"/>
      <c r="G13" s="321">
        <f t="shared" si="1"/>
        <v>27063.32</v>
      </c>
      <c r="H13" s="321">
        <f t="shared" si="2"/>
        <v>183562.94999999998</v>
      </c>
      <c r="I13" s="322"/>
    </row>
    <row r="14" spans="1:9" s="308" customFormat="1" ht="12.75" customHeight="1" x14ac:dyDescent="0.25">
      <c r="A14" s="317"/>
      <c r="B14" s="318"/>
      <c r="C14" s="324"/>
      <c r="D14" s="320"/>
      <c r="E14" s="320">
        <f t="shared" si="0"/>
        <v>210626.27</v>
      </c>
      <c r="F14" s="325"/>
      <c r="G14" s="321">
        <f t="shared" si="1"/>
        <v>27063.32</v>
      </c>
      <c r="H14" s="321">
        <f t="shared" si="2"/>
        <v>183562.94999999998</v>
      </c>
      <c r="I14" s="322"/>
    </row>
    <row r="15" spans="1:9" s="308" customFormat="1" ht="12.75" customHeight="1" x14ac:dyDescent="0.25">
      <c r="A15" s="317"/>
      <c r="B15" s="318"/>
      <c r="C15" s="324"/>
      <c r="D15" s="320"/>
      <c r="E15" s="320">
        <f t="shared" si="0"/>
        <v>210626.27</v>
      </c>
      <c r="F15" s="325"/>
      <c r="G15" s="321">
        <f t="shared" si="1"/>
        <v>27063.32</v>
      </c>
      <c r="H15" s="321">
        <f t="shared" si="2"/>
        <v>183562.94999999998</v>
      </c>
      <c r="I15" s="322"/>
    </row>
    <row r="16" spans="1:9" s="308" customFormat="1" ht="12.75" customHeight="1" x14ac:dyDescent="0.25">
      <c r="A16" s="317"/>
      <c r="B16" s="318"/>
      <c r="C16" s="324"/>
      <c r="D16" s="319"/>
      <c r="E16" s="320">
        <f t="shared" si="0"/>
        <v>210626.27</v>
      </c>
      <c r="F16" s="326"/>
      <c r="G16" s="321">
        <f t="shared" si="1"/>
        <v>27063.32</v>
      </c>
      <c r="H16" s="321">
        <f t="shared" si="2"/>
        <v>183562.94999999998</v>
      </c>
      <c r="I16" s="322"/>
    </row>
    <row r="17" spans="1:9" s="308" customFormat="1" ht="12.75" customHeight="1" x14ac:dyDescent="0.25">
      <c r="A17" s="317"/>
      <c r="B17" s="318"/>
      <c r="C17" s="324"/>
      <c r="D17" s="320"/>
      <c r="E17" s="320">
        <f t="shared" si="0"/>
        <v>210626.27</v>
      </c>
      <c r="F17" s="326"/>
      <c r="G17" s="321">
        <f t="shared" si="1"/>
        <v>27063.32</v>
      </c>
      <c r="H17" s="321">
        <f t="shared" si="2"/>
        <v>183562.94999999998</v>
      </c>
      <c r="I17" s="322"/>
    </row>
    <row r="18" spans="1:9" s="308" customFormat="1" ht="12.75" customHeight="1" x14ac:dyDescent="0.25">
      <c r="A18" s="317"/>
      <c r="B18" s="318"/>
      <c r="C18" s="324"/>
      <c r="D18" s="320"/>
      <c r="E18" s="320">
        <f t="shared" si="0"/>
        <v>210626.27</v>
      </c>
      <c r="F18" s="326"/>
      <c r="G18" s="321">
        <f t="shared" si="1"/>
        <v>27063.32</v>
      </c>
      <c r="H18" s="321">
        <f t="shared" si="2"/>
        <v>183562.94999999998</v>
      </c>
      <c r="I18" s="322"/>
    </row>
    <row r="19" spans="1:9" s="308" customFormat="1" ht="12.75" customHeight="1" x14ac:dyDescent="0.25">
      <c r="A19" s="317"/>
      <c r="B19" s="318"/>
      <c r="C19" s="324"/>
      <c r="D19" s="320"/>
      <c r="E19" s="320">
        <f t="shared" si="0"/>
        <v>210626.27</v>
      </c>
      <c r="F19" s="321"/>
      <c r="G19" s="321">
        <f t="shared" si="1"/>
        <v>27063.32</v>
      </c>
      <c r="H19" s="321">
        <f t="shared" si="2"/>
        <v>183562.94999999998</v>
      </c>
      <c r="I19" s="322"/>
    </row>
    <row r="20" spans="1:9" s="308" customFormat="1" ht="12.75" customHeight="1" x14ac:dyDescent="0.25">
      <c r="A20" s="317"/>
      <c r="B20" s="318"/>
      <c r="C20" s="324"/>
      <c r="D20" s="320"/>
      <c r="E20" s="320">
        <f t="shared" si="0"/>
        <v>210626.27</v>
      </c>
      <c r="F20" s="321"/>
      <c r="G20" s="321">
        <f t="shared" si="1"/>
        <v>27063.32</v>
      </c>
      <c r="H20" s="321">
        <f t="shared" si="2"/>
        <v>183562.94999999998</v>
      </c>
      <c r="I20" s="322"/>
    </row>
    <row r="21" spans="1:9" s="308" customFormat="1" ht="12.75" customHeight="1" x14ac:dyDescent="0.25">
      <c r="A21" s="317"/>
      <c r="B21" s="318"/>
      <c r="C21" s="327"/>
      <c r="D21" s="320"/>
      <c r="E21" s="320">
        <f t="shared" si="0"/>
        <v>210626.27</v>
      </c>
      <c r="F21" s="321"/>
      <c r="G21" s="321">
        <f t="shared" si="1"/>
        <v>27063.32</v>
      </c>
      <c r="H21" s="321">
        <f t="shared" si="2"/>
        <v>183562.94999999998</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210626.27</v>
      </c>
      <c r="E23" s="184"/>
      <c r="F23" s="184">
        <f>SUM(F9:F22)</f>
        <v>27063.32</v>
      </c>
      <c r="G23" s="184"/>
      <c r="H23" s="184">
        <f>D23-F23</f>
        <v>183562.94999999998</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137842.26999999999</v>
      </c>
      <c r="E26" s="321"/>
      <c r="F26" s="321">
        <f>21408.82</f>
        <v>21408.82</v>
      </c>
      <c r="G26" s="321"/>
      <c r="H26" s="321">
        <f>D26-F26</f>
        <v>116433.44999999998</v>
      </c>
      <c r="I26" s="322"/>
    </row>
    <row r="27" spans="1:9" s="308" customFormat="1" ht="12.75" customHeight="1" x14ac:dyDescent="0.25">
      <c r="A27" s="317"/>
      <c r="B27" s="324"/>
      <c r="C27" s="328" t="s">
        <v>253</v>
      </c>
      <c r="D27" s="321">
        <v>17784</v>
      </c>
      <c r="E27" s="185"/>
      <c r="F27" s="321">
        <v>154.5</v>
      </c>
      <c r="G27" s="185"/>
      <c r="H27" s="321">
        <f>D27-F27</f>
        <v>17629.5</v>
      </c>
      <c r="I27" s="322"/>
    </row>
    <row r="28" spans="1:9" s="308" customFormat="1" ht="12.75" customHeight="1" x14ac:dyDescent="0.25">
      <c r="A28" s="317"/>
      <c r="B28" s="324"/>
      <c r="C28" s="328" t="s">
        <v>1025</v>
      </c>
      <c r="D28" s="321">
        <v>55000</v>
      </c>
      <c r="E28" s="185"/>
      <c r="F28" s="321">
        <f>5500</f>
        <v>5500</v>
      </c>
      <c r="G28" s="185"/>
      <c r="H28" s="321">
        <f>D28-F28</f>
        <v>49500</v>
      </c>
      <c r="I28" s="322"/>
    </row>
    <row r="29" spans="1:9" s="308" customFormat="1" ht="12.75" customHeight="1" thickBot="1" x14ac:dyDescent="0.3">
      <c r="A29" s="317"/>
      <c r="B29" s="324"/>
      <c r="C29" s="359" t="s">
        <v>157</v>
      </c>
      <c r="D29" s="360">
        <f>SUM(D26:D28)</f>
        <v>210626.27</v>
      </c>
      <c r="E29" s="326"/>
      <c r="F29" s="360">
        <f>SUM(F26:F28)</f>
        <v>27063.32</v>
      </c>
      <c r="G29" s="326"/>
      <c r="H29" s="360">
        <f>SUM(H26:H28)</f>
        <v>183562.94999999998</v>
      </c>
      <c r="I29" s="322"/>
    </row>
    <row r="30" spans="1:9" s="308" customFormat="1" ht="12.75" customHeight="1" thickTop="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sheetData>
  <conditionalFormatting sqref="I9:I25">
    <cfRule type="cellIs" dxfId="20" priority="1" operator="greaterThan">
      <formula>$H$23</formula>
    </cfRule>
  </conditionalFormatting>
  <pageMargins left="0.25" right="0.25" top="0.85" bottom="0.75" header="0.08" footer="0.3"/>
  <pageSetup scale="8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AD7B-D0DD-48D1-A0C8-1C1B0503CB8C}">
  <sheetPr>
    <pageSetUpPr fitToPage="1"/>
  </sheetPr>
  <dimension ref="A1:I34"/>
  <sheetViews>
    <sheetView zoomScaleNormal="100" workbookViewId="0">
      <selection activeCell="A21" sqref="A21"/>
    </sheetView>
  </sheetViews>
  <sheetFormatPr defaultColWidth="11.42578125" defaultRowHeight="15" customHeight="1" x14ac:dyDescent="0.25"/>
  <cols>
    <col min="1" max="1" width="24.5703125" customWidth="1"/>
    <col min="2" max="2" width="9.42578125" customWidth="1"/>
    <col min="3" max="3" width="15.7109375" bestFit="1" customWidth="1"/>
    <col min="4" max="4" width="14.42578125" customWidth="1"/>
    <col min="5" max="5" width="13.5703125" customWidth="1"/>
    <col min="6" max="6" width="12.42578125" customWidth="1"/>
    <col min="7" max="7" width="10.5703125" customWidth="1"/>
    <col min="8" max="8" width="15.140625" customWidth="1"/>
    <col min="9" max="9" width="13.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#9487.00'!B1</f>
        <v>DVA IVH Loftus and Malloy Water Infiltration-Flooding (29C20)</v>
      </c>
      <c r="B1" s="86"/>
      <c r="C1" s="6"/>
      <c r="D1" s="6"/>
      <c r="E1" s="6"/>
      <c r="F1" s="132"/>
      <c r="G1" s="132"/>
      <c r="H1" s="133"/>
      <c r="I1" s="133"/>
    </row>
    <row r="2" spans="1:9" ht="15.75" x14ac:dyDescent="0.25">
      <c r="A2" s="88" t="str">
        <f>'RECAP #9487.00'!B2</f>
        <v>Project # 9487.00</v>
      </c>
      <c r="B2" s="87"/>
      <c r="C2" s="6"/>
      <c r="D2" s="6"/>
      <c r="E2" s="6"/>
      <c r="F2" s="132"/>
      <c r="G2" s="132"/>
      <c r="H2" s="133"/>
      <c r="I2" s="133"/>
    </row>
    <row r="3" spans="1:9" ht="15.75" x14ac:dyDescent="0.25">
      <c r="A3" s="89" t="str">
        <f>'RECAP #9487.00'!B3</f>
        <v>Program code 948700</v>
      </c>
      <c r="B3" s="87"/>
      <c r="C3" s="6"/>
      <c r="D3" s="90" t="str">
        <f>'RECAP #9487.00'!E3</f>
        <v>Major Program 4B03</v>
      </c>
      <c r="E3" s="6"/>
      <c r="F3" s="132"/>
      <c r="G3" s="132"/>
      <c r="H3" s="133"/>
      <c r="I3" s="133"/>
    </row>
    <row r="4" spans="1:9" ht="15.75" x14ac:dyDescent="0.25">
      <c r="A4" s="116" t="s">
        <v>841</v>
      </c>
      <c r="B4" s="134"/>
      <c r="C4" s="135"/>
      <c r="D4" s="136" t="s">
        <v>838</v>
      </c>
      <c r="E4" s="132"/>
      <c r="F4" s="132"/>
      <c r="G4" s="132"/>
      <c r="H4" s="133"/>
      <c r="I4" s="133"/>
    </row>
    <row r="5" spans="1:9" ht="15.75" x14ac:dyDescent="0.25">
      <c r="A5" s="137" t="s">
        <v>147</v>
      </c>
      <c r="B5" s="138"/>
      <c r="C5" s="139"/>
      <c r="D5" s="140" t="s">
        <v>839</v>
      </c>
      <c r="E5" s="141"/>
      <c r="F5" s="142"/>
      <c r="G5" s="142"/>
      <c r="H5" s="138"/>
      <c r="I5" s="133"/>
    </row>
    <row r="6" spans="1:9" ht="15.75" x14ac:dyDescent="0.25">
      <c r="A6" s="93" t="str">
        <f>'RECAP #9487.00'!B6</f>
        <v>Project Manager - Brad T.</v>
      </c>
      <c r="B6" s="93"/>
      <c r="C6" s="143"/>
      <c r="D6" s="144" t="s">
        <v>156</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92" t="s">
        <v>297</v>
      </c>
    </row>
    <row r="9" spans="1:9" s="308" customFormat="1" ht="12.75" customHeight="1" x14ac:dyDescent="0.25">
      <c r="A9" s="317" t="s">
        <v>840</v>
      </c>
      <c r="B9" s="318">
        <v>46177</v>
      </c>
      <c r="C9" s="324" t="s">
        <v>146</v>
      </c>
      <c r="D9" s="319">
        <v>1100000</v>
      </c>
      <c r="E9" s="320">
        <f>D9</f>
        <v>1100000</v>
      </c>
      <c r="F9" s="321"/>
      <c r="G9" s="321"/>
      <c r="H9" s="321">
        <f>E9</f>
        <v>1100000</v>
      </c>
      <c r="I9" s="322"/>
    </row>
    <row r="10" spans="1:9" s="308" customFormat="1" ht="12.75" customHeight="1" x14ac:dyDescent="0.2">
      <c r="A10" s="317" t="s">
        <v>1041</v>
      </c>
      <c r="B10" s="323">
        <v>46220</v>
      </c>
      <c r="C10" s="324" t="s">
        <v>1042</v>
      </c>
      <c r="D10" s="320"/>
      <c r="E10" s="320">
        <f t="shared" ref="E10:E21" si="0">E9+D10</f>
        <v>1100000</v>
      </c>
      <c r="F10" s="167">
        <v>16897.400000000001</v>
      </c>
      <c r="G10" s="321">
        <f t="shared" ref="G10:G21" si="1">G9+F10</f>
        <v>16897.400000000001</v>
      </c>
      <c r="H10" s="321">
        <f t="shared" ref="H10:H21" si="2">H9-F10+D10</f>
        <v>1083102.6000000001</v>
      </c>
      <c r="I10" s="413">
        <v>522.6</v>
      </c>
    </row>
    <row r="11" spans="1:9" s="308" customFormat="1" ht="12.75" customHeight="1" x14ac:dyDescent="0.25">
      <c r="A11" s="317"/>
      <c r="B11" s="318"/>
      <c r="C11" s="324"/>
      <c r="D11" s="320"/>
      <c r="E11" s="320">
        <f t="shared" si="0"/>
        <v>1100000</v>
      </c>
      <c r="F11" s="325"/>
      <c r="G11" s="321">
        <f t="shared" si="1"/>
        <v>16897.400000000001</v>
      </c>
      <c r="H11" s="321">
        <f t="shared" si="2"/>
        <v>1083102.6000000001</v>
      </c>
      <c r="I11" s="413"/>
    </row>
    <row r="12" spans="1:9" s="308" customFormat="1" ht="12.75" customHeight="1" x14ac:dyDescent="0.25">
      <c r="A12" s="317"/>
      <c r="B12" s="318"/>
      <c r="C12" s="324"/>
      <c r="D12" s="320"/>
      <c r="E12" s="320">
        <f t="shared" si="0"/>
        <v>1100000</v>
      </c>
      <c r="F12" s="325"/>
      <c r="G12" s="321">
        <f t="shared" si="1"/>
        <v>16897.400000000001</v>
      </c>
      <c r="H12" s="321">
        <f t="shared" si="2"/>
        <v>1083102.6000000001</v>
      </c>
      <c r="I12" s="413"/>
    </row>
    <row r="13" spans="1:9" s="308" customFormat="1" ht="12.75" customHeight="1" x14ac:dyDescent="0.25">
      <c r="A13" s="317"/>
      <c r="B13" s="318"/>
      <c r="C13" s="324"/>
      <c r="D13" s="320"/>
      <c r="E13" s="320">
        <f t="shared" si="0"/>
        <v>1100000</v>
      </c>
      <c r="F13" s="325"/>
      <c r="G13" s="321">
        <f t="shared" si="1"/>
        <v>16897.400000000001</v>
      </c>
      <c r="H13" s="321">
        <f t="shared" si="2"/>
        <v>1083102.6000000001</v>
      </c>
      <c r="I13" s="413"/>
    </row>
    <row r="14" spans="1:9" s="308" customFormat="1" ht="12.75" customHeight="1" x14ac:dyDescent="0.25">
      <c r="A14" s="317"/>
      <c r="B14" s="318"/>
      <c r="C14" s="324"/>
      <c r="D14" s="320"/>
      <c r="E14" s="320">
        <f t="shared" si="0"/>
        <v>1100000</v>
      </c>
      <c r="F14" s="325"/>
      <c r="G14" s="321">
        <f t="shared" si="1"/>
        <v>16897.400000000001</v>
      </c>
      <c r="H14" s="321">
        <f t="shared" si="2"/>
        <v>1083102.6000000001</v>
      </c>
      <c r="I14" s="413"/>
    </row>
    <row r="15" spans="1:9" s="308" customFormat="1" ht="12.75" customHeight="1" x14ac:dyDescent="0.25">
      <c r="A15" s="317"/>
      <c r="B15" s="318"/>
      <c r="C15" s="324"/>
      <c r="D15" s="320"/>
      <c r="E15" s="320">
        <f t="shared" si="0"/>
        <v>1100000</v>
      </c>
      <c r="F15" s="325"/>
      <c r="G15" s="321">
        <f t="shared" si="1"/>
        <v>16897.400000000001</v>
      </c>
      <c r="H15" s="321">
        <f t="shared" si="2"/>
        <v>1083102.6000000001</v>
      </c>
      <c r="I15" s="413"/>
    </row>
    <row r="16" spans="1:9" s="308" customFormat="1" ht="12.75" customHeight="1" x14ac:dyDescent="0.25">
      <c r="A16" s="317"/>
      <c r="B16" s="318"/>
      <c r="C16" s="324"/>
      <c r="D16" s="319"/>
      <c r="E16" s="320">
        <f t="shared" si="0"/>
        <v>1100000</v>
      </c>
      <c r="F16" s="326"/>
      <c r="G16" s="321">
        <f t="shared" si="1"/>
        <v>16897.400000000001</v>
      </c>
      <c r="H16" s="321">
        <f t="shared" si="2"/>
        <v>1083102.6000000001</v>
      </c>
      <c r="I16" s="413"/>
    </row>
    <row r="17" spans="1:9" s="308" customFormat="1" ht="12.75" customHeight="1" x14ac:dyDescent="0.25">
      <c r="A17" s="317"/>
      <c r="B17" s="318"/>
      <c r="C17" s="324"/>
      <c r="D17" s="320"/>
      <c r="E17" s="320">
        <f t="shared" si="0"/>
        <v>1100000</v>
      </c>
      <c r="F17" s="326"/>
      <c r="G17" s="321">
        <f t="shared" si="1"/>
        <v>16897.400000000001</v>
      </c>
      <c r="H17" s="321">
        <f t="shared" si="2"/>
        <v>1083102.6000000001</v>
      </c>
      <c r="I17" s="413"/>
    </row>
    <row r="18" spans="1:9" s="308" customFormat="1" ht="12.75" customHeight="1" x14ac:dyDescent="0.25">
      <c r="A18" s="317"/>
      <c r="B18" s="318"/>
      <c r="C18" s="324"/>
      <c r="D18" s="320"/>
      <c r="E18" s="320">
        <f t="shared" si="0"/>
        <v>1100000</v>
      </c>
      <c r="F18" s="326"/>
      <c r="G18" s="321">
        <f t="shared" si="1"/>
        <v>16897.400000000001</v>
      </c>
      <c r="H18" s="321">
        <f t="shared" si="2"/>
        <v>1083102.6000000001</v>
      </c>
      <c r="I18" s="413"/>
    </row>
    <row r="19" spans="1:9" s="308" customFormat="1" ht="12.75" customHeight="1" x14ac:dyDescent="0.25">
      <c r="A19" s="317"/>
      <c r="B19" s="318"/>
      <c r="C19" s="324"/>
      <c r="D19" s="320"/>
      <c r="E19" s="320">
        <f t="shared" si="0"/>
        <v>1100000</v>
      </c>
      <c r="F19" s="321"/>
      <c r="G19" s="321">
        <f t="shared" si="1"/>
        <v>16897.400000000001</v>
      </c>
      <c r="H19" s="321">
        <f t="shared" si="2"/>
        <v>1083102.6000000001</v>
      </c>
      <c r="I19" s="413"/>
    </row>
    <row r="20" spans="1:9" s="308" customFormat="1" ht="12.75" customHeight="1" x14ac:dyDescent="0.25">
      <c r="A20" s="317"/>
      <c r="B20" s="318"/>
      <c r="C20" s="324"/>
      <c r="D20" s="320"/>
      <c r="E20" s="320">
        <f t="shared" si="0"/>
        <v>1100000</v>
      </c>
      <c r="F20" s="321"/>
      <c r="G20" s="321">
        <f t="shared" si="1"/>
        <v>16897.400000000001</v>
      </c>
      <c r="H20" s="321">
        <f t="shared" si="2"/>
        <v>1083102.6000000001</v>
      </c>
      <c r="I20" s="413"/>
    </row>
    <row r="21" spans="1:9" s="308" customFormat="1" ht="12.75" customHeight="1" x14ac:dyDescent="0.25">
      <c r="A21" s="317"/>
      <c r="B21" s="318"/>
      <c r="C21" s="327"/>
      <c r="D21" s="320"/>
      <c r="E21" s="320">
        <f t="shared" si="0"/>
        <v>1100000</v>
      </c>
      <c r="F21" s="321"/>
      <c r="G21" s="321">
        <f t="shared" si="1"/>
        <v>16897.400000000001</v>
      </c>
      <c r="H21" s="321">
        <f t="shared" si="2"/>
        <v>1083102.6000000001</v>
      </c>
      <c r="I21" s="413"/>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1100000</v>
      </c>
      <c r="E23" s="184"/>
      <c r="F23" s="184">
        <f>SUM(F9:F22)</f>
        <v>16897.400000000001</v>
      </c>
      <c r="G23" s="184"/>
      <c r="H23" s="184">
        <f>D23-F23</f>
        <v>1083102.6000000001</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c r="D26" s="321"/>
      <c r="E26" s="321"/>
      <c r="F26" s="321"/>
      <c r="G26" s="321"/>
      <c r="H26" s="321"/>
      <c r="I26" s="322"/>
    </row>
    <row r="27" spans="1:9" s="308" customFormat="1" ht="12.75" customHeight="1" x14ac:dyDescent="0.25">
      <c r="A27" s="317"/>
      <c r="B27" s="324"/>
      <c r="C27" s="328"/>
      <c r="D27" s="321"/>
      <c r="E27" s="185"/>
      <c r="F27" s="321"/>
      <c r="G27" s="185"/>
      <c r="H27" s="321"/>
      <c r="I27" s="322"/>
    </row>
    <row r="28" spans="1:9" s="308" customFormat="1" ht="12.75" customHeight="1" x14ac:dyDescent="0.25">
      <c r="A28" s="317"/>
      <c r="B28" s="324"/>
      <c r="C28" s="328"/>
      <c r="D28" s="321"/>
      <c r="E28" s="185"/>
      <c r="F28" s="321"/>
      <c r="G28" s="185"/>
      <c r="H28" s="321"/>
      <c r="I28" s="322"/>
    </row>
    <row r="29" spans="1:9" s="308" customFormat="1" ht="12.75" customHeight="1" x14ac:dyDescent="0.25">
      <c r="A29" s="317"/>
      <c r="B29" s="324"/>
      <c r="C29" s="359"/>
      <c r="D29" s="411"/>
      <c r="E29" s="326"/>
      <c r="F29" s="411"/>
      <c r="G29" s="326"/>
      <c r="H29" s="411"/>
      <c r="I29" s="322"/>
    </row>
    <row r="30" spans="1:9" s="308" customFormat="1" ht="12.75" customHeight="1" x14ac:dyDescent="0.25"/>
    <row r="31" spans="1:9" s="308" customFormat="1" ht="12.75" customHeight="1" x14ac:dyDescent="0.25"/>
    <row r="32" spans="1:9" s="308" customFormat="1" ht="12.75" customHeight="1" x14ac:dyDescent="0.25"/>
    <row r="33" s="308" customFormat="1" ht="12.75" customHeight="1" x14ac:dyDescent="0.25"/>
    <row r="34" s="308" customFormat="1" ht="12.75" customHeight="1" x14ac:dyDescent="0.25"/>
  </sheetData>
  <conditionalFormatting sqref="I9:I25">
    <cfRule type="cellIs" dxfId="19" priority="1" operator="greaterThan">
      <formula>$H$23</formula>
    </cfRule>
  </conditionalFormatting>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088FC-F410-49AD-881A-4FAB2BBAE797}">
  <sheetPr codeName="Sheet63">
    <pageSetUpPr fitToPage="1"/>
  </sheetPr>
  <dimension ref="A1:K23"/>
  <sheetViews>
    <sheetView topLeftCell="A3" zoomScaleNormal="100" workbookViewId="0">
      <selection activeCell="F23" sqref="F23"/>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3.28515625" bestFit="1" customWidth="1"/>
    <col min="11" max="11" width="13.285156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107</v>
      </c>
      <c r="C1" s="86"/>
      <c r="D1" s="6"/>
      <c r="E1" s="6"/>
      <c r="F1" s="6"/>
      <c r="G1" s="6"/>
    </row>
    <row r="2" spans="1:7" ht="15.75" x14ac:dyDescent="0.25">
      <c r="A2" s="84"/>
      <c r="B2" s="88" t="s">
        <v>109</v>
      </c>
      <c r="C2" s="87"/>
      <c r="D2" s="6"/>
      <c r="E2" s="6"/>
      <c r="F2" s="6"/>
      <c r="G2" s="6"/>
    </row>
    <row r="3" spans="1:7" ht="15.75" x14ac:dyDescent="0.25">
      <c r="A3" s="84"/>
      <c r="B3" s="89" t="s">
        <v>110</v>
      </c>
      <c r="C3" s="87"/>
      <c r="D3" s="6"/>
      <c r="E3" s="90" t="s">
        <v>112</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111</v>
      </c>
      <c r="C6" s="94"/>
      <c r="D6" s="95" t="s">
        <v>3</v>
      </c>
      <c r="E6" s="6"/>
      <c r="F6" s="6"/>
      <c r="G6" s="6"/>
    </row>
    <row r="7" spans="1:7" ht="39" customHeight="1" thickBot="1" x14ac:dyDescent="0.3">
      <c r="A7" s="84"/>
      <c r="B7" s="96" t="s">
        <v>3</v>
      </c>
      <c r="C7" s="97" t="s">
        <v>0</v>
      </c>
      <c r="D7" s="98" t="s">
        <v>1</v>
      </c>
      <c r="E7" s="99" t="s">
        <v>2</v>
      </c>
      <c r="F7" s="100" t="s">
        <v>37</v>
      </c>
      <c r="G7" s="100" t="s">
        <v>38</v>
      </c>
    </row>
    <row r="8" spans="1:7" ht="27.75" customHeight="1" x14ac:dyDescent="0.25">
      <c r="A8" s="84"/>
      <c r="B8" s="87" t="s">
        <v>39</v>
      </c>
      <c r="C8" s="101">
        <f>'#9488.00 Funds Rec''d '!H24</f>
        <v>8412794.2100000009</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81" t="s">
        <v>325</v>
      </c>
      <c r="B10" s="375" t="s">
        <v>237</v>
      </c>
      <c r="C10" s="376"/>
      <c r="D10" s="379">
        <f>'#9488.00 Samuels Group'!D23</f>
        <v>70752.88</v>
      </c>
      <c r="E10" s="379">
        <f>'#9488.00 Samuels Group'!F23</f>
        <v>70752.88</v>
      </c>
      <c r="F10" s="379">
        <f>'#9488.00 Samuels Group'!H23</f>
        <v>0</v>
      </c>
      <c r="G10" s="378"/>
    </row>
    <row r="11" spans="1:7" s="308" customFormat="1" ht="12.75" customHeight="1" x14ac:dyDescent="0.25">
      <c r="A11" s="374"/>
      <c r="B11" s="375" t="s">
        <v>41</v>
      </c>
      <c r="C11" s="376"/>
      <c r="D11" s="379">
        <f>'#9488.00 PM TIME'!E34</f>
        <v>145000</v>
      </c>
      <c r="E11" s="379">
        <f>'#9488.00 PM TIME'!G34</f>
        <v>24729.050000000003</v>
      </c>
      <c r="F11" s="379">
        <f>'#9488.00 PM TIME'!I34</f>
        <v>120270.95</v>
      </c>
      <c r="G11" s="378"/>
    </row>
    <row r="12" spans="1:7" s="308" customFormat="1" ht="12.75" customHeight="1" x14ac:dyDescent="0.25">
      <c r="A12" s="374"/>
      <c r="B12" s="375" t="s">
        <v>42</v>
      </c>
      <c r="C12" s="377"/>
      <c r="D12" s="367">
        <f>'#9488.00 Misc'!G22</f>
        <v>7216.65</v>
      </c>
      <c r="E12" s="367">
        <f>'#9488.00 Misc'!G22</f>
        <v>7216.65</v>
      </c>
      <c r="F12" s="379">
        <f>D12-E12</f>
        <v>0</v>
      </c>
      <c r="G12" s="378"/>
    </row>
    <row r="13" spans="1:7" s="308" customFormat="1" ht="12.75" customHeight="1" x14ac:dyDescent="0.25">
      <c r="A13" s="374"/>
      <c r="B13" s="375" t="s">
        <v>302</v>
      </c>
      <c r="C13" s="377"/>
      <c r="D13" s="367">
        <f>'#9488.00 SVPA Architects'!D23</f>
        <v>417400</v>
      </c>
      <c r="E13" s="367">
        <f>'#9488.00 SVPA Architects'!F23</f>
        <v>336240</v>
      </c>
      <c r="F13" s="379">
        <f>'#9488.00 SVPA Architects'!H23</f>
        <v>81160</v>
      </c>
      <c r="G13" s="378"/>
    </row>
    <row r="14" spans="1:7" s="308" customFormat="1" ht="12.75" customHeight="1" x14ac:dyDescent="0.25">
      <c r="A14" s="374"/>
      <c r="B14" s="375" t="s">
        <v>873</v>
      </c>
      <c r="C14" s="377"/>
      <c r="D14" s="367">
        <f>'#9488.00 Downs Electric'!D23</f>
        <v>739475</v>
      </c>
      <c r="E14" s="367">
        <f>'#9488.00 Downs Electric'!F23</f>
        <v>0</v>
      </c>
      <c r="F14" s="379">
        <f>'#9488.00 Downs Electric'!H23</f>
        <v>739475</v>
      </c>
      <c r="G14" s="378"/>
    </row>
    <row r="15" spans="1:7" s="308" customFormat="1" ht="12.75" customHeight="1" x14ac:dyDescent="0.25">
      <c r="A15" s="374"/>
      <c r="B15" s="375" t="s">
        <v>879</v>
      </c>
      <c r="C15" s="377"/>
      <c r="D15" s="367">
        <f>'#9488.00 PrairieConstruction'!D23</f>
        <v>3269000</v>
      </c>
      <c r="E15" s="367">
        <f>'#9488.00 PrairieConstruction'!F23</f>
        <v>0</v>
      </c>
      <c r="F15" s="379">
        <f>'#9488.00 PrairieConstruction'!H23</f>
        <v>3269000</v>
      </c>
      <c r="G15" s="378"/>
    </row>
    <row r="16" spans="1:7" s="308" customFormat="1" ht="12.75" customHeight="1" x14ac:dyDescent="0.25">
      <c r="A16" s="374"/>
      <c r="B16" s="375" t="s">
        <v>882</v>
      </c>
      <c r="C16" s="377"/>
      <c r="D16" s="367">
        <f>'#9488.00 Elkhorn West Construct'!D23</f>
        <v>116625</v>
      </c>
      <c r="E16" s="367">
        <f>'#9488.00 Elkhorn West Construct'!F23</f>
        <v>0</v>
      </c>
      <c r="F16" s="379">
        <f>'#9488.00 Elkhorn West Construct'!H23</f>
        <v>116625</v>
      </c>
      <c r="G16" s="378"/>
    </row>
    <row r="17" spans="1:11" s="308" customFormat="1" ht="12.75" customHeight="1" x14ac:dyDescent="0.25">
      <c r="A17" s="374"/>
      <c r="B17" s="375" t="s">
        <v>942</v>
      </c>
      <c r="C17" s="377"/>
      <c r="D17" s="367">
        <f>'#9488.00 Samuels Group (2)'!D23</f>
        <v>766820.2</v>
      </c>
      <c r="E17" s="367">
        <f>'#9488.00 Samuels Group (2)'!F23</f>
        <v>8996.0300000000007</v>
      </c>
      <c r="F17" s="379">
        <f>'#9488.00 Samuels Group (2)'!H23</f>
        <v>757824.16999999993</v>
      </c>
      <c r="G17" s="378"/>
    </row>
    <row r="18" spans="1:11" s="308" customFormat="1" ht="12.75" customHeight="1" x14ac:dyDescent="0.25">
      <c r="A18" s="374"/>
      <c r="B18" s="375"/>
      <c r="C18" s="377"/>
      <c r="D18" s="367"/>
      <c r="E18" s="367"/>
      <c r="F18" s="379"/>
      <c r="G18" s="378"/>
    </row>
    <row r="19" spans="1:11" ht="24" customHeight="1" thickBot="1" x14ac:dyDescent="0.3">
      <c r="A19" s="107"/>
      <c r="B19" s="108" t="s">
        <v>43</v>
      </c>
      <c r="C19" s="109">
        <f>SUM(C8:C18)</f>
        <v>8412794.2100000009</v>
      </c>
      <c r="D19" s="109">
        <f>SUM(D8:D18)</f>
        <v>5532289.7300000004</v>
      </c>
      <c r="E19" s="109">
        <f>SUM(E8:E18)</f>
        <v>447934.61000000004</v>
      </c>
      <c r="F19" s="109">
        <f>SUM(D19-E19)</f>
        <v>5084355.12</v>
      </c>
      <c r="G19" s="109">
        <f>C8-D19</f>
        <v>2880504.4800000004</v>
      </c>
      <c r="I19" s="492"/>
    </row>
    <row r="20" spans="1:11" ht="15" customHeight="1" thickTop="1" x14ac:dyDescent="0.25">
      <c r="I20" s="493"/>
    </row>
    <row r="22" spans="1:11" ht="15" customHeight="1" x14ac:dyDescent="0.25">
      <c r="I22" s="492"/>
    </row>
    <row r="23" spans="1:11" ht="15" customHeight="1" x14ac:dyDescent="0.25">
      <c r="I23" s="492"/>
      <c r="K23" s="492"/>
    </row>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1018-D7D9-4B4C-B843-AA4A5BC4C945}">
  <sheetPr codeName="Sheet64">
    <pageSetUpPr fitToPage="1"/>
  </sheetPr>
  <dimension ref="A1:I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8.42578125" bestFit="1" customWidth="1"/>
    <col min="5" max="5" width="25.42578125" customWidth="1"/>
    <col min="6" max="6" width="10.42578125" bestFit="1" customWidth="1"/>
    <col min="7" max="7" width="14" bestFit="1" customWidth="1"/>
    <col min="8" max="8" width="14.710937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9" x14ac:dyDescent="0.25">
      <c r="A1" s="111" t="str">
        <f>'RECAP #9488.00'!B1</f>
        <v xml:space="preserve">DOC 4JD New Central Office Building </v>
      </c>
      <c r="B1" s="7"/>
      <c r="C1" s="2"/>
      <c r="D1" s="3"/>
      <c r="E1" s="3"/>
      <c r="F1" s="7"/>
      <c r="G1" s="7"/>
      <c r="H1" s="7"/>
    </row>
    <row r="2" spans="1:9" x14ac:dyDescent="0.25">
      <c r="A2" s="112" t="str">
        <f>'RECAP #9488.00'!B2</f>
        <v>Project # 9488.00</v>
      </c>
      <c r="B2" s="7"/>
      <c r="C2" s="113" t="s">
        <v>3</v>
      </c>
      <c r="D2" s="1"/>
      <c r="E2" s="1"/>
      <c r="F2" s="7"/>
      <c r="G2" s="7"/>
      <c r="H2" s="7"/>
    </row>
    <row r="3" spans="1:9" x14ac:dyDescent="0.25">
      <c r="A3" s="114" t="str">
        <f>'RECAP #9488.00'!B3</f>
        <v>Program code 948800</v>
      </c>
      <c r="B3" s="7"/>
      <c r="C3" s="113" t="s">
        <v>3</v>
      </c>
      <c r="D3" s="115" t="str">
        <f>'RECAP #9488.00'!E3</f>
        <v>Major Program 4B01</v>
      </c>
      <c r="E3" s="3"/>
      <c r="F3" s="7"/>
      <c r="G3" s="7"/>
      <c r="H3" s="7"/>
    </row>
    <row r="4" spans="1:9" ht="15.75" x14ac:dyDescent="0.25">
      <c r="A4" s="116" t="s">
        <v>44</v>
      </c>
      <c r="B4" s="117" t="s">
        <v>3</v>
      </c>
      <c r="C4" s="3"/>
      <c r="D4" s="3"/>
      <c r="E4" s="3"/>
      <c r="F4" s="7"/>
      <c r="G4" s="7"/>
      <c r="H4" s="7"/>
    </row>
    <row r="5" spans="1:9" x14ac:dyDescent="0.25">
      <c r="A5" s="107" t="s">
        <v>122</v>
      </c>
      <c r="B5" s="25"/>
      <c r="C5" s="118"/>
      <c r="D5" s="26"/>
      <c r="E5" s="7"/>
      <c r="F5" s="7"/>
      <c r="G5" s="7"/>
      <c r="H5" s="7"/>
    </row>
    <row r="6" spans="1:9" x14ac:dyDescent="0.25">
      <c r="A6" s="119" t="str">
        <f>'RECAP #9488.00'!B6</f>
        <v>Project Manager - Jennie E</v>
      </c>
      <c r="B6" s="25"/>
      <c r="C6" s="120"/>
      <c r="D6" s="26"/>
      <c r="E6" s="25"/>
      <c r="F6" s="26"/>
      <c r="G6" s="120"/>
      <c r="H6" s="120"/>
    </row>
    <row r="7" spans="1:9" ht="18" x14ac:dyDescent="0.25">
      <c r="A7" s="119"/>
      <c r="B7" s="9"/>
      <c r="C7" s="10"/>
      <c r="D7" s="11"/>
      <c r="E7" s="9"/>
      <c r="F7" s="8"/>
      <c r="G7" s="10"/>
      <c r="H7" s="10"/>
    </row>
    <row r="8" spans="1:9" ht="50.85" customHeight="1" thickBot="1" x14ac:dyDescent="0.3">
      <c r="A8" s="121" t="s">
        <v>4</v>
      </c>
      <c r="B8" s="122" t="s">
        <v>45</v>
      </c>
      <c r="C8" s="123" t="s">
        <v>5</v>
      </c>
      <c r="D8" s="121" t="s">
        <v>6</v>
      </c>
      <c r="E8" s="122" t="s">
        <v>46</v>
      </c>
      <c r="F8" s="124" t="s">
        <v>7</v>
      </c>
      <c r="G8" s="123" t="s">
        <v>5</v>
      </c>
      <c r="H8" s="125" t="s">
        <v>8</v>
      </c>
    </row>
    <row r="9" spans="1:9" s="308" customFormat="1" ht="12.75" customHeight="1" x14ac:dyDescent="0.25">
      <c r="A9" s="331"/>
      <c r="B9" s="332"/>
      <c r="C9" s="333"/>
      <c r="D9" s="334" t="s">
        <v>96</v>
      </c>
      <c r="E9" s="334" t="s">
        <v>189</v>
      </c>
      <c r="F9" s="335">
        <v>45884</v>
      </c>
      <c r="G9" s="405">
        <v>4163847</v>
      </c>
      <c r="H9" s="405">
        <v>4163847</v>
      </c>
    </row>
    <row r="10" spans="1:9" s="308" customFormat="1" ht="12.75" customHeight="1" x14ac:dyDescent="0.25">
      <c r="A10" s="331"/>
      <c r="B10" s="331"/>
      <c r="C10" s="336"/>
      <c r="D10" s="334" t="s">
        <v>266</v>
      </c>
      <c r="E10" s="331" t="s">
        <v>536</v>
      </c>
      <c r="F10" s="331">
        <v>46085</v>
      </c>
      <c r="G10" s="417">
        <v>1500000</v>
      </c>
      <c r="H10" s="417">
        <v>1500000</v>
      </c>
    </row>
    <row r="11" spans="1:9" s="308" customFormat="1" ht="12.75" customHeight="1" x14ac:dyDescent="0.2">
      <c r="A11" s="338"/>
      <c r="B11" s="336"/>
      <c r="C11" s="339"/>
      <c r="D11" s="334" t="s">
        <v>1009</v>
      </c>
      <c r="E11" s="481" t="s">
        <v>1008</v>
      </c>
      <c r="F11" s="331">
        <v>46216</v>
      </c>
      <c r="G11" s="417">
        <v>2775898</v>
      </c>
      <c r="H11" s="417">
        <v>2775898</v>
      </c>
      <c r="I11" s="482" t="s">
        <v>1012</v>
      </c>
    </row>
    <row r="12" spans="1:9" s="308" customFormat="1" ht="12.75" customHeight="1" x14ac:dyDescent="0.2">
      <c r="A12" s="338"/>
      <c r="B12" s="336"/>
      <c r="C12" s="342"/>
      <c r="D12" s="334" t="s">
        <v>1010</v>
      </c>
      <c r="E12" s="481" t="s">
        <v>1011</v>
      </c>
      <c r="F12" s="331">
        <v>46216</v>
      </c>
      <c r="G12" s="475">
        <v>-26950.79</v>
      </c>
      <c r="H12" s="475">
        <v>-26950.79</v>
      </c>
      <c r="I12" s="482" t="s">
        <v>1012</v>
      </c>
    </row>
    <row r="13" spans="1:9" s="308" customFormat="1" ht="12.75" customHeight="1" x14ac:dyDescent="0.25">
      <c r="A13" s="323"/>
      <c r="B13" s="343"/>
      <c r="C13" s="342"/>
      <c r="D13" s="334"/>
      <c r="F13" s="331"/>
      <c r="G13" s="344"/>
      <c r="H13" s="345"/>
    </row>
    <row r="14" spans="1:9" s="308" customFormat="1" ht="12.75" customHeight="1" x14ac:dyDescent="0.25">
      <c r="A14" s="338"/>
      <c r="B14" s="346"/>
      <c r="C14" s="342"/>
      <c r="D14" s="336"/>
      <c r="E14" s="346"/>
      <c r="F14" s="331"/>
      <c r="G14" s="340"/>
      <c r="H14" s="341"/>
    </row>
    <row r="15" spans="1:9" s="308" customFormat="1" ht="12.75" customHeight="1" x14ac:dyDescent="0.25">
      <c r="A15" s="338"/>
      <c r="B15" s="346"/>
      <c r="C15" s="347"/>
      <c r="D15" s="348"/>
      <c r="E15" s="343"/>
      <c r="F15" s="349"/>
      <c r="G15" s="350"/>
      <c r="H15" s="350"/>
    </row>
    <row r="16" spans="1:9"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ht="15.75" thickBot="1" x14ac:dyDescent="0.3">
      <c r="A24" s="29"/>
      <c r="B24" s="30" t="s">
        <v>9</v>
      </c>
      <c r="C24" s="31">
        <f>SUM(C9:C23)</f>
        <v>0</v>
      </c>
      <c r="D24" s="32" t="s">
        <v>10</v>
      </c>
      <c r="E24" s="33"/>
      <c r="F24" s="34"/>
      <c r="G24" s="131">
        <f>SUM(G9:G23)</f>
        <v>8412794.2100000009</v>
      </c>
      <c r="H24" s="131">
        <f>SUM(H9:H22)</f>
        <v>8412794.2100000009</v>
      </c>
    </row>
    <row r="25" spans="1:8" ht="15" customHeight="1" thickTop="1" x14ac:dyDescent="0.25"/>
  </sheetData>
  <pageMargins left="0.25" right="0.25" top="0.85" bottom="0.75" header="0.08" footer="0.3"/>
  <pageSetup scale="67"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A705-DE59-4E23-AE83-93D2DB9B763F}">
  <sheetPr codeName="Sheet3">
    <pageSetUpPr fitToPage="1"/>
  </sheetPr>
  <dimension ref="A1:H25"/>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7" width="15" bestFit="1" customWidth="1"/>
    <col min="8" max="8" width="16.42578125"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#9279.50'!B1</f>
        <v>HHS WRC Campus Utility Decentralization Phase 5</v>
      </c>
      <c r="B1" s="7"/>
      <c r="C1" s="2"/>
      <c r="D1" s="3"/>
      <c r="E1" s="3"/>
      <c r="F1" s="7"/>
      <c r="G1" s="7"/>
      <c r="H1" s="7"/>
    </row>
    <row r="2" spans="1:8" x14ac:dyDescent="0.25">
      <c r="A2" s="112" t="str">
        <f>'RECAP #9279.50'!B2</f>
        <v>Project # 9279.50</v>
      </c>
      <c r="B2" s="7"/>
      <c r="C2" s="113" t="s">
        <v>3</v>
      </c>
      <c r="D2" s="1"/>
      <c r="E2" s="1"/>
      <c r="F2" s="7"/>
      <c r="G2" s="7"/>
      <c r="H2" s="7"/>
    </row>
    <row r="3" spans="1:8" x14ac:dyDescent="0.25">
      <c r="A3" s="114" t="str">
        <f>'RECAP #9279.50'!B3</f>
        <v>Program code 927950</v>
      </c>
      <c r="B3" s="7"/>
      <c r="C3" s="113" t="s">
        <v>3</v>
      </c>
      <c r="D3" s="115" t="str">
        <f>'RECAP #9279.50'!E3</f>
        <v>Major Program 4B02</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#9279.50'!B6</f>
        <v>Project Manager - Jennifer K.</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x14ac:dyDescent="0.25">
      <c r="A9" s="12"/>
      <c r="B9" s="126"/>
      <c r="C9" s="14"/>
      <c r="D9" s="15" t="s">
        <v>96</v>
      </c>
      <c r="E9" s="15" t="s">
        <v>395</v>
      </c>
      <c r="F9" s="127">
        <v>46014</v>
      </c>
      <c r="G9" s="380">
        <v>14275000</v>
      </c>
      <c r="H9" s="380">
        <v>14275000</v>
      </c>
    </row>
    <row r="10" spans="1:8" x14ac:dyDescent="0.25">
      <c r="A10" s="12"/>
      <c r="B10" s="12"/>
      <c r="C10" s="13"/>
      <c r="D10" s="15"/>
      <c r="E10" s="12"/>
      <c r="F10" s="12"/>
      <c r="G10" s="17"/>
      <c r="H10" s="17"/>
    </row>
    <row r="11" spans="1:8" x14ac:dyDescent="0.25">
      <c r="A11" s="22"/>
      <c r="B11" s="13"/>
      <c r="C11" s="18"/>
      <c r="D11" s="15"/>
      <c r="F11" s="12"/>
      <c r="G11" s="20"/>
      <c r="H11" s="21"/>
    </row>
    <row r="12" spans="1:8" x14ac:dyDescent="0.25">
      <c r="A12" s="22"/>
      <c r="B12" s="13"/>
      <c r="C12" s="23"/>
      <c r="D12" s="15"/>
      <c r="F12" s="12"/>
      <c r="G12" s="20"/>
      <c r="H12" s="21"/>
    </row>
    <row r="13" spans="1:8" x14ac:dyDescent="0.25">
      <c r="A13" s="19"/>
      <c r="B13" s="24"/>
      <c r="C13" s="23"/>
      <c r="D13" s="15"/>
      <c r="F13" s="12"/>
      <c r="G13" s="128"/>
      <c r="H13" s="129"/>
    </row>
    <row r="14" spans="1:8" x14ac:dyDescent="0.25">
      <c r="A14" s="22"/>
      <c r="B14" s="25"/>
      <c r="C14" s="23"/>
      <c r="D14" s="13"/>
      <c r="E14" s="25"/>
      <c r="F14" s="12"/>
      <c r="G14" s="20"/>
      <c r="H14" s="21"/>
    </row>
    <row r="15" spans="1:8" x14ac:dyDescent="0.25">
      <c r="A15" s="22"/>
      <c r="B15" s="25"/>
      <c r="C15" s="118"/>
      <c r="D15" s="26"/>
      <c r="E15" s="24"/>
      <c r="F15" s="130"/>
      <c r="G15" s="27"/>
      <c r="H15" s="27"/>
    </row>
    <row r="16" spans="1:8" x14ac:dyDescent="0.25">
      <c r="A16" s="22"/>
      <c r="B16" s="25"/>
      <c r="C16" s="118" t="s">
        <v>3</v>
      </c>
      <c r="D16" s="26"/>
      <c r="E16" s="25"/>
      <c r="F16" s="130"/>
      <c r="G16" s="27"/>
      <c r="H16" s="27"/>
    </row>
    <row r="17" spans="1:8" x14ac:dyDescent="0.25">
      <c r="A17" s="22"/>
      <c r="B17" s="25"/>
      <c r="C17" s="118"/>
      <c r="D17" s="26"/>
      <c r="E17" s="25"/>
      <c r="F17" s="130"/>
      <c r="G17" s="28"/>
      <c r="H17" s="118"/>
    </row>
    <row r="18" spans="1:8" x14ac:dyDescent="0.25">
      <c r="A18" s="22"/>
      <c r="B18" s="110"/>
      <c r="C18" s="118"/>
      <c r="D18" s="26"/>
      <c r="E18" s="25"/>
      <c r="F18" s="130"/>
      <c r="G18" s="27"/>
      <c r="H18" s="27"/>
    </row>
    <row r="19" spans="1:8" x14ac:dyDescent="0.25">
      <c r="A19" s="22"/>
      <c r="B19" s="25"/>
      <c r="C19" s="118"/>
      <c r="D19" s="26"/>
      <c r="E19" s="25"/>
      <c r="F19" s="130"/>
      <c r="G19" s="27"/>
      <c r="H19" s="27"/>
    </row>
    <row r="20" spans="1:8" x14ac:dyDescent="0.25">
      <c r="A20" s="22"/>
      <c r="B20" s="25"/>
      <c r="C20" s="118"/>
      <c r="D20" s="26"/>
      <c r="E20" s="25"/>
      <c r="F20" s="130"/>
      <c r="G20" s="28"/>
      <c r="H20" s="118"/>
    </row>
    <row r="21" spans="1:8" x14ac:dyDescent="0.25">
      <c r="A21" s="22"/>
      <c r="B21" s="25"/>
      <c r="C21" s="118"/>
      <c r="D21" s="26"/>
      <c r="E21" s="25"/>
      <c r="F21" s="130"/>
      <c r="G21" s="28"/>
      <c r="H21" s="118"/>
    </row>
    <row r="22" spans="1:8" x14ac:dyDescent="0.25">
      <c r="A22" s="22"/>
      <c r="B22" s="25"/>
      <c r="C22" s="118"/>
      <c r="D22" s="26"/>
      <c r="E22" s="25"/>
      <c r="F22" s="22"/>
      <c r="G22" s="27"/>
      <c r="H22" s="27"/>
    </row>
    <row r="23" spans="1:8" x14ac:dyDescent="0.25">
      <c r="A23" s="22"/>
      <c r="B23" s="25"/>
      <c r="C23" s="118"/>
      <c r="D23" s="26"/>
      <c r="E23" s="25"/>
      <c r="F23" s="22"/>
      <c r="G23" s="27"/>
      <c r="H23" s="27"/>
    </row>
    <row r="24" spans="1:8" ht="15.75" thickBot="1" x14ac:dyDescent="0.3">
      <c r="A24" s="29"/>
      <c r="B24" s="30" t="s">
        <v>9</v>
      </c>
      <c r="C24" s="31">
        <f>SUM(C9:C23)</f>
        <v>0</v>
      </c>
      <c r="D24" s="32" t="s">
        <v>10</v>
      </c>
      <c r="E24" s="33"/>
      <c r="F24" s="34"/>
      <c r="G24" s="131">
        <f>SUM(G9:G23)</f>
        <v>14275000</v>
      </c>
      <c r="H24" s="131">
        <f>SUM(H9:H22)</f>
        <v>14275000</v>
      </c>
    </row>
    <row r="25" spans="1:8" ht="15" customHeight="1" thickTop="1" x14ac:dyDescent="0.25"/>
  </sheetData>
  <pageMargins left="0.25" right="0.25" top="0.85" bottom="0.75" header="0.08" footer="0.3"/>
  <pageSetup scale="74"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2A79B-9CB5-426E-A7F1-11EE2DFB8523}">
  <sheetPr codeName="Sheet65">
    <tabColor rgb="FF0070C0"/>
    <pageSetUpPr fitToPage="1"/>
  </sheetPr>
  <dimension ref="A1:I34"/>
  <sheetViews>
    <sheetView zoomScaleNormal="100" workbookViewId="0">
      <selection activeCell="P26" sqref="P26"/>
    </sheetView>
  </sheetViews>
  <sheetFormatPr defaultColWidth="11.42578125" defaultRowHeight="15" customHeight="1" x14ac:dyDescent="0.25"/>
  <cols>
    <col min="1" max="1" width="24.5703125" style="267" customWidth="1"/>
    <col min="2" max="2" width="9.42578125" style="267" customWidth="1"/>
    <col min="3" max="3" width="25" style="267" bestFit="1" customWidth="1"/>
    <col min="4" max="4" width="14.42578125" style="267" customWidth="1"/>
    <col min="5" max="5" width="13.5703125" style="267" customWidth="1"/>
    <col min="6" max="6" width="12.42578125" style="267" customWidth="1"/>
    <col min="7" max="7" width="10.5703125" style="267" customWidth="1"/>
    <col min="8" max="8" width="12.140625" style="267" customWidth="1"/>
    <col min="9" max="9" width="7" style="267" customWidth="1"/>
    <col min="10" max="256" width="11.42578125" style="267"/>
    <col min="257" max="264" width="11.42578125" style="267" customWidth="1"/>
    <col min="265" max="512" width="11.42578125" style="267"/>
    <col min="513" max="520" width="11.42578125" style="267" customWidth="1"/>
    <col min="521" max="768" width="11.42578125" style="267"/>
    <col min="769" max="776" width="11.42578125" style="267" customWidth="1"/>
    <col min="777" max="1024" width="11.42578125" style="267"/>
    <col min="1025" max="1032" width="11.42578125" style="267" customWidth="1"/>
    <col min="1033" max="1280" width="11.42578125" style="267"/>
    <col min="1281" max="1288" width="11.42578125" style="267" customWidth="1"/>
    <col min="1289" max="1536" width="11.42578125" style="267"/>
    <col min="1537" max="1544" width="11.42578125" style="267" customWidth="1"/>
    <col min="1545" max="1792" width="11.42578125" style="267"/>
    <col min="1793" max="1800" width="11.42578125" style="267" customWidth="1"/>
    <col min="1801" max="2048" width="11.42578125" style="267"/>
    <col min="2049" max="2056" width="11.42578125" style="267" customWidth="1"/>
    <col min="2057" max="2304" width="11.42578125" style="267"/>
    <col min="2305" max="2312" width="11.42578125" style="267" customWidth="1"/>
    <col min="2313" max="2560" width="11.42578125" style="267"/>
    <col min="2561" max="2568" width="11.42578125" style="267" customWidth="1"/>
    <col min="2569" max="2816" width="11.42578125" style="267"/>
    <col min="2817" max="2824" width="11.42578125" style="267" customWidth="1"/>
    <col min="2825" max="3072" width="11.42578125" style="267"/>
    <col min="3073" max="3080" width="11.42578125" style="267" customWidth="1"/>
    <col min="3081" max="3328" width="11.42578125" style="267"/>
    <col min="3329" max="3336" width="11.42578125" style="267" customWidth="1"/>
    <col min="3337" max="3584" width="11.42578125" style="267"/>
    <col min="3585" max="3592" width="11.42578125" style="267" customWidth="1"/>
    <col min="3593" max="3840" width="11.42578125" style="267"/>
    <col min="3841" max="3848" width="11.42578125" style="267" customWidth="1"/>
    <col min="3849" max="4096" width="11.42578125" style="267"/>
    <col min="4097" max="4104" width="11.42578125" style="267" customWidth="1"/>
    <col min="4105" max="4352" width="11.42578125" style="267"/>
    <col min="4353" max="4360" width="11.42578125" style="267" customWidth="1"/>
    <col min="4361" max="4608" width="11.42578125" style="267"/>
    <col min="4609" max="4616" width="11.42578125" style="267" customWidth="1"/>
    <col min="4617" max="4864" width="11.42578125" style="267"/>
    <col min="4865" max="4872" width="11.42578125" style="267" customWidth="1"/>
    <col min="4873" max="5120" width="11.42578125" style="267"/>
    <col min="5121" max="5128" width="11.42578125" style="267" customWidth="1"/>
    <col min="5129" max="5376" width="11.42578125" style="267"/>
    <col min="5377" max="5384" width="11.42578125" style="267" customWidth="1"/>
    <col min="5385" max="5632" width="11.42578125" style="267"/>
    <col min="5633" max="5640" width="11.42578125" style="267" customWidth="1"/>
    <col min="5641" max="5888" width="11.42578125" style="267"/>
    <col min="5889" max="5896" width="11.42578125" style="267" customWidth="1"/>
    <col min="5897" max="6144" width="11.42578125" style="267"/>
    <col min="6145" max="6152" width="11.42578125" style="267" customWidth="1"/>
    <col min="6153" max="6400" width="11.42578125" style="267"/>
    <col min="6401" max="6408" width="11.42578125" style="267" customWidth="1"/>
    <col min="6409" max="6656" width="11.42578125" style="267"/>
    <col min="6657" max="6664" width="11.42578125" style="267" customWidth="1"/>
    <col min="6665" max="6912" width="11.42578125" style="267"/>
    <col min="6913" max="6920" width="11.42578125" style="267" customWidth="1"/>
    <col min="6921" max="7168" width="11.42578125" style="267"/>
    <col min="7169" max="7176" width="11.42578125" style="267" customWidth="1"/>
    <col min="7177" max="7424" width="11.42578125" style="267"/>
    <col min="7425" max="7432" width="11.42578125" style="267" customWidth="1"/>
    <col min="7433" max="7680" width="11.42578125" style="267"/>
    <col min="7681" max="7688" width="11.42578125" style="267" customWidth="1"/>
    <col min="7689" max="7936" width="11.42578125" style="267"/>
    <col min="7937" max="7944" width="11.42578125" style="267" customWidth="1"/>
    <col min="7945" max="8192" width="11.42578125" style="267"/>
    <col min="8193" max="8200" width="11.42578125" style="267" customWidth="1"/>
    <col min="8201" max="8448" width="11.42578125" style="267"/>
    <col min="8449" max="8456" width="11.42578125" style="267" customWidth="1"/>
    <col min="8457" max="8704" width="11.42578125" style="267"/>
    <col min="8705" max="8712" width="11.42578125" style="267" customWidth="1"/>
    <col min="8713" max="8960" width="11.42578125" style="267"/>
    <col min="8961" max="8968" width="11.42578125" style="267" customWidth="1"/>
    <col min="8969" max="9216" width="11.42578125" style="267"/>
    <col min="9217" max="9224" width="11.42578125" style="267" customWidth="1"/>
    <col min="9225" max="9472" width="11.42578125" style="267"/>
    <col min="9473" max="9480" width="11.42578125" style="267" customWidth="1"/>
    <col min="9481" max="9728" width="11.42578125" style="267"/>
    <col min="9729" max="9736" width="11.42578125" style="267" customWidth="1"/>
    <col min="9737" max="9984" width="11.42578125" style="267"/>
    <col min="9985" max="9992" width="11.42578125" style="267" customWidth="1"/>
    <col min="9993" max="10240" width="11.42578125" style="267"/>
    <col min="10241" max="10248" width="11.42578125" style="267" customWidth="1"/>
    <col min="10249" max="10496" width="11.42578125" style="267"/>
    <col min="10497" max="10504" width="11.42578125" style="267" customWidth="1"/>
    <col min="10505" max="10752" width="11.42578125" style="267"/>
    <col min="10753" max="10760" width="11.42578125" style="267" customWidth="1"/>
    <col min="10761" max="11008" width="11.42578125" style="267"/>
    <col min="11009" max="11016" width="11.42578125" style="267" customWidth="1"/>
    <col min="11017" max="11264" width="11.42578125" style="267"/>
    <col min="11265" max="11272" width="11.42578125" style="267" customWidth="1"/>
    <col min="11273" max="11520" width="11.42578125" style="267"/>
    <col min="11521" max="11528" width="11.42578125" style="267" customWidth="1"/>
    <col min="11529" max="11776" width="11.42578125" style="267"/>
    <col min="11777" max="11784" width="11.42578125" style="267" customWidth="1"/>
    <col min="11785" max="12032" width="11.42578125" style="267"/>
    <col min="12033" max="12040" width="11.42578125" style="267" customWidth="1"/>
    <col min="12041" max="12288" width="11.42578125" style="267"/>
    <col min="12289" max="12296" width="11.42578125" style="267" customWidth="1"/>
    <col min="12297" max="12544" width="11.42578125" style="267"/>
    <col min="12545" max="12552" width="11.42578125" style="267" customWidth="1"/>
    <col min="12553" max="12800" width="11.42578125" style="267"/>
    <col min="12801" max="12808" width="11.42578125" style="267" customWidth="1"/>
    <col min="12809" max="13056" width="11.42578125" style="267"/>
    <col min="13057" max="13064" width="11.42578125" style="267" customWidth="1"/>
    <col min="13065" max="13312" width="11.42578125" style="267"/>
    <col min="13313" max="13320" width="11.42578125" style="267" customWidth="1"/>
    <col min="13321" max="13568" width="11.42578125" style="267"/>
    <col min="13569" max="13576" width="11.42578125" style="267" customWidth="1"/>
    <col min="13577" max="13824" width="11.42578125" style="267"/>
    <col min="13825" max="13832" width="11.42578125" style="267" customWidth="1"/>
    <col min="13833" max="14080" width="11.42578125" style="267"/>
    <col min="14081" max="14088" width="11.42578125" style="267" customWidth="1"/>
    <col min="14089" max="14336" width="11.42578125" style="267"/>
    <col min="14337" max="14344" width="11.42578125" style="267" customWidth="1"/>
    <col min="14345" max="14592" width="11.42578125" style="267"/>
    <col min="14593" max="14600" width="11.42578125" style="267" customWidth="1"/>
    <col min="14601" max="14848" width="11.42578125" style="267"/>
    <col min="14849" max="14856" width="11.42578125" style="267" customWidth="1"/>
    <col min="14857" max="15104" width="11.42578125" style="267"/>
    <col min="15105" max="15112" width="11.42578125" style="267" customWidth="1"/>
    <col min="15113" max="15360" width="11.42578125" style="267"/>
    <col min="15361" max="15368" width="11.42578125" style="267" customWidth="1"/>
    <col min="15369" max="15616" width="11.42578125" style="267"/>
    <col min="15617" max="15624" width="11.42578125" style="267" customWidth="1"/>
    <col min="15625" max="15872" width="11.42578125" style="267"/>
    <col min="15873" max="15880" width="11.42578125" style="267" customWidth="1"/>
    <col min="15881" max="16128" width="11.42578125" style="267"/>
    <col min="16129" max="16136" width="11.42578125" style="267" customWidth="1"/>
    <col min="16137" max="16384" width="11.42578125" style="267"/>
  </cols>
  <sheetData>
    <row r="1" spans="1:9" ht="15.75" x14ac:dyDescent="0.25">
      <c r="A1" s="116" t="str">
        <f>'RECAP #9488.00'!B1</f>
        <v xml:space="preserve">DOC 4JD New Central Office Building </v>
      </c>
      <c r="B1" s="116"/>
      <c r="C1" s="193"/>
      <c r="D1" s="193"/>
      <c r="E1" s="193"/>
      <c r="F1" s="194"/>
      <c r="G1" s="194"/>
      <c r="H1" s="195"/>
      <c r="I1" s="195"/>
    </row>
    <row r="2" spans="1:9" ht="15.75" x14ac:dyDescent="0.25">
      <c r="A2" s="134" t="str">
        <f>'RECAP #9488.00'!B2</f>
        <v>Project # 9488.00</v>
      </c>
      <c r="B2" s="196"/>
      <c r="C2" s="193"/>
      <c r="D2" s="193"/>
      <c r="E2" s="193"/>
      <c r="F2" s="194"/>
      <c r="G2" s="194"/>
      <c r="H2" s="195"/>
      <c r="I2" s="195"/>
    </row>
    <row r="3" spans="1:9" ht="15.75" x14ac:dyDescent="0.25">
      <c r="A3" s="197" t="str">
        <f>'RECAP #9488.00'!B3</f>
        <v>Program code 948800</v>
      </c>
      <c r="B3" s="196"/>
      <c r="C3" s="193"/>
      <c r="D3" s="198" t="str">
        <f>'RECAP #9488.00'!E3</f>
        <v>Major Program 4B01</v>
      </c>
      <c r="E3" s="193"/>
      <c r="F3" s="194"/>
      <c r="G3" s="194"/>
      <c r="H3" s="195"/>
      <c r="I3" s="195"/>
    </row>
    <row r="4" spans="1:9" ht="15.75" x14ac:dyDescent="0.25">
      <c r="A4" s="116" t="s">
        <v>237</v>
      </c>
      <c r="B4" s="134"/>
      <c r="C4" s="195"/>
      <c r="D4" s="199" t="s">
        <v>238</v>
      </c>
      <c r="E4" s="194"/>
      <c r="F4" s="194"/>
      <c r="G4" s="194"/>
      <c r="H4" s="195"/>
      <c r="I4" s="195"/>
    </row>
    <row r="5" spans="1:9" ht="15.75" x14ac:dyDescent="0.25">
      <c r="A5" s="200" t="s">
        <v>147</v>
      </c>
      <c r="B5" s="195"/>
      <c r="C5" s="201"/>
      <c r="D5" s="140" t="s">
        <v>239</v>
      </c>
      <c r="E5" s="145"/>
      <c r="F5" s="194"/>
      <c r="G5" s="194"/>
      <c r="H5" s="195"/>
      <c r="I5" s="195"/>
    </row>
    <row r="6" spans="1:9" ht="15.75" x14ac:dyDescent="0.25">
      <c r="A6" s="134" t="str">
        <f>'RECAP #9488.00'!B6</f>
        <v>Project Manager - Jennie E</v>
      </c>
      <c r="B6" s="134"/>
      <c r="C6" s="202"/>
      <c r="D6" s="300" t="s">
        <v>144</v>
      </c>
      <c r="E6" s="145"/>
      <c r="F6" s="146"/>
      <c r="G6" s="194"/>
      <c r="H6" s="195"/>
      <c r="I6" s="195"/>
    </row>
    <row r="7" spans="1:9" ht="15.75" x14ac:dyDescent="0.25">
      <c r="A7" s="195"/>
      <c r="B7" s="203"/>
      <c r="C7" s="203"/>
      <c r="D7" s="195"/>
      <c r="E7" s="146"/>
      <c r="F7" s="146"/>
      <c r="G7" s="194"/>
      <c r="H7" s="195"/>
      <c r="I7" s="195" t="s">
        <v>3</v>
      </c>
    </row>
    <row r="8" spans="1:9" ht="32.25" thickBot="1" x14ac:dyDescent="0.3">
      <c r="A8" s="204" t="s">
        <v>49</v>
      </c>
      <c r="B8" s="205" t="s">
        <v>4</v>
      </c>
      <c r="C8" s="226" t="s">
        <v>11</v>
      </c>
      <c r="D8" s="192" t="s">
        <v>50</v>
      </c>
      <c r="E8" s="192" t="s">
        <v>51</v>
      </c>
      <c r="F8" s="192" t="s">
        <v>52</v>
      </c>
      <c r="G8" s="192" t="s">
        <v>53</v>
      </c>
      <c r="H8" s="192" t="s">
        <v>12</v>
      </c>
      <c r="I8" s="195" t="s">
        <v>3</v>
      </c>
    </row>
    <row r="9" spans="1:9" s="389" customFormat="1" ht="12.75" customHeight="1" x14ac:dyDescent="0.25">
      <c r="A9" s="382" t="s">
        <v>251</v>
      </c>
      <c r="B9" s="383">
        <v>45930</v>
      </c>
      <c r="C9" s="391" t="s">
        <v>146</v>
      </c>
      <c r="D9" s="385">
        <v>71389.88</v>
      </c>
      <c r="E9" s="386">
        <f>D9</f>
        <v>71389.88</v>
      </c>
      <c r="F9" s="387"/>
      <c r="G9" s="387"/>
      <c r="H9" s="387">
        <f>E9</f>
        <v>71389.88</v>
      </c>
      <c r="I9" s="388"/>
    </row>
    <row r="10" spans="1:9" s="389" customFormat="1" ht="12.75" customHeight="1" x14ac:dyDescent="0.2">
      <c r="A10" s="382" t="s">
        <v>350</v>
      </c>
      <c r="B10" s="390">
        <v>45995</v>
      </c>
      <c r="C10" s="391" t="s">
        <v>351</v>
      </c>
      <c r="D10" s="386"/>
      <c r="E10" s="386">
        <f t="shared" ref="E10:E21" si="0">E9+D10</f>
        <v>71389.88</v>
      </c>
      <c r="F10" s="216">
        <v>2720.91</v>
      </c>
      <c r="G10" s="387">
        <f t="shared" ref="G10:G21" si="1">G9+F10</f>
        <v>2720.91</v>
      </c>
      <c r="H10" s="387">
        <f t="shared" ref="H10:H21" si="2">H9-F10+D10</f>
        <v>68668.97</v>
      </c>
      <c r="I10" s="388"/>
    </row>
    <row r="11" spans="1:9" s="389" customFormat="1" ht="12.75" customHeight="1" x14ac:dyDescent="0.2">
      <c r="A11" s="382" t="s">
        <v>407</v>
      </c>
      <c r="B11" s="383">
        <v>46031</v>
      </c>
      <c r="C11" s="391" t="s">
        <v>408</v>
      </c>
      <c r="D11" s="386"/>
      <c r="E11" s="386">
        <f t="shared" si="0"/>
        <v>71389.88</v>
      </c>
      <c r="F11" s="216">
        <v>14355.26</v>
      </c>
      <c r="G11" s="387">
        <f t="shared" si="1"/>
        <v>17076.169999999998</v>
      </c>
      <c r="H11" s="387">
        <f t="shared" si="2"/>
        <v>54313.71</v>
      </c>
      <c r="I11" s="388"/>
    </row>
    <row r="12" spans="1:9" s="389" customFormat="1" ht="12.75" customHeight="1" x14ac:dyDescent="0.2">
      <c r="A12" s="382" t="s">
        <v>470</v>
      </c>
      <c r="B12" s="383">
        <v>46056</v>
      </c>
      <c r="C12" s="391" t="s">
        <v>471</v>
      </c>
      <c r="D12" s="386"/>
      <c r="E12" s="386">
        <f t="shared" si="0"/>
        <v>71389.88</v>
      </c>
      <c r="F12" s="216">
        <v>8929.44</v>
      </c>
      <c r="G12" s="387">
        <f t="shared" si="1"/>
        <v>26005.61</v>
      </c>
      <c r="H12" s="387">
        <f t="shared" si="2"/>
        <v>45384.27</v>
      </c>
      <c r="I12" s="388"/>
    </row>
    <row r="13" spans="1:9" s="389" customFormat="1" ht="12.75" customHeight="1" x14ac:dyDescent="0.2">
      <c r="A13" s="382" t="s">
        <v>529</v>
      </c>
      <c r="B13" s="383">
        <v>46084</v>
      </c>
      <c r="C13" s="391" t="s">
        <v>530</v>
      </c>
      <c r="D13" s="386"/>
      <c r="E13" s="386">
        <f t="shared" si="0"/>
        <v>71389.88</v>
      </c>
      <c r="F13" s="216">
        <v>7930.4</v>
      </c>
      <c r="G13" s="387">
        <f t="shared" si="1"/>
        <v>33936.01</v>
      </c>
      <c r="H13" s="387">
        <f t="shared" si="2"/>
        <v>37453.869999999995</v>
      </c>
      <c r="I13" s="388"/>
    </row>
    <row r="14" spans="1:9" s="389" customFormat="1" ht="12.75" customHeight="1" x14ac:dyDescent="0.2">
      <c r="A14" s="382" t="s">
        <v>629</v>
      </c>
      <c r="B14" s="383">
        <v>46121</v>
      </c>
      <c r="C14" s="391" t="s">
        <v>630</v>
      </c>
      <c r="D14" s="386"/>
      <c r="E14" s="386">
        <f t="shared" si="0"/>
        <v>71389.88</v>
      </c>
      <c r="F14" s="216">
        <v>7678.84</v>
      </c>
      <c r="G14" s="387">
        <f t="shared" si="1"/>
        <v>41614.850000000006</v>
      </c>
      <c r="H14" s="387">
        <f t="shared" si="2"/>
        <v>29775.029999999995</v>
      </c>
      <c r="I14" s="388"/>
    </row>
    <row r="15" spans="1:9" s="389" customFormat="1" ht="12.75" customHeight="1" x14ac:dyDescent="0.2">
      <c r="A15" s="382" t="s">
        <v>783</v>
      </c>
      <c r="B15" s="383">
        <v>46164</v>
      </c>
      <c r="C15" s="391" t="s">
        <v>784</v>
      </c>
      <c r="D15" s="386"/>
      <c r="E15" s="386">
        <f t="shared" si="0"/>
        <v>71389.88</v>
      </c>
      <c r="F15" s="216">
        <v>15413.63</v>
      </c>
      <c r="G15" s="387">
        <f t="shared" si="1"/>
        <v>57028.480000000003</v>
      </c>
      <c r="H15" s="387">
        <f t="shared" si="2"/>
        <v>14361.399999999996</v>
      </c>
      <c r="I15" s="388"/>
    </row>
    <row r="16" spans="1:9" s="389" customFormat="1" ht="12.75" customHeight="1" x14ac:dyDescent="0.2">
      <c r="A16" s="382" t="s">
        <v>867</v>
      </c>
      <c r="B16" s="383">
        <v>46189</v>
      </c>
      <c r="C16" s="391" t="s">
        <v>868</v>
      </c>
      <c r="D16" s="386"/>
      <c r="E16" s="386">
        <f t="shared" si="0"/>
        <v>71389.88</v>
      </c>
      <c r="F16" s="216">
        <v>5780.15</v>
      </c>
      <c r="G16" s="387">
        <f t="shared" si="1"/>
        <v>62808.630000000005</v>
      </c>
      <c r="H16" s="387">
        <f t="shared" si="2"/>
        <v>8581.2499999999964</v>
      </c>
      <c r="I16" s="388"/>
    </row>
    <row r="17" spans="1:9" s="389" customFormat="1" ht="12.75" customHeight="1" x14ac:dyDescent="0.25">
      <c r="A17" s="382" t="s">
        <v>967</v>
      </c>
      <c r="B17" s="383">
        <v>46209</v>
      </c>
      <c r="C17" s="391" t="s">
        <v>968</v>
      </c>
      <c r="D17" s="385">
        <v>-637</v>
      </c>
      <c r="E17" s="386">
        <f t="shared" si="0"/>
        <v>70752.88</v>
      </c>
      <c r="F17" s="392">
        <v>7944.25</v>
      </c>
      <c r="G17" s="387">
        <f t="shared" si="1"/>
        <v>70752.88</v>
      </c>
      <c r="H17" s="387">
        <f t="shared" si="2"/>
        <v>-3.637978807091713E-12</v>
      </c>
      <c r="I17" s="388"/>
    </row>
    <row r="18" spans="1:9" s="389" customFormat="1" ht="12.75" customHeight="1" x14ac:dyDescent="0.25">
      <c r="A18" s="382"/>
      <c r="B18" s="383"/>
      <c r="C18" s="391"/>
      <c r="D18" s="386"/>
      <c r="E18" s="386">
        <f t="shared" si="0"/>
        <v>70752.88</v>
      </c>
      <c r="F18" s="392"/>
      <c r="G18" s="387">
        <f t="shared" si="1"/>
        <v>70752.88</v>
      </c>
      <c r="H18" s="387">
        <f t="shared" si="2"/>
        <v>-3.637978807091713E-12</v>
      </c>
      <c r="I18" s="388"/>
    </row>
    <row r="19" spans="1:9" s="389" customFormat="1" ht="12.75" customHeight="1" x14ac:dyDescent="0.25">
      <c r="A19" s="382"/>
      <c r="B19" s="383"/>
      <c r="C19" s="391"/>
      <c r="D19" s="386"/>
      <c r="E19" s="386">
        <f t="shared" si="0"/>
        <v>70752.88</v>
      </c>
      <c r="F19" s="387"/>
      <c r="G19" s="387">
        <f t="shared" si="1"/>
        <v>70752.88</v>
      </c>
      <c r="H19" s="387">
        <f t="shared" si="2"/>
        <v>-3.637978807091713E-12</v>
      </c>
      <c r="I19" s="388"/>
    </row>
    <row r="20" spans="1:9" s="389" customFormat="1" ht="12.75" customHeight="1" x14ac:dyDescent="0.25">
      <c r="A20" s="382"/>
      <c r="B20" s="383"/>
      <c r="C20" s="391"/>
      <c r="D20" s="386"/>
      <c r="E20" s="386">
        <f t="shared" si="0"/>
        <v>70752.88</v>
      </c>
      <c r="F20" s="387"/>
      <c r="G20" s="387">
        <f t="shared" si="1"/>
        <v>70752.88</v>
      </c>
      <c r="H20" s="387">
        <f t="shared" si="2"/>
        <v>-3.637978807091713E-12</v>
      </c>
      <c r="I20" s="388"/>
    </row>
    <row r="21" spans="1:9" s="389" customFormat="1" ht="12.75" customHeight="1" x14ac:dyDescent="0.25">
      <c r="A21" s="382"/>
      <c r="B21" s="383"/>
      <c r="C21" s="393"/>
      <c r="D21" s="386"/>
      <c r="E21" s="386">
        <f t="shared" si="0"/>
        <v>70752.88</v>
      </c>
      <c r="F21" s="387"/>
      <c r="G21" s="387">
        <f t="shared" si="1"/>
        <v>70752.88</v>
      </c>
      <c r="H21" s="387">
        <f t="shared" si="2"/>
        <v>-3.637978807091713E-12</v>
      </c>
      <c r="I21" s="388"/>
    </row>
    <row r="22" spans="1:9" s="389" customFormat="1" ht="12.75" customHeight="1" x14ac:dyDescent="0.25">
      <c r="A22" s="382"/>
      <c r="B22" s="391"/>
      <c r="C22" s="372"/>
      <c r="D22" s="387"/>
      <c r="E22" s="387"/>
      <c r="F22" s="387"/>
      <c r="G22" s="387"/>
      <c r="H22" s="387"/>
      <c r="I22" s="388"/>
    </row>
    <row r="23" spans="1:9" s="389" customFormat="1" ht="12.75" customHeight="1" thickBot="1" x14ac:dyDescent="0.3">
      <c r="A23" s="382"/>
      <c r="B23" s="394"/>
      <c r="C23" s="395" t="s">
        <v>54</v>
      </c>
      <c r="D23" s="396">
        <f>SUM(D9:D22)</f>
        <v>70752.88</v>
      </c>
      <c r="E23" s="396"/>
      <c r="F23" s="396">
        <f>SUM(F9:F22)</f>
        <v>70752.88</v>
      </c>
      <c r="G23" s="396"/>
      <c r="H23" s="396">
        <f>D23-F23</f>
        <v>0</v>
      </c>
      <c r="I23" s="397" t="s">
        <v>341</v>
      </c>
    </row>
    <row r="24" spans="1:9" s="389" customFormat="1" ht="12.75" customHeight="1" thickTop="1" x14ac:dyDescent="0.25">
      <c r="A24" s="382"/>
      <c r="B24" s="391"/>
      <c r="C24" s="372"/>
      <c r="D24" s="387"/>
      <c r="E24" s="387"/>
      <c r="F24" s="387"/>
      <c r="G24" s="387"/>
      <c r="H24" s="387"/>
      <c r="I24" s="388"/>
    </row>
    <row r="25" spans="1:9" s="389" customFormat="1" ht="12.75" customHeight="1" x14ac:dyDescent="0.25">
      <c r="A25" s="382"/>
      <c r="B25" s="391"/>
      <c r="C25" s="372"/>
      <c r="D25" s="387"/>
      <c r="E25" s="387"/>
      <c r="F25" s="387"/>
      <c r="G25" s="387"/>
      <c r="H25" s="387"/>
      <c r="I25" s="388"/>
    </row>
    <row r="26" spans="1:9" s="389" customFormat="1" ht="12.75" customHeight="1" x14ac:dyDescent="0.25">
      <c r="A26" s="382"/>
      <c r="B26" s="391"/>
      <c r="C26" s="372" t="s">
        <v>252</v>
      </c>
      <c r="D26" s="387">
        <v>63389.88</v>
      </c>
      <c r="E26" s="387"/>
      <c r="F26" s="387">
        <f>2599.91+14355.26+8929.44+7930.4+7557.84+15413.63+5659.15+944.25</f>
        <v>63389.880000000005</v>
      </c>
      <c r="G26" s="387"/>
      <c r="H26" s="387">
        <f>D26-F26</f>
        <v>0</v>
      </c>
      <c r="I26" s="388"/>
    </row>
    <row r="27" spans="1:9" s="389" customFormat="1" ht="12.75" customHeight="1" x14ac:dyDescent="0.25">
      <c r="A27" s="382"/>
      <c r="B27" s="391"/>
      <c r="C27" s="372" t="s">
        <v>253</v>
      </c>
      <c r="D27" s="387">
        <f>1000-637</f>
        <v>363</v>
      </c>
      <c r="E27" s="387"/>
      <c r="F27" s="387">
        <f>121+121+121</f>
        <v>363</v>
      </c>
      <c r="G27" s="387"/>
      <c r="H27" s="387">
        <f>D27-F27</f>
        <v>0</v>
      </c>
      <c r="I27" s="388"/>
    </row>
    <row r="28" spans="1:9" s="389" customFormat="1" ht="12.75" customHeight="1" x14ac:dyDescent="0.25">
      <c r="A28" s="382"/>
      <c r="B28" s="391"/>
      <c r="C28" s="372" t="s">
        <v>254</v>
      </c>
      <c r="D28" s="387">
        <v>7000</v>
      </c>
      <c r="E28" s="398"/>
      <c r="F28" s="387">
        <v>7000</v>
      </c>
      <c r="G28" s="398"/>
      <c r="H28" s="387">
        <f>D28-F28</f>
        <v>0</v>
      </c>
      <c r="I28" s="388"/>
    </row>
    <row r="29" spans="1:9" s="389" customFormat="1" ht="12.75" customHeight="1" thickBot="1" x14ac:dyDescent="0.3">
      <c r="A29" s="382"/>
      <c r="B29" s="391"/>
      <c r="C29" s="399" t="s">
        <v>157</v>
      </c>
      <c r="D29" s="400">
        <f>SUM(D26:D28)</f>
        <v>70752.88</v>
      </c>
      <c r="E29" s="392"/>
      <c r="F29" s="400">
        <f>SUM(F26:F28)</f>
        <v>70752.88</v>
      </c>
      <c r="G29" s="392"/>
      <c r="H29" s="400">
        <f>SUM(H26:H28)</f>
        <v>0</v>
      </c>
      <c r="I29" s="388"/>
    </row>
    <row r="30" spans="1:9" s="389" customFormat="1" ht="12.75" customHeight="1" thickTop="1" x14ac:dyDescent="0.25"/>
    <row r="31" spans="1:9" s="389" customFormat="1" ht="12.75" customHeight="1" x14ac:dyDescent="0.25"/>
    <row r="32" spans="1:9" s="389" customFormat="1" ht="12.75" customHeight="1" x14ac:dyDescent="0.25"/>
    <row r="33" s="389" customFormat="1" ht="12.75" customHeight="1" x14ac:dyDescent="0.25"/>
    <row r="34" s="389"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F7C41-834E-4EA5-946C-C7FC30228E60}">
  <sheetPr codeName="Sheet66">
    <pageSetUpPr fitToPage="1"/>
  </sheetPr>
  <dimension ref="A1:J131"/>
  <sheetViews>
    <sheetView topLeftCell="A8" zoomScaleNormal="100" workbookViewId="0">
      <selection activeCell="G30" sqref="G30:G32"/>
    </sheetView>
  </sheetViews>
  <sheetFormatPr defaultColWidth="11.42578125" defaultRowHeight="15" customHeight="1" x14ac:dyDescent="0.25"/>
  <cols>
    <col min="1" max="1" width="24.5703125" customWidth="1"/>
    <col min="2" max="3" width="9.42578125" customWidth="1"/>
    <col min="4" max="4" width="40.7109375" customWidth="1"/>
    <col min="5" max="5" width="14.28515625" customWidth="1"/>
    <col min="6" max="6" width="13.5703125" customWidth="1"/>
    <col min="7" max="7" width="12.42578125" customWidth="1"/>
    <col min="8" max="8" width="10.5703125" customWidth="1"/>
    <col min="9" max="9" width="16.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15.75" x14ac:dyDescent="0.25">
      <c r="A1" s="85" t="str">
        <f>'RECAP #9488.00'!B1</f>
        <v xml:space="preserve">DOC 4JD New Central Office Building </v>
      </c>
      <c r="B1" s="86"/>
      <c r="C1" s="86"/>
      <c r="D1" s="6"/>
      <c r="E1" s="6"/>
      <c r="F1" s="6"/>
      <c r="G1" s="132"/>
      <c r="H1" s="132"/>
      <c r="I1" s="133"/>
      <c r="J1" s="133"/>
    </row>
    <row r="2" spans="1:10" ht="15.75" x14ac:dyDescent="0.25">
      <c r="A2" s="88" t="str">
        <f>'RECAP #9488.00'!B2</f>
        <v>Project # 9488.00</v>
      </c>
      <c r="B2" s="87"/>
      <c r="C2" s="87"/>
      <c r="D2" s="6"/>
      <c r="E2" s="6"/>
      <c r="F2" s="6"/>
      <c r="G2" s="132"/>
      <c r="H2" s="132"/>
      <c r="I2" s="133"/>
      <c r="J2" s="133"/>
    </row>
    <row r="3" spans="1:10" ht="15.75" x14ac:dyDescent="0.25">
      <c r="A3" s="89" t="str">
        <f>'RECAP #9488.00'!B3</f>
        <v>Program code 948800</v>
      </c>
      <c r="B3" s="87"/>
      <c r="C3" s="87"/>
      <c r="D3" s="6"/>
      <c r="E3" s="90" t="str">
        <f>'RECAP #9488.00'!E3</f>
        <v>Major Program 4B01</v>
      </c>
      <c r="F3" s="6"/>
      <c r="G3" s="132"/>
      <c r="H3" s="132"/>
      <c r="I3" s="133"/>
      <c r="J3" s="133"/>
    </row>
    <row r="4" spans="1:10" ht="15.75" x14ac:dyDescent="0.25">
      <c r="A4" s="116" t="s">
        <v>41</v>
      </c>
      <c r="B4" s="134"/>
      <c r="C4" s="134"/>
      <c r="D4" s="135"/>
      <c r="E4" s="136" t="s">
        <v>55</v>
      </c>
      <c r="F4" s="132"/>
      <c r="G4" s="132"/>
      <c r="H4" s="132"/>
      <c r="I4" s="133"/>
      <c r="J4" s="133"/>
    </row>
    <row r="5" spans="1:10" ht="15.75" x14ac:dyDescent="0.25">
      <c r="A5" s="137" t="s">
        <v>65</v>
      </c>
      <c r="B5" s="138"/>
      <c r="C5" s="138"/>
      <c r="D5" s="139"/>
      <c r="E5" s="140"/>
      <c r="F5" s="141"/>
      <c r="G5" s="142"/>
      <c r="H5" s="142"/>
      <c r="I5" s="138"/>
      <c r="J5" s="133"/>
    </row>
    <row r="6" spans="1:10" ht="15.75" x14ac:dyDescent="0.25">
      <c r="A6" s="93" t="str">
        <f>'RECAP #9488.00'!B6</f>
        <v>Project Manager - Jennie E</v>
      </c>
      <c r="B6" s="93"/>
      <c r="C6" s="93"/>
      <c r="D6" s="143"/>
      <c r="E6" s="140" t="s">
        <v>113</v>
      </c>
      <c r="F6" s="145"/>
      <c r="G6" s="146"/>
      <c r="H6" s="142"/>
      <c r="I6" s="138"/>
      <c r="J6" s="133"/>
    </row>
    <row r="7" spans="1:10" ht="15.75" x14ac:dyDescent="0.25">
      <c r="A7" s="133"/>
      <c r="B7" s="147"/>
      <c r="C7" s="147"/>
      <c r="D7" s="147"/>
      <c r="E7" s="146" t="s">
        <v>3</v>
      </c>
      <c r="F7" s="146"/>
      <c r="G7" s="146"/>
      <c r="H7" s="142"/>
      <c r="I7" s="138"/>
      <c r="J7" s="133" t="s">
        <v>3</v>
      </c>
    </row>
    <row r="8" spans="1:10" ht="32.25" thickBot="1" x14ac:dyDescent="0.3">
      <c r="A8" s="148" t="s">
        <v>49</v>
      </c>
      <c r="B8" s="149" t="s">
        <v>4</v>
      </c>
      <c r="C8" s="163" t="s">
        <v>56</v>
      </c>
      <c r="D8" s="164" t="s">
        <v>57</v>
      </c>
      <c r="E8" s="151" t="s">
        <v>50</v>
      </c>
      <c r="F8" s="151" t="s">
        <v>51</v>
      </c>
      <c r="G8" s="151" t="s">
        <v>52</v>
      </c>
      <c r="H8" s="151" t="s">
        <v>53</v>
      </c>
      <c r="I8" s="151" t="s">
        <v>12</v>
      </c>
      <c r="J8" s="133" t="s">
        <v>3</v>
      </c>
    </row>
    <row r="9" spans="1:10" s="308" customFormat="1" ht="12.75" customHeight="1" x14ac:dyDescent="0.25">
      <c r="A9" s="361"/>
      <c r="B9" s="318"/>
      <c r="C9" s="318"/>
      <c r="D9" s="328" t="s">
        <v>95</v>
      </c>
      <c r="E9" s="186">
        <v>145000</v>
      </c>
      <c r="F9" s="320">
        <f>E9</f>
        <v>145000</v>
      </c>
      <c r="G9" s="321"/>
      <c r="H9" s="321"/>
      <c r="I9" s="321">
        <f>F9</f>
        <v>145000</v>
      </c>
      <c r="J9" s="322"/>
    </row>
    <row r="10" spans="1:10" s="308" customFormat="1" ht="12.75" customHeight="1" x14ac:dyDescent="0.25">
      <c r="A10" s="364" t="s">
        <v>213</v>
      </c>
      <c r="B10" s="318">
        <v>45908</v>
      </c>
      <c r="C10" s="404">
        <v>2507</v>
      </c>
      <c r="D10" s="402" t="s">
        <v>216</v>
      </c>
      <c r="E10" s="320"/>
      <c r="F10" s="320">
        <f>E10+F9</f>
        <v>145000</v>
      </c>
      <c r="G10" s="325">
        <v>85.66</v>
      </c>
      <c r="H10" s="321">
        <f t="shared" ref="H10:H32" si="0">H9+G10</f>
        <v>85.66</v>
      </c>
      <c r="I10" s="321">
        <f>I9-G10+E10</f>
        <v>144914.34</v>
      </c>
      <c r="J10" s="322"/>
    </row>
    <row r="11" spans="1:10" s="308" customFormat="1" ht="12.75" customHeight="1" x14ac:dyDescent="0.25">
      <c r="A11" s="364" t="s">
        <v>213</v>
      </c>
      <c r="B11" s="318">
        <v>45908</v>
      </c>
      <c r="C11" s="404">
        <v>9500</v>
      </c>
      <c r="D11" s="332" t="s">
        <v>217</v>
      </c>
      <c r="E11" s="320"/>
      <c r="F11" s="320">
        <f t="shared" ref="F11:F32" si="1">E11+F10</f>
        <v>145000</v>
      </c>
      <c r="G11" s="325">
        <v>657.1</v>
      </c>
      <c r="H11" s="321">
        <f t="shared" si="0"/>
        <v>742.76</v>
      </c>
      <c r="I11" s="321">
        <f t="shared" ref="I11:I32" si="2">I10-G11+E11</f>
        <v>144257.24</v>
      </c>
      <c r="J11" s="322"/>
    </row>
    <row r="12" spans="1:10" s="308" customFormat="1" ht="12.75" customHeight="1" x14ac:dyDescent="0.25">
      <c r="A12" s="364" t="s">
        <v>273</v>
      </c>
      <c r="B12" s="318">
        <v>45937</v>
      </c>
      <c r="C12" s="404" t="s">
        <v>274</v>
      </c>
      <c r="D12" s="402" t="s">
        <v>275</v>
      </c>
      <c r="E12" s="320"/>
      <c r="F12" s="320">
        <f t="shared" si="1"/>
        <v>145000</v>
      </c>
      <c r="G12" s="325">
        <v>132.44999999999999</v>
      </c>
      <c r="H12" s="321">
        <f t="shared" si="0"/>
        <v>875.21</v>
      </c>
      <c r="I12" s="321">
        <f t="shared" si="2"/>
        <v>144124.78999999998</v>
      </c>
      <c r="J12" s="322"/>
    </row>
    <row r="13" spans="1:10" s="308" customFormat="1" ht="12.75" customHeight="1" x14ac:dyDescent="0.25">
      <c r="A13" s="364" t="s">
        <v>273</v>
      </c>
      <c r="B13" s="318">
        <v>45937</v>
      </c>
      <c r="C13" s="404">
        <v>9500</v>
      </c>
      <c r="D13" s="332" t="s">
        <v>276</v>
      </c>
      <c r="E13" s="320"/>
      <c r="F13" s="320">
        <f t="shared" si="1"/>
        <v>145000</v>
      </c>
      <c r="G13" s="325">
        <v>681.1</v>
      </c>
      <c r="H13" s="321">
        <f t="shared" si="0"/>
        <v>1556.31</v>
      </c>
      <c r="I13" s="321">
        <f t="shared" si="2"/>
        <v>143443.68999999997</v>
      </c>
      <c r="J13" s="322"/>
    </row>
    <row r="14" spans="1:10" s="308" customFormat="1" ht="12.75" customHeight="1" x14ac:dyDescent="0.25">
      <c r="A14" s="364" t="s">
        <v>320</v>
      </c>
      <c r="B14" s="318">
        <v>45968</v>
      </c>
      <c r="C14" s="404" t="s">
        <v>274</v>
      </c>
      <c r="D14" s="402" t="s">
        <v>323</v>
      </c>
      <c r="E14" s="320"/>
      <c r="F14" s="320">
        <f t="shared" si="1"/>
        <v>145000</v>
      </c>
      <c r="G14" s="325">
        <v>212.65</v>
      </c>
      <c r="H14" s="321">
        <f t="shared" si="0"/>
        <v>1768.96</v>
      </c>
      <c r="I14" s="321">
        <f t="shared" si="2"/>
        <v>143231.03999999998</v>
      </c>
      <c r="J14" s="322"/>
    </row>
    <row r="15" spans="1:10" s="308" customFormat="1" ht="12.75" customHeight="1" x14ac:dyDescent="0.25">
      <c r="A15" s="364" t="s">
        <v>320</v>
      </c>
      <c r="B15" s="318">
        <v>45968</v>
      </c>
      <c r="C15" s="404">
        <v>9500</v>
      </c>
      <c r="D15" s="332" t="s">
        <v>324</v>
      </c>
      <c r="E15" s="320"/>
      <c r="F15" s="320">
        <f t="shared" si="1"/>
        <v>145000</v>
      </c>
      <c r="G15" s="325">
        <v>2112.8000000000002</v>
      </c>
      <c r="H15" s="321">
        <f t="shared" si="0"/>
        <v>3881.76</v>
      </c>
      <c r="I15" s="321">
        <f t="shared" si="2"/>
        <v>141118.24</v>
      </c>
      <c r="J15" s="322"/>
    </row>
    <row r="16" spans="1:10" s="308" customFormat="1" ht="12.75" customHeight="1" x14ac:dyDescent="0.25">
      <c r="A16" s="364" t="s">
        <v>383</v>
      </c>
      <c r="B16" s="318">
        <v>45996</v>
      </c>
      <c r="C16" s="320" t="s">
        <v>274</v>
      </c>
      <c r="D16" s="402" t="s">
        <v>384</v>
      </c>
      <c r="E16" s="320"/>
      <c r="F16" s="320">
        <f t="shared" si="1"/>
        <v>145000</v>
      </c>
      <c r="G16" s="325">
        <v>286.08999999999997</v>
      </c>
      <c r="H16" s="321">
        <f t="shared" si="0"/>
        <v>4167.8500000000004</v>
      </c>
      <c r="I16" s="321">
        <f t="shared" si="2"/>
        <v>140832.15</v>
      </c>
      <c r="J16" s="322"/>
    </row>
    <row r="17" spans="1:10" s="308" customFormat="1" ht="12.75" customHeight="1" x14ac:dyDescent="0.25">
      <c r="A17" s="364" t="s">
        <v>383</v>
      </c>
      <c r="B17" s="318">
        <v>45996</v>
      </c>
      <c r="C17" s="403">
        <v>9500</v>
      </c>
      <c r="D17" s="332" t="s">
        <v>385</v>
      </c>
      <c r="E17" s="320"/>
      <c r="F17" s="320">
        <f t="shared" si="1"/>
        <v>145000</v>
      </c>
      <c r="G17" s="325">
        <v>1818.7</v>
      </c>
      <c r="H17" s="321">
        <f t="shared" si="0"/>
        <v>5986.55</v>
      </c>
      <c r="I17" s="321">
        <f t="shared" si="2"/>
        <v>139013.44999999998</v>
      </c>
      <c r="J17" s="322"/>
    </row>
    <row r="18" spans="1:10" s="308" customFormat="1" ht="12.75" customHeight="1" x14ac:dyDescent="0.2">
      <c r="A18" s="171" t="s">
        <v>418</v>
      </c>
      <c r="B18" s="153">
        <v>46030</v>
      </c>
      <c r="C18" s="155" t="s">
        <v>274</v>
      </c>
      <c r="D18" s="181" t="s">
        <v>419</v>
      </c>
      <c r="E18" s="320"/>
      <c r="F18" s="320">
        <f t="shared" si="1"/>
        <v>145000</v>
      </c>
      <c r="G18" s="325">
        <v>225.29</v>
      </c>
      <c r="H18" s="321">
        <f t="shared" si="0"/>
        <v>6211.84</v>
      </c>
      <c r="I18" s="321">
        <f t="shared" si="2"/>
        <v>138788.15999999997</v>
      </c>
      <c r="J18" s="322"/>
    </row>
    <row r="19" spans="1:10" s="308" customFormat="1" ht="12.75" customHeight="1" x14ac:dyDescent="0.2">
      <c r="A19" s="171" t="s">
        <v>418</v>
      </c>
      <c r="B19" s="153">
        <v>46030</v>
      </c>
      <c r="C19" s="401">
        <v>9500</v>
      </c>
      <c r="D19" s="126" t="s">
        <v>420</v>
      </c>
      <c r="E19" s="320"/>
      <c r="F19" s="320">
        <f t="shared" si="1"/>
        <v>145000</v>
      </c>
      <c r="G19" s="325">
        <v>2555.5</v>
      </c>
      <c r="H19" s="321">
        <f t="shared" si="0"/>
        <v>8767.34</v>
      </c>
      <c r="I19" s="321">
        <f t="shared" si="2"/>
        <v>136232.65999999997</v>
      </c>
      <c r="J19" s="322"/>
    </row>
    <row r="20" spans="1:10" s="308" customFormat="1" ht="12.75" customHeight="1" x14ac:dyDescent="0.2">
      <c r="A20" s="171" t="s">
        <v>492</v>
      </c>
      <c r="B20" s="153">
        <v>46062</v>
      </c>
      <c r="C20" s="155" t="s">
        <v>274</v>
      </c>
      <c r="D20" s="181" t="s">
        <v>493</v>
      </c>
      <c r="E20" s="320"/>
      <c r="F20" s="320">
        <f t="shared" si="1"/>
        <v>145000</v>
      </c>
      <c r="G20" s="325">
        <v>140.6</v>
      </c>
      <c r="H20" s="321">
        <f t="shared" si="0"/>
        <v>8907.94</v>
      </c>
      <c r="I20" s="321">
        <f t="shared" si="2"/>
        <v>136092.05999999997</v>
      </c>
      <c r="J20" s="322"/>
    </row>
    <row r="21" spans="1:10" s="308" customFormat="1" ht="12.75" customHeight="1" x14ac:dyDescent="0.2">
      <c r="A21" s="171" t="s">
        <v>492</v>
      </c>
      <c r="B21" s="153">
        <v>46062</v>
      </c>
      <c r="C21" s="401">
        <v>9500</v>
      </c>
      <c r="D21" s="126" t="s">
        <v>494</v>
      </c>
      <c r="E21" s="320"/>
      <c r="F21" s="320">
        <f t="shared" si="1"/>
        <v>145000</v>
      </c>
      <c r="G21" s="325">
        <v>1751.3</v>
      </c>
      <c r="H21" s="321">
        <f t="shared" si="0"/>
        <v>10659.24</v>
      </c>
      <c r="I21" s="321">
        <f t="shared" si="2"/>
        <v>134340.75999999998</v>
      </c>
      <c r="J21" s="322"/>
    </row>
    <row r="22" spans="1:10" s="308" customFormat="1" ht="12.75" customHeight="1" x14ac:dyDescent="0.2">
      <c r="A22" s="171" t="s">
        <v>550</v>
      </c>
      <c r="B22" s="153">
        <v>46090</v>
      </c>
      <c r="C22" s="155" t="s">
        <v>274</v>
      </c>
      <c r="D22" s="181" t="s">
        <v>551</v>
      </c>
      <c r="E22" s="320"/>
      <c r="F22" s="320">
        <f t="shared" si="1"/>
        <v>145000</v>
      </c>
      <c r="G22" s="325">
        <v>316.06</v>
      </c>
      <c r="H22" s="321">
        <f t="shared" si="0"/>
        <v>10975.3</v>
      </c>
      <c r="I22" s="321">
        <f t="shared" si="2"/>
        <v>134024.69999999998</v>
      </c>
      <c r="J22" s="322"/>
    </row>
    <row r="23" spans="1:10" s="308" customFormat="1" ht="12.75" customHeight="1" x14ac:dyDescent="0.2">
      <c r="A23" s="171" t="s">
        <v>550</v>
      </c>
      <c r="B23" s="153">
        <v>46090</v>
      </c>
      <c r="C23" s="401">
        <v>9500</v>
      </c>
      <c r="D23" s="126" t="s">
        <v>552</v>
      </c>
      <c r="E23" s="320"/>
      <c r="F23" s="320">
        <f t="shared" si="1"/>
        <v>145000</v>
      </c>
      <c r="G23" s="325">
        <v>3645.7</v>
      </c>
      <c r="H23" s="321">
        <f t="shared" si="0"/>
        <v>14621</v>
      </c>
      <c r="I23" s="321">
        <f t="shared" si="2"/>
        <v>130378.99999999999</v>
      </c>
      <c r="J23" s="322"/>
    </row>
    <row r="24" spans="1:10" s="308" customFormat="1" ht="12.75" customHeight="1" x14ac:dyDescent="0.2">
      <c r="A24" s="171" t="s">
        <v>626</v>
      </c>
      <c r="B24" s="153">
        <v>46118</v>
      </c>
      <c r="C24" s="155" t="s">
        <v>274</v>
      </c>
      <c r="D24" s="181" t="s">
        <v>627</v>
      </c>
      <c r="E24" s="320"/>
      <c r="F24" s="320">
        <f t="shared" si="1"/>
        <v>145000</v>
      </c>
      <c r="G24" s="325">
        <v>259.58</v>
      </c>
      <c r="H24" s="321">
        <f t="shared" si="0"/>
        <v>14880.58</v>
      </c>
      <c r="I24" s="321">
        <f t="shared" si="2"/>
        <v>130119.41999999998</v>
      </c>
      <c r="J24" s="322"/>
    </row>
    <row r="25" spans="1:10" s="308" customFormat="1" ht="12.75" customHeight="1" x14ac:dyDescent="0.2">
      <c r="A25" s="171" t="s">
        <v>626</v>
      </c>
      <c r="B25" s="153">
        <v>46118</v>
      </c>
      <c r="C25" s="401">
        <v>9500</v>
      </c>
      <c r="D25" s="126" t="s">
        <v>628</v>
      </c>
      <c r="E25" s="320"/>
      <c r="F25" s="320">
        <f t="shared" si="1"/>
        <v>145000</v>
      </c>
      <c r="G25" s="325">
        <v>2105.6999999999998</v>
      </c>
      <c r="H25" s="321">
        <f t="shared" si="0"/>
        <v>16986.28</v>
      </c>
      <c r="I25" s="321">
        <f t="shared" si="2"/>
        <v>128013.71999999999</v>
      </c>
      <c r="J25" s="322"/>
    </row>
    <row r="26" spans="1:10" s="308" customFormat="1" ht="12.75" customHeight="1" x14ac:dyDescent="0.25">
      <c r="A26" s="171" t="s">
        <v>752</v>
      </c>
      <c r="B26" s="153">
        <v>46149</v>
      </c>
      <c r="C26" s="155" t="s">
        <v>274</v>
      </c>
      <c r="D26" s="181" t="s">
        <v>753</v>
      </c>
      <c r="E26"/>
      <c r="F26" s="320">
        <f t="shared" si="1"/>
        <v>145000</v>
      </c>
      <c r="G26" s="325">
        <v>326.85000000000002</v>
      </c>
      <c r="H26" s="321">
        <f t="shared" si="0"/>
        <v>17313.129999999997</v>
      </c>
      <c r="I26" s="321">
        <f t="shared" si="2"/>
        <v>127686.86999999998</v>
      </c>
      <c r="J26" s="322"/>
    </row>
    <row r="27" spans="1:10" s="308" customFormat="1" ht="12.75" customHeight="1" x14ac:dyDescent="0.25">
      <c r="A27" s="171" t="s">
        <v>752</v>
      </c>
      <c r="B27" s="153">
        <v>46149</v>
      </c>
      <c r="C27" s="401">
        <v>9500</v>
      </c>
      <c r="D27" s="126" t="s">
        <v>754</v>
      </c>
      <c r="E27"/>
      <c r="F27" s="320">
        <f t="shared" si="1"/>
        <v>145000</v>
      </c>
      <c r="G27" s="325">
        <v>3414.4</v>
      </c>
      <c r="H27" s="321">
        <f t="shared" si="0"/>
        <v>20727.53</v>
      </c>
      <c r="I27" s="321">
        <f t="shared" si="2"/>
        <v>124272.46999999999</v>
      </c>
      <c r="J27" s="322"/>
    </row>
    <row r="28" spans="1:10" s="308" customFormat="1" ht="12.75" customHeight="1" x14ac:dyDescent="0.25">
      <c r="A28" s="171" t="s">
        <v>844</v>
      </c>
      <c r="B28" s="153">
        <v>46181</v>
      </c>
      <c r="C28" s="155" t="s">
        <v>274</v>
      </c>
      <c r="D28" s="181" t="s">
        <v>845</v>
      </c>
      <c r="E28"/>
      <c r="F28" s="320">
        <f t="shared" si="1"/>
        <v>145000</v>
      </c>
      <c r="G28" s="325">
        <v>148.15</v>
      </c>
      <c r="H28" s="321">
        <f t="shared" si="0"/>
        <v>20875.68</v>
      </c>
      <c r="I28" s="321">
        <f t="shared" si="2"/>
        <v>124124.31999999999</v>
      </c>
      <c r="J28" s="322"/>
    </row>
    <row r="29" spans="1:10" s="308" customFormat="1" ht="12.75" customHeight="1" x14ac:dyDescent="0.25">
      <c r="A29" s="171" t="s">
        <v>844</v>
      </c>
      <c r="B29" s="153">
        <v>46181</v>
      </c>
      <c r="C29" s="401">
        <v>9500</v>
      </c>
      <c r="D29" s="126" t="s">
        <v>846</v>
      </c>
      <c r="E29"/>
      <c r="F29" s="320">
        <f t="shared" si="1"/>
        <v>145000</v>
      </c>
      <c r="G29" s="325">
        <v>1874.7</v>
      </c>
      <c r="H29" s="321">
        <f t="shared" si="0"/>
        <v>22750.38</v>
      </c>
      <c r="I29" s="321">
        <f t="shared" si="2"/>
        <v>122249.62</v>
      </c>
      <c r="J29" s="322"/>
    </row>
    <row r="30" spans="1:10" s="308" customFormat="1" ht="12.75" customHeight="1" x14ac:dyDescent="0.25">
      <c r="A30" s="171" t="s">
        <v>989</v>
      </c>
      <c r="B30" s="153">
        <v>46211</v>
      </c>
      <c r="C30" s="155" t="s">
        <v>274</v>
      </c>
      <c r="D30" s="181" t="s">
        <v>992</v>
      </c>
      <c r="E30"/>
      <c r="F30" s="320">
        <f t="shared" si="1"/>
        <v>145000</v>
      </c>
      <c r="G30" s="325">
        <v>140.15</v>
      </c>
      <c r="H30" s="321">
        <f t="shared" si="0"/>
        <v>22890.530000000002</v>
      </c>
      <c r="I30" s="321">
        <f t="shared" si="2"/>
        <v>122109.47</v>
      </c>
      <c r="J30" s="322"/>
    </row>
    <row r="31" spans="1:10" s="308" customFormat="1" ht="12.75" customHeight="1" x14ac:dyDescent="0.25">
      <c r="A31" s="171" t="s">
        <v>989</v>
      </c>
      <c r="B31" s="153">
        <v>46211</v>
      </c>
      <c r="C31" s="401">
        <v>9500</v>
      </c>
      <c r="D31" s="126" t="s">
        <v>993</v>
      </c>
      <c r="E31"/>
      <c r="F31" s="320">
        <f t="shared" si="1"/>
        <v>145000</v>
      </c>
      <c r="G31" s="325">
        <v>1782.5</v>
      </c>
      <c r="H31" s="321">
        <f t="shared" si="0"/>
        <v>24673.030000000002</v>
      </c>
      <c r="I31" s="321">
        <f t="shared" si="2"/>
        <v>120326.97</v>
      </c>
      <c r="J31" s="322"/>
    </row>
    <row r="32" spans="1:10" s="308" customFormat="1" ht="12.75" customHeight="1" x14ac:dyDescent="0.2">
      <c r="A32" s="171" t="s">
        <v>1036</v>
      </c>
      <c r="B32" s="153">
        <v>46218</v>
      </c>
      <c r="C32" s="155" t="s">
        <v>274</v>
      </c>
      <c r="D32" s="181" t="s">
        <v>1037</v>
      </c>
      <c r="E32" s="320"/>
      <c r="F32" s="320">
        <f t="shared" si="1"/>
        <v>145000</v>
      </c>
      <c r="G32" s="325">
        <v>56.02</v>
      </c>
      <c r="H32" s="321">
        <f t="shared" si="0"/>
        <v>24729.050000000003</v>
      </c>
      <c r="I32" s="321">
        <f t="shared" si="2"/>
        <v>120270.95</v>
      </c>
      <c r="J32" s="322"/>
    </row>
    <row r="33" spans="1:10" s="308" customFormat="1" ht="12.75" customHeight="1" x14ac:dyDescent="0.25">
      <c r="A33" s="332"/>
      <c r="B33" s="324"/>
      <c r="C33" s="404"/>
      <c r="D33" s="328"/>
      <c r="E33" s="321"/>
      <c r="F33" s="321"/>
      <c r="G33" s="321"/>
      <c r="H33" s="321"/>
      <c r="I33" s="321"/>
      <c r="J33" s="322"/>
    </row>
    <row r="34" spans="1:10" s="308" customFormat="1" ht="12.75" customHeight="1" thickBot="1" x14ac:dyDescent="0.3">
      <c r="A34" s="332"/>
      <c r="B34" s="329"/>
      <c r="C34" s="404"/>
      <c r="D34" s="330" t="s">
        <v>54</v>
      </c>
      <c r="E34" s="184">
        <f>SUM(E9:E33)</f>
        <v>145000</v>
      </c>
      <c r="F34" s="184"/>
      <c r="G34" s="184">
        <f>SUM(G9:G33)</f>
        <v>24729.050000000003</v>
      </c>
      <c r="H34" s="184"/>
      <c r="I34" s="184">
        <f>SUM(E34-G34)</f>
        <v>120270.95</v>
      </c>
      <c r="J34" s="322"/>
    </row>
    <row r="35" spans="1:10" s="308" customFormat="1" ht="12.75" customHeight="1" thickTop="1" x14ac:dyDescent="0.25"/>
    <row r="36" spans="1:10" s="308" customFormat="1" ht="12.75" customHeight="1" x14ac:dyDescent="0.25"/>
    <row r="37" spans="1:10" s="308" customFormat="1" ht="12.75" customHeight="1" x14ac:dyDescent="0.25"/>
    <row r="38" spans="1:10" s="308" customFormat="1" ht="12.75" customHeight="1" x14ac:dyDescent="0.25"/>
    <row r="39" spans="1:10" s="308" customFormat="1" ht="12.75" customHeight="1" x14ac:dyDescent="0.25"/>
    <row r="40" spans="1:10" s="308" customFormat="1" ht="12.75" customHeight="1" x14ac:dyDescent="0.25"/>
    <row r="41" spans="1:10" s="308" customFormat="1" ht="12.75" customHeight="1" x14ac:dyDescent="0.25"/>
    <row r="42" spans="1:10" s="308" customFormat="1" ht="12.75" customHeight="1" x14ac:dyDescent="0.25"/>
    <row r="43" spans="1:10" s="308" customFormat="1" ht="12.75" customHeight="1" x14ac:dyDescent="0.25"/>
    <row r="44" spans="1:10" s="308" customFormat="1" ht="12.75" customHeight="1" x14ac:dyDescent="0.25"/>
    <row r="45" spans="1:10" s="308" customFormat="1" ht="12.75" customHeight="1" x14ac:dyDescent="0.25"/>
    <row r="46" spans="1:10" s="308" customFormat="1" ht="12.75" customHeight="1" x14ac:dyDescent="0.25"/>
    <row r="47" spans="1:10" s="308" customFormat="1" ht="12.75" customHeight="1" x14ac:dyDescent="0.25"/>
    <row r="48" spans="1:10" s="308" customFormat="1" ht="12.75" customHeight="1" x14ac:dyDescent="0.25"/>
    <row r="49" s="308" customFormat="1" ht="12.75" customHeight="1" x14ac:dyDescent="0.25"/>
    <row r="50" s="308" customFormat="1" ht="12.75" customHeight="1" x14ac:dyDescent="0.25"/>
    <row r="51" s="308" customFormat="1" ht="12.75" customHeight="1" x14ac:dyDescent="0.25"/>
    <row r="52" s="308" customFormat="1" ht="12.75" customHeight="1" x14ac:dyDescent="0.25"/>
    <row r="53" s="308" customFormat="1" ht="12.75" customHeight="1" x14ac:dyDescent="0.25"/>
    <row r="54" s="308" customFormat="1" ht="12.75" customHeight="1" x14ac:dyDescent="0.25"/>
    <row r="55" s="308" customFormat="1" ht="12.75" customHeight="1" x14ac:dyDescent="0.25"/>
    <row r="56" s="308" customFormat="1" ht="12.75" customHeight="1" x14ac:dyDescent="0.25"/>
    <row r="57" s="308" customFormat="1" ht="12.75" customHeight="1" x14ac:dyDescent="0.25"/>
    <row r="58" s="308" customFormat="1" ht="12.75" customHeight="1" x14ac:dyDescent="0.25"/>
    <row r="59" s="308" customFormat="1" ht="12.75" customHeight="1" x14ac:dyDescent="0.25"/>
    <row r="60" s="308" customFormat="1" ht="12.75" customHeight="1" x14ac:dyDescent="0.25"/>
    <row r="61" s="308" customFormat="1" ht="12.75" customHeight="1" x14ac:dyDescent="0.25"/>
    <row r="62" s="308" customFormat="1" ht="12.75" customHeight="1" x14ac:dyDescent="0.25"/>
    <row r="63" s="308" customFormat="1" ht="12.75" customHeight="1" x14ac:dyDescent="0.25"/>
    <row r="64" s="308" customFormat="1" ht="12.75" customHeight="1" x14ac:dyDescent="0.25"/>
    <row r="65" s="308" customFormat="1" ht="12.75" customHeight="1" x14ac:dyDescent="0.25"/>
    <row r="66" s="308" customFormat="1" ht="12.75" customHeight="1" x14ac:dyDescent="0.25"/>
    <row r="67" s="308" customFormat="1" ht="12.75" customHeight="1" x14ac:dyDescent="0.25"/>
    <row r="68" s="308" customFormat="1" ht="12.75" customHeight="1" x14ac:dyDescent="0.25"/>
    <row r="69" s="308" customFormat="1" ht="12.75" customHeight="1" x14ac:dyDescent="0.25"/>
    <row r="70" s="308" customFormat="1" ht="12.75" customHeight="1" x14ac:dyDescent="0.25"/>
    <row r="71" s="308" customFormat="1" ht="12.75" customHeight="1" x14ac:dyDescent="0.25"/>
    <row r="72" s="308" customFormat="1" ht="12.75" customHeight="1" x14ac:dyDescent="0.25"/>
    <row r="73" s="308" customFormat="1" ht="12.75" customHeight="1" x14ac:dyDescent="0.25"/>
    <row r="74" s="308" customFormat="1" ht="12.75" customHeight="1" x14ac:dyDescent="0.25"/>
    <row r="75" s="308" customFormat="1" ht="12.75" customHeight="1" x14ac:dyDescent="0.25"/>
    <row r="76" s="308" customFormat="1" ht="12.75" customHeight="1" x14ac:dyDescent="0.25"/>
    <row r="77" s="308" customFormat="1" ht="12.75" customHeight="1" x14ac:dyDescent="0.25"/>
    <row r="78" s="308" customFormat="1" ht="12.75" customHeight="1" x14ac:dyDescent="0.25"/>
    <row r="79" s="308" customFormat="1" ht="12.75" customHeight="1" x14ac:dyDescent="0.25"/>
    <row r="80" s="308" customFormat="1" ht="12.75" customHeight="1" x14ac:dyDescent="0.25"/>
    <row r="81" s="308" customFormat="1" ht="12.75" customHeight="1" x14ac:dyDescent="0.25"/>
    <row r="82" s="308" customFormat="1" ht="12.75" customHeight="1" x14ac:dyDescent="0.25"/>
    <row r="83" s="308" customFormat="1" ht="12.75" customHeight="1" x14ac:dyDescent="0.25"/>
    <row r="84" s="308" customFormat="1" ht="12.75" customHeight="1" x14ac:dyDescent="0.25"/>
    <row r="85" s="308" customFormat="1" ht="12.75" customHeight="1" x14ac:dyDescent="0.25"/>
    <row r="86" s="308" customFormat="1" ht="12.75" customHeight="1" x14ac:dyDescent="0.25"/>
    <row r="87" s="308" customFormat="1" ht="12.75" customHeight="1" x14ac:dyDescent="0.25"/>
    <row r="88" s="308" customFormat="1" ht="12.75" customHeight="1" x14ac:dyDescent="0.25"/>
    <row r="89" s="308" customFormat="1" ht="12.75" customHeight="1" x14ac:dyDescent="0.25"/>
    <row r="90" s="308" customFormat="1" ht="12.75" customHeight="1" x14ac:dyDescent="0.25"/>
    <row r="91" s="308" customFormat="1" ht="12.75" customHeight="1" x14ac:dyDescent="0.25"/>
    <row r="92" s="308" customFormat="1" ht="12.75" customHeight="1" x14ac:dyDescent="0.25"/>
    <row r="93" s="308" customFormat="1" ht="12.75" customHeight="1" x14ac:dyDescent="0.25"/>
    <row r="94" s="308" customFormat="1" ht="12.75" customHeight="1" x14ac:dyDescent="0.25"/>
    <row r="95" s="308" customFormat="1" ht="12.75" customHeight="1" x14ac:dyDescent="0.25"/>
    <row r="96" s="308" customFormat="1" ht="12.75" customHeight="1" x14ac:dyDescent="0.25"/>
    <row r="97" s="308" customFormat="1" ht="12.75" customHeight="1" x14ac:dyDescent="0.25"/>
    <row r="98" s="308" customFormat="1" ht="12.75" customHeight="1" x14ac:dyDescent="0.25"/>
    <row r="99" s="308" customFormat="1" ht="12.75" customHeight="1" x14ac:dyDescent="0.25"/>
    <row r="100" s="308" customFormat="1" ht="12.75" customHeight="1" x14ac:dyDescent="0.25"/>
    <row r="101" s="308" customFormat="1" ht="12.75" customHeight="1" x14ac:dyDescent="0.25"/>
    <row r="102" s="308" customFormat="1" ht="12.75" customHeight="1" x14ac:dyDescent="0.25"/>
    <row r="103" s="308" customFormat="1" ht="12.75" customHeight="1" x14ac:dyDescent="0.25"/>
    <row r="104" s="308" customFormat="1" ht="12.75" customHeight="1" x14ac:dyDescent="0.25"/>
    <row r="105" s="308" customFormat="1" ht="12.75" customHeight="1" x14ac:dyDescent="0.25"/>
    <row r="106" s="308" customFormat="1" ht="12.75" customHeight="1" x14ac:dyDescent="0.25"/>
    <row r="107" s="308" customFormat="1" ht="12.75" customHeight="1" x14ac:dyDescent="0.25"/>
    <row r="108" s="308" customFormat="1" ht="12.75" customHeight="1" x14ac:dyDescent="0.25"/>
    <row r="109" s="308" customFormat="1" ht="12.75" customHeight="1" x14ac:dyDescent="0.25"/>
    <row r="110" s="308" customFormat="1" ht="12.75" customHeight="1" x14ac:dyDescent="0.25"/>
    <row r="111" s="308" customFormat="1" ht="12.75" customHeight="1" x14ac:dyDescent="0.25"/>
    <row r="112" s="308" customFormat="1" ht="12.75" customHeight="1" x14ac:dyDescent="0.25"/>
    <row r="113" s="308" customFormat="1" ht="12.75" customHeight="1" x14ac:dyDescent="0.25"/>
    <row r="114" s="308" customFormat="1" ht="12.75" customHeight="1" x14ac:dyDescent="0.25"/>
    <row r="115" s="308" customFormat="1" ht="12.75" customHeight="1" x14ac:dyDescent="0.25"/>
    <row r="116" s="308" customFormat="1" ht="12.75" customHeight="1" x14ac:dyDescent="0.25"/>
    <row r="117" s="308" customFormat="1" ht="12.75" customHeight="1" x14ac:dyDescent="0.25"/>
    <row r="118" s="308" customFormat="1" ht="12.75" customHeight="1" x14ac:dyDescent="0.25"/>
    <row r="119" s="308" customFormat="1" ht="12.75" customHeight="1" x14ac:dyDescent="0.25"/>
    <row r="120" s="308" customFormat="1" ht="12.75" customHeight="1" x14ac:dyDescent="0.25"/>
    <row r="121" s="308" customFormat="1" ht="12.75" customHeight="1" x14ac:dyDescent="0.25"/>
    <row r="122" s="308" customFormat="1" ht="12.75" customHeight="1" x14ac:dyDescent="0.25"/>
    <row r="123" s="308" customFormat="1" ht="12.75" customHeight="1" x14ac:dyDescent="0.25"/>
    <row r="124" s="308" customFormat="1" ht="12.75" customHeight="1" x14ac:dyDescent="0.25"/>
    <row r="125" s="308" customFormat="1" ht="12.75" customHeight="1" x14ac:dyDescent="0.25"/>
    <row r="126" s="308" customFormat="1" ht="12.75" customHeight="1" x14ac:dyDescent="0.25"/>
    <row r="127" s="308" customFormat="1" ht="12.75" customHeight="1" x14ac:dyDescent="0.25"/>
    <row r="128" s="308" customFormat="1" ht="12.75" customHeight="1" x14ac:dyDescent="0.25"/>
    <row r="129" s="308" customFormat="1" ht="12.75" customHeight="1" x14ac:dyDescent="0.25"/>
    <row r="130" s="308" customFormat="1" ht="12.75" customHeight="1" x14ac:dyDescent="0.25"/>
    <row r="131" s="308" customFormat="1" ht="12.75" customHeight="1" x14ac:dyDescent="0.25"/>
  </sheetData>
  <pageMargins left="0.25" right="0.25" top="0.85" bottom="0.75" header="0.08" footer="0.3"/>
  <pageSetup scale="62" orientation="portrait" r:id="rId1"/>
  <headerFooter alignWithMargins="0">
    <oddHeader>&amp;CDepartment of Administrative Services
MOU Project Improvements DA26
&amp;A
&amp;D</oddHeader>
    <oddFooter>&amp;LAcct Codes 0506-335-DA26
&amp;C&amp;Z&amp;F&amp;R&amp;P/&amp;N</oddFooter>
  </headerFooter>
  <legacy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0E49D-F7F9-4B23-8CC6-79884A280732}">
  <sheetPr codeName="Sheet67">
    <pageSetUpPr fitToPage="1"/>
  </sheetPr>
  <dimension ref="A1:H23"/>
  <sheetViews>
    <sheetView zoomScaleNormal="100" workbookViewId="0">
      <selection activeCell="G11" sqref="G1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28.42578125" customWidth="1"/>
    <col min="6" max="6" width="13.42578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15.75" x14ac:dyDescent="0.25">
      <c r="A1" s="85" t="str">
        <f>'#9488.00 PM TIME'!A1</f>
        <v xml:space="preserve">DOC 4JD New Central Office Building </v>
      </c>
      <c r="B1" s="86"/>
      <c r="C1" s="86"/>
      <c r="D1" s="86"/>
      <c r="E1" s="6"/>
      <c r="F1" s="6"/>
      <c r="G1" s="6"/>
      <c r="H1" s="132"/>
    </row>
    <row r="2" spans="1:8" ht="15.75" x14ac:dyDescent="0.25">
      <c r="A2" s="88" t="str">
        <f>'RECAP #9488.00'!B2</f>
        <v>Project # 9488.00</v>
      </c>
      <c r="B2" s="87"/>
      <c r="C2" s="87"/>
      <c r="D2" s="87"/>
      <c r="E2" s="6"/>
      <c r="F2" s="6"/>
      <c r="G2" s="6"/>
      <c r="H2" s="132"/>
    </row>
    <row r="3" spans="1:8" ht="15.75" x14ac:dyDescent="0.25">
      <c r="A3" s="89" t="str">
        <f>'RECAP #9488.00'!B3</f>
        <v>Program code 948800</v>
      </c>
      <c r="B3" s="87"/>
      <c r="C3" s="87"/>
      <c r="D3" s="87"/>
      <c r="E3" s="90" t="str">
        <f>'RECAP #9488.00'!E3</f>
        <v>Major Program 4B01</v>
      </c>
      <c r="F3" s="87"/>
      <c r="G3" s="6"/>
      <c r="H3" s="132"/>
    </row>
    <row r="4" spans="1:8" ht="15.75" x14ac:dyDescent="0.25">
      <c r="A4" s="168" t="s">
        <v>14</v>
      </c>
      <c r="B4" s="169"/>
      <c r="C4" s="169"/>
      <c r="D4" s="169"/>
      <c r="E4" s="136"/>
      <c r="F4" s="87"/>
      <c r="G4" s="132"/>
      <c r="H4" s="132"/>
    </row>
    <row r="5" spans="1:8" ht="15.75" x14ac:dyDescent="0.25">
      <c r="A5" s="137" t="s">
        <v>66</v>
      </c>
      <c r="B5" s="138"/>
      <c r="C5" s="138"/>
      <c r="D5" s="138"/>
      <c r="E5" s="170" t="s">
        <v>58</v>
      </c>
      <c r="F5" s="87"/>
      <c r="G5" s="141"/>
      <c r="H5" s="142"/>
    </row>
    <row r="6" spans="1:8" ht="15.75" x14ac:dyDescent="0.25">
      <c r="A6" s="93" t="str">
        <f>'RECAP #9488.00'!B6</f>
        <v>Project Manager - Jennie E</v>
      </c>
      <c r="B6" s="93"/>
      <c r="C6" s="93"/>
      <c r="D6" s="93"/>
      <c r="E6" s="90" t="s">
        <v>255</v>
      </c>
      <c r="F6" s="138"/>
      <c r="G6" s="141"/>
      <c r="H6" s="142"/>
    </row>
    <row r="7" spans="1:8" ht="15.75" x14ac:dyDescent="0.25">
      <c r="A7" s="87"/>
      <c r="B7" s="147"/>
      <c r="C7" s="147"/>
      <c r="D7" s="147"/>
      <c r="E7" s="147"/>
      <c r="F7" s="87"/>
      <c r="G7" s="142"/>
      <c r="H7" s="142"/>
    </row>
    <row r="8" spans="1:8" ht="32.25" thickBot="1" x14ac:dyDescent="0.3">
      <c r="A8" s="148" t="s">
        <v>59</v>
      </c>
      <c r="B8" s="149" t="s">
        <v>4</v>
      </c>
      <c r="C8" s="163" t="s">
        <v>56</v>
      </c>
      <c r="D8" s="163" t="s">
        <v>57</v>
      </c>
      <c r="E8" s="150" t="s">
        <v>11</v>
      </c>
      <c r="F8" s="151" t="s">
        <v>60</v>
      </c>
      <c r="G8" s="151" t="s">
        <v>52</v>
      </c>
      <c r="H8" s="151" t="s">
        <v>53</v>
      </c>
    </row>
    <row r="9" spans="1:8" x14ac:dyDescent="0.25">
      <c r="A9" s="159" t="s">
        <v>797</v>
      </c>
      <c r="B9" s="318">
        <v>46168</v>
      </c>
      <c r="C9" s="317" t="s">
        <v>209</v>
      </c>
      <c r="D9" s="317" t="s">
        <v>372</v>
      </c>
      <c r="E9" s="363" t="s">
        <v>785</v>
      </c>
      <c r="F9" s="363" t="s">
        <v>796</v>
      </c>
      <c r="G9" s="325">
        <v>1906</v>
      </c>
      <c r="H9" s="162">
        <f>G9</f>
        <v>1906</v>
      </c>
    </row>
    <row r="10" spans="1:8" x14ac:dyDescent="0.25">
      <c r="A10" s="159" t="s">
        <v>802</v>
      </c>
      <c r="B10" s="153">
        <v>46168</v>
      </c>
      <c r="C10" s="364" t="s">
        <v>209</v>
      </c>
      <c r="D10" s="364" t="s">
        <v>372</v>
      </c>
      <c r="E10" s="171" t="s">
        <v>472</v>
      </c>
      <c r="F10" s="106" t="s">
        <v>801</v>
      </c>
      <c r="G10" s="325">
        <v>1112.6500000000001</v>
      </c>
      <c r="H10" s="162">
        <f>H9+G10</f>
        <v>3018.65</v>
      </c>
    </row>
    <row r="11" spans="1:8" x14ac:dyDescent="0.25">
      <c r="A11" s="171" t="s">
        <v>1007</v>
      </c>
      <c r="B11" s="153">
        <v>46213</v>
      </c>
      <c r="C11" s="364" t="s">
        <v>209</v>
      </c>
      <c r="D11" s="364" t="s">
        <v>372</v>
      </c>
      <c r="E11" s="141" t="s">
        <v>1005</v>
      </c>
      <c r="F11" s="183" t="s">
        <v>1006</v>
      </c>
      <c r="G11" s="325">
        <v>4198</v>
      </c>
      <c r="H11" s="162">
        <f t="shared" ref="H11:H20" si="0">H10+G11</f>
        <v>7216.65</v>
      </c>
    </row>
    <row r="12" spans="1:8" x14ac:dyDescent="0.25">
      <c r="A12" s="165" t="s">
        <v>3</v>
      </c>
      <c r="B12" s="153" t="s">
        <v>3</v>
      </c>
      <c r="C12" s="153"/>
      <c r="D12" s="153"/>
      <c r="E12" s="141" t="s">
        <v>3</v>
      </c>
      <c r="F12" s="106"/>
      <c r="G12" s="162"/>
      <c r="H12" s="162">
        <f t="shared" si="0"/>
        <v>7216.65</v>
      </c>
    </row>
    <row r="13" spans="1:8" x14ac:dyDescent="0.25">
      <c r="A13" s="165" t="s">
        <v>3</v>
      </c>
      <c r="B13" s="153" t="s">
        <v>3</v>
      </c>
      <c r="C13" s="153"/>
      <c r="D13" s="153"/>
      <c r="E13" s="141" t="s">
        <v>3</v>
      </c>
      <c r="F13" s="106"/>
      <c r="G13" s="162"/>
      <c r="H13" s="162">
        <f t="shared" si="0"/>
        <v>7216.65</v>
      </c>
    </row>
    <row r="14" spans="1:8" x14ac:dyDescent="0.25">
      <c r="A14" s="165"/>
      <c r="B14" s="153"/>
      <c r="C14" s="153"/>
      <c r="D14" s="153"/>
      <c r="E14" s="141"/>
      <c r="F14" s="106"/>
      <c r="G14" s="162"/>
      <c r="H14" s="162">
        <f t="shared" si="0"/>
        <v>7216.65</v>
      </c>
    </row>
    <row r="15" spans="1:8" x14ac:dyDescent="0.25">
      <c r="A15" s="165"/>
      <c r="B15" s="153"/>
      <c r="C15" s="153"/>
      <c r="D15" s="153"/>
      <c r="E15" s="173"/>
      <c r="F15" s="106"/>
      <c r="G15" s="162"/>
      <c r="H15" s="162">
        <f t="shared" si="0"/>
        <v>7216.65</v>
      </c>
    </row>
    <row r="16" spans="1:8" x14ac:dyDescent="0.25">
      <c r="A16" s="165"/>
      <c r="B16" s="153"/>
      <c r="C16" s="153"/>
      <c r="D16" s="153"/>
      <c r="E16" s="141"/>
      <c r="F16" s="106"/>
      <c r="G16" s="162"/>
      <c r="H16" s="162">
        <f t="shared" si="0"/>
        <v>7216.65</v>
      </c>
    </row>
    <row r="17" spans="1:8" x14ac:dyDescent="0.25">
      <c r="A17" s="152"/>
      <c r="B17" s="153"/>
      <c r="C17" s="153"/>
      <c r="D17" s="153"/>
      <c r="E17" s="141"/>
      <c r="F17" s="106"/>
      <c r="G17" s="162"/>
      <c r="H17" s="162">
        <f t="shared" si="0"/>
        <v>7216.65</v>
      </c>
    </row>
    <row r="18" spans="1:8" x14ac:dyDescent="0.25">
      <c r="A18" s="152"/>
      <c r="B18" s="153"/>
      <c r="C18" s="153"/>
      <c r="D18" s="153"/>
      <c r="E18" s="141"/>
      <c r="F18" s="106"/>
      <c r="G18" s="162"/>
      <c r="H18" s="162">
        <f t="shared" si="0"/>
        <v>7216.65</v>
      </c>
    </row>
    <row r="19" spans="1:8" x14ac:dyDescent="0.25">
      <c r="A19" s="152"/>
      <c r="B19" s="153"/>
      <c r="C19" s="153"/>
      <c r="D19" s="153"/>
      <c r="E19" s="141"/>
      <c r="F19" s="106"/>
      <c r="G19" s="162"/>
      <c r="H19" s="162">
        <f t="shared" si="0"/>
        <v>7216.65</v>
      </c>
    </row>
    <row r="20" spans="1:8" x14ac:dyDescent="0.25">
      <c r="A20" s="152"/>
      <c r="B20" s="153"/>
      <c r="C20" s="153"/>
      <c r="D20" s="153"/>
      <c r="E20" s="141"/>
      <c r="F20" s="106"/>
      <c r="G20" s="162"/>
      <c r="H20" s="162">
        <f t="shared" si="0"/>
        <v>7216.65</v>
      </c>
    </row>
    <row r="21" spans="1:8" x14ac:dyDescent="0.25">
      <c r="A21" s="152"/>
      <c r="B21" s="160"/>
      <c r="C21" s="160"/>
      <c r="D21" s="160"/>
      <c r="E21" s="141"/>
      <c r="F21" s="162"/>
      <c r="G21" s="141"/>
      <c r="H21" s="162"/>
    </row>
    <row r="22" spans="1:8" ht="15.75" thickBot="1" x14ac:dyDescent="0.3">
      <c r="A22" s="174"/>
      <c r="B22" s="175"/>
      <c r="C22" s="175"/>
      <c r="D22" s="175"/>
      <c r="E22" s="176" t="s">
        <v>54</v>
      </c>
      <c r="F22" s="177"/>
      <c r="G22" s="131">
        <f>SUM(G9:G21)</f>
        <v>7216.65</v>
      </c>
      <c r="H22" s="177"/>
    </row>
    <row r="23" spans="1:8" ht="15" customHeight="1" thickTop="1" x14ac:dyDescent="0.25"/>
  </sheetData>
  <pageMargins left="0.25" right="0.25" top="0.85" bottom="0.75" header="0.08" footer="0.3"/>
  <pageSetup scale="82"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13BE5-67C8-4D2F-9BC3-6813AF5F749C}">
  <sheetPr codeName="Sheet68">
    <pageSetUpPr fitToPage="1"/>
  </sheetPr>
  <dimension ref="A1:I35"/>
  <sheetViews>
    <sheetView topLeftCell="A8" zoomScaleNormal="100" workbookViewId="0">
      <selection activeCell="F15" sqref="F15"/>
    </sheetView>
  </sheetViews>
  <sheetFormatPr defaultColWidth="11.42578125" defaultRowHeight="15" customHeight="1" x14ac:dyDescent="0.25"/>
  <cols>
    <col min="1" max="1" width="24.5703125" customWidth="1"/>
    <col min="2" max="2" width="9.42578125" customWidth="1"/>
    <col min="3" max="3" width="27.140625" customWidth="1"/>
    <col min="4" max="4" width="14.42578125" customWidth="1"/>
    <col min="5" max="5" width="13.5703125" customWidth="1"/>
    <col min="6" max="6" width="12.42578125" customWidth="1"/>
    <col min="7" max="7" width="10.5703125" customWidth="1"/>
    <col min="8" max="8"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302</v>
      </c>
      <c r="B4" s="134"/>
      <c r="C4" s="135"/>
      <c r="D4" s="136" t="s">
        <v>310</v>
      </c>
      <c r="E4" s="132"/>
      <c r="F4" s="132"/>
      <c r="G4" s="132"/>
      <c r="H4" s="133"/>
      <c r="I4" s="133"/>
    </row>
    <row r="5" spans="1:9" ht="15.75" x14ac:dyDescent="0.25">
      <c r="A5" s="137" t="s">
        <v>182</v>
      </c>
      <c r="B5" s="138"/>
      <c r="C5" s="139"/>
      <c r="D5" s="140" t="s">
        <v>311</v>
      </c>
      <c r="E5" s="141"/>
      <c r="F5" s="142"/>
      <c r="G5" s="142"/>
      <c r="H5" s="138"/>
      <c r="I5" s="133"/>
    </row>
    <row r="6" spans="1:9" ht="15.75" x14ac:dyDescent="0.25">
      <c r="A6" s="93" t="str">
        <f>'RECAP #9488.00'!B6</f>
        <v>Project Manager - Jennie E</v>
      </c>
      <c r="B6" s="93"/>
      <c r="C6" s="143"/>
      <c r="D6" s="144" t="s">
        <v>184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303</v>
      </c>
      <c r="B9" s="318">
        <v>45967</v>
      </c>
      <c r="C9" s="324" t="s">
        <v>146</v>
      </c>
      <c r="D9" s="319">
        <v>417400</v>
      </c>
      <c r="E9" s="320">
        <f>D9</f>
        <v>417400</v>
      </c>
      <c r="F9" s="321"/>
      <c r="G9" s="321"/>
      <c r="H9" s="321">
        <f>E9</f>
        <v>417400</v>
      </c>
      <c r="I9" s="322"/>
    </row>
    <row r="10" spans="1:9" s="308" customFormat="1" ht="12.75" customHeight="1" x14ac:dyDescent="0.25">
      <c r="A10" s="317" t="s">
        <v>374</v>
      </c>
      <c r="B10" s="323">
        <v>46007</v>
      </c>
      <c r="C10" s="324" t="s">
        <v>375</v>
      </c>
      <c r="D10" s="320"/>
      <c r="E10" s="320">
        <f t="shared" ref="E10:E21" si="0">E9+D10</f>
        <v>417400</v>
      </c>
      <c r="F10" s="325">
        <v>49030</v>
      </c>
      <c r="G10" s="321">
        <f t="shared" ref="G10:G21" si="1">G9+F10</f>
        <v>49030</v>
      </c>
      <c r="H10" s="321">
        <f t="shared" ref="H10:H21" si="2">H9-F10+D10</f>
        <v>368370</v>
      </c>
      <c r="I10" s="322"/>
    </row>
    <row r="11" spans="1:9" s="308" customFormat="1" ht="12.75" customHeight="1" x14ac:dyDescent="0.25">
      <c r="A11" s="317" t="s">
        <v>455</v>
      </c>
      <c r="B11" s="318">
        <v>46048</v>
      </c>
      <c r="C11" s="324" t="s">
        <v>456</v>
      </c>
      <c r="D11" s="320"/>
      <c r="E11" s="320">
        <f t="shared" si="0"/>
        <v>417400</v>
      </c>
      <c r="F11" s="325">
        <v>43130</v>
      </c>
      <c r="G11" s="321">
        <f t="shared" si="1"/>
        <v>92160</v>
      </c>
      <c r="H11" s="321">
        <f t="shared" si="2"/>
        <v>325240</v>
      </c>
      <c r="I11" s="322"/>
    </row>
    <row r="12" spans="1:9" s="308" customFormat="1" ht="12.75" customHeight="1" x14ac:dyDescent="0.25">
      <c r="A12" s="317" t="s">
        <v>523</v>
      </c>
      <c r="B12" s="318">
        <v>46077</v>
      </c>
      <c r="C12" s="324" t="s">
        <v>524</v>
      </c>
      <c r="D12" s="320"/>
      <c r="E12" s="320">
        <f t="shared" si="0"/>
        <v>417400</v>
      </c>
      <c r="F12" s="325">
        <v>56640</v>
      </c>
      <c r="G12" s="321">
        <f t="shared" si="1"/>
        <v>148800</v>
      </c>
      <c r="H12" s="321">
        <f t="shared" si="2"/>
        <v>268600</v>
      </c>
      <c r="I12" s="322"/>
    </row>
    <row r="13" spans="1:9" s="308" customFormat="1" ht="12.75" customHeight="1" x14ac:dyDescent="0.25">
      <c r="A13" s="317" t="s">
        <v>583</v>
      </c>
      <c r="B13" s="318">
        <v>46104</v>
      </c>
      <c r="C13" s="324" t="s">
        <v>584</v>
      </c>
      <c r="D13" s="320"/>
      <c r="E13" s="320">
        <f t="shared" si="0"/>
        <v>417400</v>
      </c>
      <c r="F13" s="325">
        <v>74240</v>
      </c>
      <c r="G13" s="321">
        <f t="shared" si="1"/>
        <v>223040</v>
      </c>
      <c r="H13" s="321">
        <f t="shared" si="2"/>
        <v>194360</v>
      </c>
      <c r="I13" s="322"/>
    </row>
    <row r="14" spans="1:9" s="308" customFormat="1" ht="12.75" customHeight="1" x14ac:dyDescent="0.25">
      <c r="A14" s="317" t="s">
        <v>667</v>
      </c>
      <c r="B14" s="318">
        <v>46128</v>
      </c>
      <c r="C14" s="324" t="s">
        <v>668</v>
      </c>
      <c r="D14" s="320"/>
      <c r="E14" s="320">
        <f t="shared" si="0"/>
        <v>417400</v>
      </c>
      <c r="F14" s="325">
        <v>82480</v>
      </c>
      <c r="G14" s="321">
        <f t="shared" si="1"/>
        <v>305520</v>
      </c>
      <c r="H14" s="321">
        <f t="shared" si="2"/>
        <v>111880</v>
      </c>
      <c r="I14" s="322"/>
    </row>
    <row r="15" spans="1:9" s="308" customFormat="1" ht="12.75" customHeight="1" x14ac:dyDescent="0.25">
      <c r="A15" s="317" t="s">
        <v>778</v>
      </c>
      <c r="B15" s="318">
        <v>46162</v>
      </c>
      <c r="C15" s="324" t="s">
        <v>779</v>
      </c>
      <c r="D15" s="320"/>
      <c r="E15" s="320">
        <f t="shared" si="0"/>
        <v>417400</v>
      </c>
      <c r="F15" s="325">
        <v>8080</v>
      </c>
      <c r="G15" s="321">
        <f t="shared" si="1"/>
        <v>313600</v>
      </c>
      <c r="H15" s="321">
        <f t="shared" si="2"/>
        <v>103800</v>
      </c>
      <c r="I15" s="322"/>
    </row>
    <row r="16" spans="1:9" s="308" customFormat="1" ht="12.75" customHeight="1" x14ac:dyDescent="0.25">
      <c r="A16" s="317" t="s">
        <v>865</v>
      </c>
      <c r="B16" s="318">
        <v>46189</v>
      </c>
      <c r="C16" s="324" t="s">
        <v>866</v>
      </c>
      <c r="D16" s="320"/>
      <c r="E16" s="320">
        <f t="shared" si="0"/>
        <v>417400</v>
      </c>
      <c r="F16" s="325">
        <v>19000</v>
      </c>
      <c r="G16" s="321">
        <f t="shared" si="1"/>
        <v>332600</v>
      </c>
      <c r="H16" s="321">
        <f t="shared" si="2"/>
        <v>84800</v>
      </c>
      <c r="I16" s="322"/>
    </row>
    <row r="17" spans="1:9" s="308" customFormat="1" ht="12.75" customHeight="1" x14ac:dyDescent="0.25">
      <c r="A17" s="317" t="s">
        <v>985</v>
      </c>
      <c r="B17" s="318">
        <v>46211</v>
      </c>
      <c r="C17" s="324" t="s">
        <v>986</v>
      </c>
      <c r="D17" s="320"/>
      <c r="E17" s="320">
        <f t="shared" si="0"/>
        <v>417400</v>
      </c>
      <c r="F17" s="325">
        <v>3640</v>
      </c>
      <c r="G17" s="321">
        <f t="shared" si="1"/>
        <v>336240</v>
      </c>
      <c r="H17" s="321">
        <f t="shared" si="2"/>
        <v>81160</v>
      </c>
      <c r="I17" s="322"/>
    </row>
    <row r="18" spans="1:9" s="308" customFormat="1" ht="12.75" customHeight="1" x14ac:dyDescent="0.25">
      <c r="A18" s="317"/>
      <c r="B18" s="318"/>
      <c r="C18" s="324"/>
      <c r="D18" s="320"/>
      <c r="E18" s="320">
        <f t="shared" si="0"/>
        <v>417400</v>
      </c>
      <c r="F18" s="326"/>
      <c r="G18" s="321">
        <f t="shared" si="1"/>
        <v>336240</v>
      </c>
      <c r="H18" s="321">
        <f t="shared" si="2"/>
        <v>81160</v>
      </c>
      <c r="I18" s="322"/>
    </row>
    <row r="19" spans="1:9" s="308" customFormat="1" ht="12.75" customHeight="1" x14ac:dyDescent="0.25">
      <c r="A19" s="317"/>
      <c r="B19" s="318"/>
      <c r="C19" s="324"/>
      <c r="D19" s="320"/>
      <c r="E19" s="320">
        <f t="shared" si="0"/>
        <v>417400</v>
      </c>
      <c r="F19" s="321"/>
      <c r="G19" s="321">
        <f t="shared" si="1"/>
        <v>336240</v>
      </c>
      <c r="H19" s="321">
        <f t="shared" si="2"/>
        <v>81160</v>
      </c>
      <c r="I19" s="322"/>
    </row>
    <row r="20" spans="1:9" s="308" customFormat="1" ht="12.75" customHeight="1" x14ac:dyDescent="0.25">
      <c r="A20" s="317"/>
      <c r="B20" s="318"/>
      <c r="C20" s="324"/>
      <c r="D20" s="320"/>
      <c r="E20" s="320">
        <f t="shared" si="0"/>
        <v>417400</v>
      </c>
      <c r="F20" s="321"/>
      <c r="G20" s="321">
        <f t="shared" si="1"/>
        <v>336240</v>
      </c>
      <c r="H20" s="321">
        <f t="shared" si="2"/>
        <v>81160</v>
      </c>
      <c r="I20" s="322"/>
    </row>
    <row r="21" spans="1:9" s="308" customFormat="1" ht="12.75" customHeight="1" x14ac:dyDescent="0.25">
      <c r="A21" s="317"/>
      <c r="B21" s="318"/>
      <c r="C21" s="327"/>
      <c r="D21" s="320"/>
      <c r="E21" s="320">
        <f t="shared" si="0"/>
        <v>417400</v>
      </c>
      <c r="F21" s="321"/>
      <c r="G21" s="321">
        <f t="shared" si="1"/>
        <v>336240</v>
      </c>
      <c r="H21" s="321">
        <f t="shared" si="2"/>
        <v>81160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417400</v>
      </c>
      <c r="E23" s="184"/>
      <c r="F23" s="184">
        <f>SUM(F9:F22)</f>
        <v>336240</v>
      </c>
      <c r="G23" s="184"/>
      <c r="H23" s="184">
        <f>D23-F23</f>
        <v>81160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446</v>
      </c>
      <c r="D26" s="321">
        <v>72800</v>
      </c>
      <c r="E26" s="321"/>
      <c r="F26" s="321">
        <f>43680+29120</f>
        <v>72800</v>
      </c>
      <c r="G26" s="321"/>
      <c r="H26" s="321">
        <f>D26-F26</f>
        <v>0</v>
      </c>
      <c r="I26" s="322"/>
    </row>
    <row r="27" spans="1:9" s="308" customFormat="1" ht="12.75" customHeight="1" x14ac:dyDescent="0.25">
      <c r="A27" s="317"/>
      <c r="B27" s="324"/>
      <c r="C27" s="328" t="s">
        <v>447</v>
      </c>
      <c r="D27" s="321">
        <v>54600</v>
      </c>
      <c r="E27" s="321"/>
      <c r="F27" s="321">
        <f>10920+43680</f>
        <v>54600</v>
      </c>
      <c r="G27" s="321"/>
      <c r="H27" s="321">
        <f t="shared" ref="H27:H33" si="3">D27-F27</f>
        <v>0</v>
      </c>
      <c r="I27" s="322"/>
    </row>
    <row r="28" spans="1:9" s="308" customFormat="1" ht="12.75" customHeight="1" x14ac:dyDescent="0.25">
      <c r="A28" s="317"/>
      <c r="B28" s="324"/>
      <c r="C28" s="328" t="s">
        <v>304</v>
      </c>
      <c r="D28" s="321">
        <v>145600</v>
      </c>
      <c r="E28" s="321"/>
      <c r="F28" s="321">
        <f>58240+80080+7280</f>
        <v>145600</v>
      </c>
      <c r="G28" s="321"/>
      <c r="H28" s="321">
        <f t="shared" si="3"/>
        <v>0</v>
      </c>
      <c r="I28" s="322"/>
    </row>
    <row r="29" spans="1:9" s="308" customFormat="1" ht="12.75" customHeight="1" x14ac:dyDescent="0.25">
      <c r="A29" s="317"/>
      <c r="B29" s="324"/>
      <c r="C29" s="328" t="s">
        <v>305</v>
      </c>
      <c r="D29" s="321">
        <v>18200</v>
      </c>
      <c r="E29" s="321"/>
      <c r="F29" s="321">
        <f>18200</f>
        <v>18200</v>
      </c>
      <c r="G29" s="321"/>
      <c r="H29" s="321">
        <f t="shared" si="3"/>
        <v>0</v>
      </c>
      <c r="I29" s="322"/>
    </row>
    <row r="30" spans="1:9" s="308" customFormat="1" ht="12.75" customHeight="1" x14ac:dyDescent="0.25">
      <c r="A30" s="317"/>
      <c r="B30" s="324"/>
      <c r="C30" s="328" t="s">
        <v>306</v>
      </c>
      <c r="D30" s="321">
        <v>72800</v>
      </c>
      <c r="E30" s="321"/>
      <c r="F30" s="321">
        <f>3640</f>
        <v>3640</v>
      </c>
      <c r="G30" s="321"/>
      <c r="H30" s="321">
        <f t="shared" si="3"/>
        <v>69160</v>
      </c>
      <c r="I30" s="322"/>
    </row>
    <row r="31" spans="1:9" s="308" customFormat="1" ht="12.75" customHeight="1" x14ac:dyDescent="0.25">
      <c r="A31" s="317"/>
      <c r="B31" s="324"/>
      <c r="C31" s="328" t="s">
        <v>307</v>
      </c>
      <c r="D31" s="321">
        <v>16000</v>
      </c>
      <c r="E31" s="321"/>
      <c r="F31" s="321">
        <f>2400+800+800</f>
        <v>4000</v>
      </c>
      <c r="G31" s="321"/>
      <c r="H31" s="321">
        <f t="shared" si="3"/>
        <v>12000</v>
      </c>
      <c r="I31" s="322"/>
    </row>
    <row r="32" spans="1:9" s="308" customFormat="1" ht="12.75" customHeight="1" x14ac:dyDescent="0.25">
      <c r="A32" s="317"/>
      <c r="B32" s="324"/>
      <c r="C32" s="328" t="s">
        <v>308</v>
      </c>
      <c r="D32" s="321">
        <v>21400</v>
      </c>
      <c r="E32" s="321"/>
      <c r="F32" s="321">
        <f>5350+3090+12960</f>
        <v>21400</v>
      </c>
      <c r="G32" s="321"/>
      <c r="H32" s="321">
        <f t="shared" si="3"/>
        <v>0</v>
      </c>
      <c r="I32" s="322"/>
    </row>
    <row r="33" spans="1:9" s="308" customFormat="1" ht="12.75" customHeight="1" x14ac:dyDescent="0.25">
      <c r="A33" s="317"/>
      <c r="B33" s="324"/>
      <c r="C33" s="328" t="s">
        <v>309</v>
      </c>
      <c r="D33" s="321">
        <v>16000</v>
      </c>
      <c r="E33" s="185"/>
      <c r="F33" s="321">
        <v>16000</v>
      </c>
      <c r="G33" s="185"/>
      <c r="H33" s="321">
        <f t="shared" si="3"/>
        <v>0</v>
      </c>
      <c r="I33" s="322"/>
    </row>
    <row r="34" spans="1:9" s="308" customFormat="1" ht="12.75" customHeight="1" thickBot="1" x14ac:dyDescent="0.3">
      <c r="A34" s="317"/>
      <c r="B34" s="324"/>
      <c r="C34" s="359" t="s">
        <v>157</v>
      </c>
      <c r="D34" s="360">
        <f>SUM(D26:D33)</f>
        <v>417400</v>
      </c>
      <c r="E34" s="326"/>
      <c r="F34" s="360">
        <f>SUM(F26:F33)</f>
        <v>336240</v>
      </c>
      <c r="G34" s="326"/>
      <c r="H34" s="360">
        <f>SUM(H26:H33)</f>
        <v>81160</v>
      </c>
      <c r="I34" s="322"/>
    </row>
    <row r="35" spans="1:9" s="308" customFormat="1" ht="12.75" customHeight="1" thickTop="1" x14ac:dyDescent="0.25"/>
  </sheetData>
  <conditionalFormatting sqref="I9:I30">
    <cfRule type="cellIs" dxfId="18"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1ABFA-8651-4705-AB51-CFF979F6A416}">
  <sheetPr>
    <pageSetUpPr fitToPage="1"/>
  </sheetPr>
  <dimension ref="A1:I35"/>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7.140625" customWidth="1"/>
    <col min="4" max="4" width="14.42578125" customWidth="1"/>
    <col min="5" max="5" width="13.5703125" customWidth="1"/>
    <col min="6" max="6" width="12.42578125" customWidth="1"/>
    <col min="7" max="7" width="10.5703125" customWidth="1"/>
    <col min="8" max="8"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874</v>
      </c>
      <c r="B4" s="134"/>
      <c r="C4" s="135"/>
      <c r="D4" s="136" t="s">
        <v>875</v>
      </c>
      <c r="E4" s="132"/>
      <c r="F4" s="132"/>
      <c r="G4" s="132"/>
      <c r="H4" s="133"/>
      <c r="I4" s="133"/>
    </row>
    <row r="5" spans="1:9" ht="15.75" x14ac:dyDescent="0.25">
      <c r="A5" s="137" t="s">
        <v>147</v>
      </c>
      <c r="B5" s="138"/>
      <c r="C5" s="139"/>
      <c r="D5" s="140" t="s">
        <v>876</v>
      </c>
      <c r="E5" s="141"/>
      <c r="F5" s="142"/>
      <c r="G5" s="142"/>
      <c r="H5" s="138"/>
      <c r="I5" s="133"/>
    </row>
    <row r="6" spans="1:9" ht="15.75" x14ac:dyDescent="0.25">
      <c r="A6" s="93" t="str">
        <f>'RECAP #9488.00'!B6</f>
        <v>Project Manager - Jennie E</v>
      </c>
      <c r="B6" s="93"/>
      <c r="C6" s="143"/>
      <c r="D6" s="144" t="s">
        <v>877</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878</v>
      </c>
      <c r="B9" s="318">
        <v>46190</v>
      </c>
      <c r="C9" s="324" t="s">
        <v>146</v>
      </c>
      <c r="D9" s="319">
        <v>739475</v>
      </c>
      <c r="E9" s="320">
        <f>D9</f>
        <v>739475</v>
      </c>
      <c r="F9" s="321"/>
      <c r="G9" s="321"/>
      <c r="H9" s="321">
        <f>E9</f>
        <v>739475</v>
      </c>
      <c r="I9" s="322"/>
    </row>
    <row r="10" spans="1:9" s="308" customFormat="1" ht="12.75" customHeight="1" x14ac:dyDescent="0.25">
      <c r="A10" s="317"/>
      <c r="B10" s="323"/>
      <c r="C10" s="324"/>
      <c r="D10" s="320"/>
      <c r="E10" s="320">
        <f t="shared" ref="E10:E21" si="0">E9+D10</f>
        <v>739475</v>
      </c>
      <c r="F10" s="325"/>
      <c r="G10" s="321">
        <f t="shared" ref="G10:G21" si="1">G9+F10</f>
        <v>0</v>
      </c>
      <c r="H10" s="321">
        <f t="shared" ref="H10:H21" si="2">H9-F10+D10</f>
        <v>739475</v>
      </c>
      <c r="I10" s="322"/>
    </row>
    <row r="11" spans="1:9" s="308" customFormat="1" ht="12.75" customHeight="1" x14ac:dyDescent="0.25">
      <c r="A11" s="317"/>
      <c r="B11" s="318"/>
      <c r="C11" s="324"/>
      <c r="D11" s="320"/>
      <c r="E11" s="320">
        <f t="shared" si="0"/>
        <v>739475</v>
      </c>
      <c r="F11" s="325"/>
      <c r="G11" s="321">
        <f t="shared" si="1"/>
        <v>0</v>
      </c>
      <c r="H11" s="321">
        <f t="shared" si="2"/>
        <v>739475</v>
      </c>
      <c r="I11" s="322"/>
    </row>
    <row r="12" spans="1:9" s="308" customFormat="1" ht="12.75" customHeight="1" x14ac:dyDescent="0.25">
      <c r="A12" s="317"/>
      <c r="B12" s="318"/>
      <c r="C12" s="324"/>
      <c r="D12" s="320"/>
      <c r="E12" s="320">
        <f t="shared" si="0"/>
        <v>739475</v>
      </c>
      <c r="F12" s="325"/>
      <c r="G12" s="321">
        <f t="shared" si="1"/>
        <v>0</v>
      </c>
      <c r="H12" s="321">
        <f t="shared" si="2"/>
        <v>739475</v>
      </c>
      <c r="I12" s="322"/>
    </row>
    <row r="13" spans="1:9" s="308" customFormat="1" ht="12.75" customHeight="1" x14ac:dyDescent="0.25">
      <c r="A13" s="317"/>
      <c r="B13" s="318"/>
      <c r="C13" s="324"/>
      <c r="D13" s="320"/>
      <c r="E13" s="320">
        <f t="shared" si="0"/>
        <v>739475</v>
      </c>
      <c r="F13" s="325"/>
      <c r="G13" s="321">
        <f t="shared" si="1"/>
        <v>0</v>
      </c>
      <c r="H13" s="321">
        <f t="shared" si="2"/>
        <v>739475</v>
      </c>
      <c r="I13" s="322"/>
    </row>
    <row r="14" spans="1:9" s="308" customFormat="1" ht="12.75" customHeight="1" x14ac:dyDescent="0.25">
      <c r="A14" s="317"/>
      <c r="B14" s="318"/>
      <c r="C14" s="324"/>
      <c r="D14" s="320"/>
      <c r="E14" s="320">
        <f t="shared" si="0"/>
        <v>739475</v>
      </c>
      <c r="F14" s="325"/>
      <c r="G14" s="321">
        <f t="shared" si="1"/>
        <v>0</v>
      </c>
      <c r="H14" s="321">
        <f t="shared" si="2"/>
        <v>739475</v>
      </c>
      <c r="I14" s="322"/>
    </row>
    <row r="15" spans="1:9" s="308" customFormat="1" ht="12.75" customHeight="1" x14ac:dyDescent="0.25">
      <c r="A15" s="317"/>
      <c r="B15" s="318"/>
      <c r="C15" s="324"/>
      <c r="D15" s="320"/>
      <c r="E15" s="320">
        <f t="shared" si="0"/>
        <v>739475</v>
      </c>
      <c r="F15" s="325"/>
      <c r="G15" s="321">
        <f t="shared" si="1"/>
        <v>0</v>
      </c>
      <c r="H15" s="321">
        <f t="shared" si="2"/>
        <v>739475</v>
      </c>
      <c r="I15" s="322"/>
    </row>
    <row r="16" spans="1:9" s="308" customFormat="1" ht="12.75" customHeight="1" x14ac:dyDescent="0.25">
      <c r="A16" s="317"/>
      <c r="B16" s="318"/>
      <c r="C16" s="324"/>
      <c r="D16" s="320"/>
      <c r="E16" s="320">
        <f t="shared" si="0"/>
        <v>739475</v>
      </c>
      <c r="F16" s="326"/>
      <c r="G16" s="321">
        <f t="shared" si="1"/>
        <v>0</v>
      </c>
      <c r="H16" s="321">
        <f t="shared" si="2"/>
        <v>739475</v>
      </c>
      <c r="I16" s="322"/>
    </row>
    <row r="17" spans="1:9" s="308" customFormat="1" ht="12.75" customHeight="1" x14ac:dyDescent="0.25">
      <c r="A17" s="317"/>
      <c r="B17" s="318"/>
      <c r="C17" s="324"/>
      <c r="D17" s="320"/>
      <c r="E17" s="320">
        <f t="shared" si="0"/>
        <v>739475</v>
      </c>
      <c r="F17" s="326"/>
      <c r="G17" s="321">
        <f t="shared" si="1"/>
        <v>0</v>
      </c>
      <c r="H17" s="321">
        <f t="shared" si="2"/>
        <v>739475</v>
      </c>
      <c r="I17" s="322"/>
    </row>
    <row r="18" spans="1:9" s="308" customFormat="1" ht="12.75" customHeight="1" x14ac:dyDescent="0.25">
      <c r="A18" s="317"/>
      <c r="B18" s="318"/>
      <c r="C18" s="324"/>
      <c r="D18" s="320"/>
      <c r="E18" s="320">
        <f t="shared" si="0"/>
        <v>739475</v>
      </c>
      <c r="F18" s="326"/>
      <c r="G18" s="321">
        <f t="shared" si="1"/>
        <v>0</v>
      </c>
      <c r="H18" s="321">
        <f t="shared" si="2"/>
        <v>739475</v>
      </c>
      <c r="I18" s="322"/>
    </row>
    <row r="19" spans="1:9" s="308" customFormat="1" ht="12.75" customHeight="1" x14ac:dyDescent="0.25">
      <c r="A19" s="317"/>
      <c r="B19" s="318"/>
      <c r="C19" s="324"/>
      <c r="D19" s="320"/>
      <c r="E19" s="320">
        <f t="shared" si="0"/>
        <v>739475</v>
      </c>
      <c r="F19" s="321"/>
      <c r="G19" s="321">
        <f t="shared" si="1"/>
        <v>0</v>
      </c>
      <c r="H19" s="321">
        <f t="shared" si="2"/>
        <v>739475</v>
      </c>
      <c r="I19" s="322"/>
    </row>
    <row r="20" spans="1:9" s="308" customFormat="1" ht="12.75" customHeight="1" x14ac:dyDescent="0.25">
      <c r="A20" s="317"/>
      <c r="B20" s="318"/>
      <c r="C20" s="324"/>
      <c r="D20" s="320"/>
      <c r="E20" s="320">
        <f t="shared" si="0"/>
        <v>739475</v>
      </c>
      <c r="F20" s="321"/>
      <c r="G20" s="321">
        <f t="shared" si="1"/>
        <v>0</v>
      </c>
      <c r="H20" s="321">
        <f t="shared" si="2"/>
        <v>739475</v>
      </c>
      <c r="I20" s="322"/>
    </row>
    <row r="21" spans="1:9" s="308" customFormat="1" ht="12.75" customHeight="1" x14ac:dyDescent="0.25">
      <c r="A21" s="317"/>
      <c r="B21" s="318"/>
      <c r="C21" s="327"/>
      <c r="D21" s="320"/>
      <c r="E21" s="320">
        <f t="shared" si="0"/>
        <v>739475</v>
      </c>
      <c r="F21" s="321"/>
      <c r="G21" s="321">
        <f t="shared" si="1"/>
        <v>0</v>
      </c>
      <c r="H21" s="321">
        <f t="shared" si="2"/>
        <v>739475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739475</v>
      </c>
      <c r="E23" s="184"/>
      <c r="F23" s="184">
        <f>SUM(F9:F22)</f>
        <v>0</v>
      </c>
      <c r="G23" s="184"/>
      <c r="H23" s="184">
        <f>D23-F23</f>
        <v>739475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c r="D26" s="321"/>
      <c r="E26" s="321"/>
      <c r="F26" s="321"/>
      <c r="G26" s="321"/>
      <c r="H26" s="321"/>
      <c r="I26" s="322"/>
    </row>
    <row r="27" spans="1:9" s="308" customFormat="1" ht="12.75" customHeight="1" x14ac:dyDescent="0.25">
      <c r="A27" s="317"/>
      <c r="B27" s="324"/>
      <c r="C27" s="328"/>
      <c r="D27" s="321"/>
      <c r="E27" s="321"/>
      <c r="F27" s="321"/>
      <c r="G27" s="321"/>
      <c r="H27" s="321"/>
      <c r="I27" s="322"/>
    </row>
    <row r="28" spans="1:9" s="308" customFormat="1" ht="12.75" customHeight="1" x14ac:dyDescent="0.25">
      <c r="A28" s="317"/>
      <c r="B28" s="324"/>
      <c r="C28" s="328"/>
      <c r="D28" s="321"/>
      <c r="E28" s="321"/>
      <c r="F28" s="321"/>
      <c r="G28" s="321"/>
      <c r="H28" s="321"/>
      <c r="I28" s="322"/>
    </row>
    <row r="29" spans="1:9" s="308" customFormat="1" ht="12.75" customHeight="1" x14ac:dyDescent="0.25">
      <c r="A29" s="317"/>
      <c r="B29" s="324"/>
      <c r="C29" s="328"/>
      <c r="D29" s="321"/>
      <c r="E29" s="321"/>
      <c r="F29" s="321"/>
      <c r="G29" s="321"/>
      <c r="H29" s="321"/>
      <c r="I29" s="322"/>
    </row>
    <row r="30" spans="1:9" s="308" customFormat="1" ht="12.75" customHeight="1" x14ac:dyDescent="0.25">
      <c r="A30" s="317"/>
      <c r="B30" s="324"/>
      <c r="C30" s="328"/>
      <c r="D30" s="321"/>
      <c r="E30" s="321"/>
      <c r="F30" s="321"/>
      <c r="G30" s="321"/>
      <c r="H30" s="321"/>
      <c r="I30" s="322"/>
    </row>
    <row r="31" spans="1:9" s="308" customFormat="1" ht="12.75" customHeight="1" x14ac:dyDescent="0.25">
      <c r="A31" s="317"/>
      <c r="B31" s="324"/>
      <c r="C31" s="328"/>
      <c r="D31" s="321"/>
      <c r="E31" s="321"/>
      <c r="F31" s="321"/>
      <c r="G31" s="321"/>
      <c r="H31" s="321"/>
      <c r="I31" s="322"/>
    </row>
    <row r="32" spans="1:9" s="308" customFormat="1" ht="12.75" customHeight="1" x14ac:dyDescent="0.25">
      <c r="A32" s="317"/>
      <c r="B32" s="324"/>
      <c r="C32" s="328"/>
      <c r="D32" s="321"/>
      <c r="E32" s="321"/>
      <c r="F32" s="321"/>
      <c r="G32" s="321"/>
      <c r="H32" s="321"/>
      <c r="I32" s="322"/>
    </row>
    <row r="33" spans="1:9" s="308" customFormat="1" ht="12.75" customHeight="1" x14ac:dyDescent="0.25">
      <c r="A33" s="317"/>
      <c r="B33" s="324"/>
      <c r="C33" s="328"/>
      <c r="D33" s="321"/>
      <c r="E33" s="185"/>
      <c r="F33" s="321"/>
      <c r="G33" s="185"/>
      <c r="H33" s="321"/>
      <c r="I33" s="322"/>
    </row>
    <row r="34" spans="1:9" s="308" customFormat="1" ht="12.75" customHeight="1" x14ac:dyDescent="0.25">
      <c r="A34" s="317"/>
      <c r="B34" s="324"/>
      <c r="C34" s="359"/>
      <c r="D34" s="411"/>
      <c r="E34" s="326"/>
      <c r="F34" s="411"/>
      <c r="G34" s="326"/>
      <c r="H34" s="411"/>
      <c r="I34" s="322"/>
    </row>
    <row r="35" spans="1:9" s="308" customFormat="1" ht="12.75" customHeight="1" x14ac:dyDescent="0.25"/>
  </sheetData>
  <conditionalFormatting sqref="I9:I30">
    <cfRule type="cellIs" dxfId="17" priority="1" operator="greaterThan">
      <formula>$H$23</formula>
    </cfRule>
  </conditionalFormatting>
  <pageMargins left="0.25" right="0.25" top="0.85" bottom="0.75" header="0.08" footer="0.3"/>
  <pageSetup scale="75"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61E25-96E5-411F-8778-5323B4F3A897}">
  <sheetPr>
    <pageSetUpPr fitToPage="1"/>
  </sheetPr>
  <dimension ref="A1:I35"/>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7.140625" customWidth="1"/>
    <col min="4" max="4" width="14.42578125" customWidth="1"/>
    <col min="5" max="5" width="13.5703125" customWidth="1"/>
    <col min="6" max="6" width="12.42578125" customWidth="1"/>
    <col min="7" max="7" width="10.5703125" customWidth="1"/>
    <col min="8" max="8" width="14.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879</v>
      </c>
      <c r="B4" s="134"/>
      <c r="C4" s="135"/>
      <c r="D4" s="136" t="s">
        <v>880</v>
      </c>
      <c r="E4" s="132"/>
      <c r="F4" s="132"/>
      <c r="G4" s="132"/>
      <c r="H4" s="133"/>
      <c r="I4" s="133"/>
    </row>
    <row r="5" spans="1:9" ht="15.75" x14ac:dyDescent="0.25">
      <c r="A5" s="137" t="s">
        <v>147</v>
      </c>
      <c r="B5" s="138"/>
      <c r="C5" s="139"/>
      <c r="D5" s="140" t="s">
        <v>876</v>
      </c>
      <c r="E5" s="141"/>
      <c r="F5" s="142"/>
      <c r="G5" s="142"/>
      <c r="H5" s="138"/>
      <c r="I5" s="133"/>
    </row>
    <row r="6" spans="1:9" ht="15.75" x14ac:dyDescent="0.25">
      <c r="A6" s="93" t="str">
        <f>'RECAP #9488.00'!B6</f>
        <v>Project Manager - Jennie E</v>
      </c>
      <c r="B6" s="93"/>
      <c r="C6" s="143"/>
      <c r="D6" s="144" t="s">
        <v>877</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881</v>
      </c>
      <c r="B9" s="318">
        <v>46190</v>
      </c>
      <c r="C9" s="324" t="s">
        <v>146</v>
      </c>
      <c r="D9" s="319">
        <v>3269000</v>
      </c>
      <c r="E9" s="320">
        <f>D9</f>
        <v>3269000</v>
      </c>
      <c r="F9" s="321"/>
      <c r="G9" s="321"/>
      <c r="H9" s="321">
        <f>E9</f>
        <v>3269000</v>
      </c>
      <c r="I9" s="322"/>
    </row>
    <row r="10" spans="1:9" s="308" customFormat="1" ht="12.75" customHeight="1" x14ac:dyDescent="0.25">
      <c r="A10" s="317"/>
      <c r="B10" s="323"/>
      <c r="C10" s="324"/>
      <c r="D10" s="320"/>
      <c r="E10" s="320">
        <f t="shared" ref="E10:E21" si="0">E9+D10</f>
        <v>3269000</v>
      </c>
      <c r="F10" s="325"/>
      <c r="G10" s="321">
        <f t="shared" ref="G10:G21" si="1">G9+F10</f>
        <v>0</v>
      </c>
      <c r="H10" s="321">
        <f t="shared" ref="H10:H21" si="2">H9-F10+D10</f>
        <v>3269000</v>
      </c>
      <c r="I10" s="322"/>
    </row>
    <row r="11" spans="1:9" s="308" customFormat="1" ht="12.75" customHeight="1" x14ac:dyDescent="0.25">
      <c r="A11" s="317"/>
      <c r="B11" s="318"/>
      <c r="C11" s="324"/>
      <c r="D11" s="320"/>
      <c r="E11" s="320">
        <f t="shared" si="0"/>
        <v>3269000</v>
      </c>
      <c r="F11" s="325"/>
      <c r="G11" s="321">
        <f t="shared" si="1"/>
        <v>0</v>
      </c>
      <c r="H11" s="321">
        <f t="shared" si="2"/>
        <v>3269000</v>
      </c>
      <c r="I11" s="322"/>
    </row>
    <row r="12" spans="1:9" s="308" customFormat="1" ht="12.75" customHeight="1" x14ac:dyDescent="0.25">
      <c r="A12" s="317"/>
      <c r="B12" s="318"/>
      <c r="C12" s="324"/>
      <c r="D12" s="320"/>
      <c r="E12" s="320">
        <f t="shared" si="0"/>
        <v>3269000</v>
      </c>
      <c r="F12" s="325"/>
      <c r="G12" s="321">
        <f t="shared" si="1"/>
        <v>0</v>
      </c>
      <c r="H12" s="321">
        <f t="shared" si="2"/>
        <v>3269000</v>
      </c>
      <c r="I12" s="322"/>
    </row>
    <row r="13" spans="1:9" s="308" customFormat="1" ht="12.75" customHeight="1" x14ac:dyDescent="0.25">
      <c r="A13" s="317"/>
      <c r="B13" s="318"/>
      <c r="C13" s="324"/>
      <c r="D13" s="320"/>
      <c r="E13" s="320">
        <f t="shared" si="0"/>
        <v>3269000</v>
      </c>
      <c r="F13" s="325"/>
      <c r="G13" s="321">
        <f t="shared" si="1"/>
        <v>0</v>
      </c>
      <c r="H13" s="321">
        <f t="shared" si="2"/>
        <v>3269000</v>
      </c>
      <c r="I13" s="322"/>
    </row>
    <row r="14" spans="1:9" s="308" customFormat="1" ht="12.75" customHeight="1" x14ac:dyDescent="0.25">
      <c r="A14" s="317"/>
      <c r="B14" s="318"/>
      <c r="C14" s="324"/>
      <c r="D14" s="320"/>
      <c r="E14" s="320">
        <f t="shared" si="0"/>
        <v>3269000</v>
      </c>
      <c r="F14" s="325"/>
      <c r="G14" s="321">
        <f t="shared" si="1"/>
        <v>0</v>
      </c>
      <c r="H14" s="321">
        <f t="shared" si="2"/>
        <v>3269000</v>
      </c>
      <c r="I14" s="322"/>
    </row>
    <row r="15" spans="1:9" s="308" customFormat="1" ht="12.75" customHeight="1" x14ac:dyDescent="0.25">
      <c r="A15" s="317"/>
      <c r="B15" s="318"/>
      <c r="C15" s="324"/>
      <c r="D15" s="320"/>
      <c r="E15" s="320">
        <f t="shared" si="0"/>
        <v>3269000</v>
      </c>
      <c r="F15" s="325"/>
      <c r="G15" s="321">
        <f t="shared" si="1"/>
        <v>0</v>
      </c>
      <c r="H15" s="321">
        <f t="shared" si="2"/>
        <v>3269000</v>
      </c>
      <c r="I15" s="322"/>
    </row>
    <row r="16" spans="1:9" s="308" customFormat="1" ht="12.75" customHeight="1" x14ac:dyDescent="0.25">
      <c r="A16" s="317"/>
      <c r="B16" s="318"/>
      <c r="C16" s="324"/>
      <c r="D16" s="320"/>
      <c r="E16" s="320">
        <f t="shared" si="0"/>
        <v>3269000</v>
      </c>
      <c r="F16" s="326"/>
      <c r="G16" s="321">
        <f t="shared" si="1"/>
        <v>0</v>
      </c>
      <c r="H16" s="321">
        <f t="shared" si="2"/>
        <v>3269000</v>
      </c>
      <c r="I16" s="322"/>
    </row>
    <row r="17" spans="1:9" s="308" customFormat="1" ht="12.75" customHeight="1" x14ac:dyDescent="0.25">
      <c r="A17" s="317"/>
      <c r="B17" s="318"/>
      <c r="C17" s="324"/>
      <c r="D17" s="320"/>
      <c r="E17" s="320">
        <f t="shared" si="0"/>
        <v>3269000</v>
      </c>
      <c r="F17" s="326"/>
      <c r="G17" s="321">
        <f t="shared" si="1"/>
        <v>0</v>
      </c>
      <c r="H17" s="321">
        <f t="shared" si="2"/>
        <v>3269000</v>
      </c>
      <c r="I17" s="322"/>
    </row>
    <row r="18" spans="1:9" s="308" customFormat="1" ht="12.75" customHeight="1" x14ac:dyDescent="0.25">
      <c r="A18" s="317"/>
      <c r="B18" s="318"/>
      <c r="C18" s="324"/>
      <c r="D18" s="320"/>
      <c r="E18" s="320">
        <f t="shared" si="0"/>
        <v>3269000</v>
      </c>
      <c r="F18" s="326"/>
      <c r="G18" s="321">
        <f t="shared" si="1"/>
        <v>0</v>
      </c>
      <c r="H18" s="321">
        <f t="shared" si="2"/>
        <v>3269000</v>
      </c>
      <c r="I18" s="322"/>
    </row>
    <row r="19" spans="1:9" s="308" customFormat="1" ht="12.75" customHeight="1" x14ac:dyDescent="0.25">
      <c r="A19" s="317"/>
      <c r="B19" s="318"/>
      <c r="C19" s="324"/>
      <c r="D19" s="320"/>
      <c r="E19" s="320">
        <f t="shared" si="0"/>
        <v>3269000</v>
      </c>
      <c r="F19" s="321"/>
      <c r="G19" s="321">
        <f t="shared" si="1"/>
        <v>0</v>
      </c>
      <c r="H19" s="321">
        <f t="shared" si="2"/>
        <v>3269000</v>
      </c>
      <c r="I19" s="322"/>
    </row>
    <row r="20" spans="1:9" s="308" customFormat="1" ht="12.75" customHeight="1" x14ac:dyDescent="0.25">
      <c r="A20" s="317"/>
      <c r="B20" s="318"/>
      <c r="C20" s="324"/>
      <c r="D20" s="320"/>
      <c r="E20" s="320">
        <f t="shared" si="0"/>
        <v>3269000</v>
      </c>
      <c r="F20" s="321"/>
      <c r="G20" s="321">
        <f t="shared" si="1"/>
        <v>0</v>
      </c>
      <c r="H20" s="321">
        <f t="shared" si="2"/>
        <v>3269000</v>
      </c>
      <c r="I20" s="322"/>
    </row>
    <row r="21" spans="1:9" s="308" customFormat="1" ht="12.75" customHeight="1" x14ac:dyDescent="0.25">
      <c r="A21" s="317"/>
      <c r="B21" s="318"/>
      <c r="C21" s="327"/>
      <c r="D21" s="320"/>
      <c r="E21" s="320">
        <f t="shared" si="0"/>
        <v>3269000</v>
      </c>
      <c r="F21" s="321"/>
      <c r="G21" s="321">
        <f t="shared" si="1"/>
        <v>0</v>
      </c>
      <c r="H21" s="321">
        <f t="shared" si="2"/>
        <v>3269000</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3269000</v>
      </c>
      <c r="E23" s="184"/>
      <c r="F23" s="184">
        <f>SUM(F9:F22)</f>
        <v>0</v>
      </c>
      <c r="G23" s="184"/>
      <c r="H23" s="184">
        <f>D23-F23</f>
        <v>3269000</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c r="D26" s="321"/>
      <c r="E26" s="321"/>
      <c r="F26" s="321"/>
      <c r="G26" s="321"/>
      <c r="H26" s="321"/>
      <c r="I26" s="322"/>
    </row>
    <row r="27" spans="1:9" s="308" customFormat="1" ht="12.75" customHeight="1" x14ac:dyDescent="0.25">
      <c r="A27" s="317"/>
      <c r="B27" s="324"/>
      <c r="C27" s="328"/>
      <c r="D27" s="321"/>
      <c r="E27" s="321"/>
      <c r="F27" s="321"/>
      <c r="G27" s="321"/>
      <c r="H27" s="321"/>
      <c r="I27" s="322"/>
    </row>
    <row r="28" spans="1:9" s="308" customFormat="1" ht="12.75" customHeight="1" x14ac:dyDescent="0.25">
      <c r="A28" s="317"/>
      <c r="B28" s="324"/>
      <c r="C28" s="328"/>
      <c r="D28" s="321"/>
      <c r="E28" s="321"/>
      <c r="F28" s="321"/>
      <c r="G28" s="321"/>
      <c r="H28" s="321"/>
      <c r="I28" s="322"/>
    </row>
    <row r="29" spans="1:9" s="308" customFormat="1" ht="12.75" customHeight="1" x14ac:dyDescent="0.25">
      <c r="A29" s="317"/>
      <c r="B29" s="324"/>
      <c r="C29" s="328"/>
      <c r="D29" s="321"/>
      <c r="E29" s="321"/>
      <c r="F29" s="321"/>
      <c r="G29" s="321"/>
      <c r="H29" s="321"/>
      <c r="I29" s="322"/>
    </row>
    <row r="30" spans="1:9" s="308" customFormat="1" ht="12.75" customHeight="1" x14ac:dyDescent="0.25">
      <c r="A30" s="317"/>
      <c r="B30" s="324"/>
      <c r="C30" s="328"/>
      <c r="D30" s="321"/>
      <c r="E30" s="321"/>
      <c r="F30" s="321"/>
      <c r="G30" s="321"/>
      <c r="H30" s="321"/>
      <c r="I30" s="322"/>
    </row>
    <row r="31" spans="1:9" s="308" customFormat="1" ht="12.75" customHeight="1" x14ac:dyDescent="0.25">
      <c r="A31" s="317"/>
      <c r="B31" s="324"/>
      <c r="C31" s="328"/>
      <c r="D31" s="321"/>
      <c r="E31" s="321"/>
      <c r="F31" s="321"/>
      <c r="G31" s="321"/>
      <c r="H31" s="321"/>
      <c r="I31" s="322"/>
    </row>
    <row r="32" spans="1:9" s="308" customFormat="1" ht="12.75" customHeight="1" x14ac:dyDescent="0.25">
      <c r="A32" s="317"/>
      <c r="B32" s="324"/>
      <c r="C32" s="328"/>
      <c r="D32" s="321"/>
      <c r="E32" s="321"/>
      <c r="F32" s="321"/>
      <c r="G32" s="321"/>
      <c r="H32" s="321"/>
      <c r="I32" s="322"/>
    </row>
    <row r="33" spans="1:9" s="308" customFormat="1" ht="12.75" customHeight="1" x14ac:dyDescent="0.25">
      <c r="A33" s="317"/>
      <c r="B33" s="324"/>
      <c r="C33" s="328"/>
      <c r="D33" s="321"/>
      <c r="E33" s="185"/>
      <c r="F33" s="321"/>
      <c r="G33" s="185"/>
      <c r="H33" s="321"/>
      <c r="I33" s="322"/>
    </row>
    <row r="34" spans="1:9" s="308" customFormat="1" ht="12.75" customHeight="1" x14ac:dyDescent="0.25">
      <c r="A34" s="317"/>
      <c r="B34" s="324"/>
      <c r="C34" s="359"/>
      <c r="D34" s="411"/>
      <c r="E34" s="326"/>
      <c r="F34" s="411"/>
      <c r="G34" s="326"/>
      <c r="H34" s="411"/>
      <c r="I34" s="322"/>
    </row>
    <row r="35" spans="1:9" s="308" customFormat="1" ht="12.75" customHeight="1" x14ac:dyDescent="0.25"/>
  </sheetData>
  <conditionalFormatting sqref="I9:I30">
    <cfRule type="cellIs" dxfId="16" priority="1" operator="greaterThan">
      <formula>$H$23</formula>
    </cfRule>
  </conditionalFormatting>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D3DC-E3B9-437D-BF1E-ED1E5A2E76AD}">
  <sheetPr>
    <pageSetUpPr fitToPage="1"/>
  </sheetPr>
  <dimension ref="A1:I35"/>
  <sheetViews>
    <sheetView zoomScaleNormal="100" workbookViewId="0">
      <selection activeCell="P26" sqref="P26"/>
    </sheetView>
  </sheetViews>
  <sheetFormatPr defaultColWidth="11.42578125" defaultRowHeight="15" customHeight="1" x14ac:dyDescent="0.25"/>
  <cols>
    <col min="1" max="1" width="24.5703125" customWidth="1"/>
    <col min="2" max="2" width="9.42578125" customWidth="1"/>
    <col min="3" max="3" width="27.140625" customWidth="1"/>
    <col min="4" max="4" width="14.42578125" customWidth="1"/>
    <col min="5" max="5" width="13.5703125" customWidth="1"/>
    <col min="6" max="6" width="12.42578125" customWidth="1"/>
    <col min="7" max="7" width="10.5703125" customWidth="1"/>
    <col min="8" max="8" width="14.710937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882</v>
      </c>
      <c r="B4" s="134"/>
      <c r="C4" s="135"/>
      <c r="D4" s="136" t="s">
        <v>883</v>
      </c>
      <c r="E4" s="132"/>
      <c r="F4" s="132"/>
      <c r="G4" s="132"/>
      <c r="H4" s="133"/>
      <c r="I4" s="133"/>
    </row>
    <row r="5" spans="1:9" ht="15.75" x14ac:dyDescent="0.25">
      <c r="A5" s="137" t="s">
        <v>147</v>
      </c>
      <c r="B5" s="138"/>
      <c r="C5" s="139"/>
      <c r="D5" s="140" t="s">
        <v>876</v>
      </c>
      <c r="E5" s="141"/>
      <c r="F5" s="142"/>
      <c r="G5" s="142"/>
      <c r="H5" s="138"/>
      <c r="I5" s="133"/>
    </row>
    <row r="6" spans="1:9" ht="15.75" x14ac:dyDescent="0.25">
      <c r="A6" s="93" t="str">
        <f>'RECAP #9488.00'!B6</f>
        <v>Project Manager - Jennie E</v>
      </c>
      <c r="B6" s="93"/>
      <c r="C6" s="143"/>
      <c r="D6" s="144" t="s">
        <v>877</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884</v>
      </c>
      <c r="B9" s="318">
        <v>46190</v>
      </c>
      <c r="C9" s="324" t="s">
        <v>146</v>
      </c>
      <c r="D9" s="319">
        <v>116625</v>
      </c>
      <c r="E9" s="320">
        <f>D9</f>
        <v>116625</v>
      </c>
      <c r="F9" s="321"/>
      <c r="G9" s="321"/>
      <c r="H9" s="321">
        <f>E9</f>
        <v>116625</v>
      </c>
      <c r="I9" s="322"/>
    </row>
    <row r="10" spans="1:9" s="308" customFormat="1" ht="12.75" customHeight="1" x14ac:dyDescent="0.25">
      <c r="A10" s="317"/>
      <c r="B10" s="323"/>
      <c r="C10" s="324"/>
      <c r="D10" s="320"/>
      <c r="E10" s="320">
        <f t="shared" ref="E10:E21" si="0">E9+D10</f>
        <v>116625</v>
      </c>
      <c r="F10" s="325"/>
      <c r="G10" s="321">
        <f t="shared" ref="G10:G21" si="1">G9+F10</f>
        <v>0</v>
      </c>
      <c r="H10" s="321">
        <f t="shared" ref="H10:H21" si="2">H9-F10+D10</f>
        <v>116625</v>
      </c>
      <c r="I10" s="322"/>
    </row>
    <row r="11" spans="1:9" s="308" customFormat="1" ht="12.75" customHeight="1" x14ac:dyDescent="0.25">
      <c r="A11" s="317"/>
      <c r="B11" s="318"/>
      <c r="C11" s="324"/>
      <c r="D11" s="320"/>
      <c r="E11" s="320">
        <f t="shared" si="0"/>
        <v>116625</v>
      </c>
      <c r="F11" s="325"/>
      <c r="G11" s="321">
        <f t="shared" si="1"/>
        <v>0</v>
      </c>
      <c r="H11" s="321">
        <f t="shared" si="2"/>
        <v>116625</v>
      </c>
      <c r="I11" s="322"/>
    </row>
    <row r="12" spans="1:9" s="308" customFormat="1" ht="12.75" customHeight="1" x14ac:dyDescent="0.25">
      <c r="A12" s="317"/>
      <c r="B12" s="318"/>
      <c r="C12" s="324"/>
      <c r="D12" s="320"/>
      <c r="E12" s="320">
        <f t="shared" si="0"/>
        <v>116625</v>
      </c>
      <c r="F12" s="325"/>
      <c r="G12" s="321">
        <f t="shared" si="1"/>
        <v>0</v>
      </c>
      <c r="H12" s="321">
        <f t="shared" si="2"/>
        <v>116625</v>
      </c>
      <c r="I12" s="322"/>
    </row>
    <row r="13" spans="1:9" s="308" customFormat="1" ht="12.75" customHeight="1" x14ac:dyDescent="0.25">
      <c r="A13" s="317"/>
      <c r="B13" s="318"/>
      <c r="C13" s="324"/>
      <c r="D13" s="320"/>
      <c r="E13" s="320">
        <f t="shared" si="0"/>
        <v>116625</v>
      </c>
      <c r="F13" s="325"/>
      <c r="G13" s="321">
        <f t="shared" si="1"/>
        <v>0</v>
      </c>
      <c r="H13" s="321">
        <f t="shared" si="2"/>
        <v>116625</v>
      </c>
      <c r="I13" s="322"/>
    </row>
    <row r="14" spans="1:9" s="308" customFormat="1" ht="12.75" customHeight="1" x14ac:dyDescent="0.25">
      <c r="A14" s="317"/>
      <c r="B14" s="318"/>
      <c r="C14" s="324"/>
      <c r="D14" s="320"/>
      <c r="E14" s="320">
        <f t="shared" si="0"/>
        <v>116625</v>
      </c>
      <c r="F14" s="325"/>
      <c r="G14" s="321">
        <f t="shared" si="1"/>
        <v>0</v>
      </c>
      <c r="H14" s="321">
        <f t="shared" si="2"/>
        <v>116625</v>
      </c>
      <c r="I14" s="322"/>
    </row>
    <row r="15" spans="1:9" s="308" customFormat="1" ht="12.75" customHeight="1" x14ac:dyDescent="0.25">
      <c r="A15" s="317"/>
      <c r="B15" s="318"/>
      <c r="C15" s="324"/>
      <c r="D15" s="320"/>
      <c r="E15" s="320">
        <f t="shared" si="0"/>
        <v>116625</v>
      </c>
      <c r="F15" s="325"/>
      <c r="G15" s="321">
        <f t="shared" si="1"/>
        <v>0</v>
      </c>
      <c r="H15" s="321">
        <f t="shared" si="2"/>
        <v>116625</v>
      </c>
      <c r="I15" s="322"/>
    </row>
    <row r="16" spans="1:9" s="308" customFormat="1" ht="12.75" customHeight="1" x14ac:dyDescent="0.25">
      <c r="A16" s="317"/>
      <c r="B16" s="318"/>
      <c r="C16" s="324"/>
      <c r="D16" s="320"/>
      <c r="E16" s="320">
        <f t="shared" si="0"/>
        <v>116625</v>
      </c>
      <c r="F16" s="326"/>
      <c r="G16" s="321">
        <f t="shared" si="1"/>
        <v>0</v>
      </c>
      <c r="H16" s="321">
        <f t="shared" si="2"/>
        <v>116625</v>
      </c>
      <c r="I16" s="322"/>
    </row>
    <row r="17" spans="1:9" s="308" customFormat="1" ht="12.75" customHeight="1" x14ac:dyDescent="0.25">
      <c r="A17" s="317"/>
      <c r="B17" s="318"/>
      <c r="C17" s="324"/>
      <c r="D17" s="320"/>
      <c r="E17" s="320">
        <f t="shared" si="0"/>
        <v>116625</v>
      </c>
      <c r="F17" s="326"/>
      <c r="G17" s="321">
        <f t="shared" si="1"/>
        <v>0</v>
      </c>
      <c r="H17" s="321">
        <f t="shared" si="2"/>
        <v>116625</v>
      </c>
      <c r="I17" s="322"/>
    </row>
    <row r="18" spans="1:9" s="308" customFormat="1" ht="12.75" customHeight="1" x14ac:dyDescent="0.25">
      <c r="A18" s="317"/>
      <c r="B18" s="318"/>
      <c r="C18" s="324"/>
      <c r="D18" s="320"/>
      <c r="E18" s="320">
        <f t="shared" si="0"/>
        <v>116625</v>
      </c>
      <c r="F18" s="326"/>
      <c r="G18" s="321">
        <f t="shared" si="1"/>
        <v>0</v>
      </c>
      <c r="H18" s="321">
        <f t="shared" si="2"/>
        <v>116625</v>
      </c>
      <c r="I18" s="322"/>
    </row>
    <row r="19" spans="1:9" s="308" customFormat="1" ht="12.75" customHeight="1" x14ac:dyDescent="0.25">
      <c r="A19" s="317"/>
      <c r="B19" s="318"/>
      <c r="C19" s="324"/>
      <c r="D19" s="320"/>
      <c r="E19" s="320">
        <f t="shared" si="0"/>
        <v>116625</v>
      </c>
      <c r="F19" s="321"/>
      <c r="G19" s="321">
        <f t="shared" si="1"/>
        <v>0</v>
      </c>
      <c r="H19" s="321">
        <f t="shared" si="2"/>
        <v>116625</v>
      </c>
      <c r="I19" s="322"/>
    </row>
    <row r="20" spans="1:9" s="308" customFormat="1" ht="12.75" customHeight="1" x14ac:dyDescent="0.25">
      <c r="A20" s="317"/>
      <c r="B20" s="318"/>
      <c r="C20" s="324"/>
      <c r="D20" s="320"/>
      <c r="E20" s="320">
        <f t="shared" si="0"/>
        <v>116625</v>
      </c>
      <c r="F20" s="321"/>
      <c r="G20" s="321">
        <f t="shared" si="1"/>
        <v>0</v>
      </c>
      <c r="H20" s="321">
        <f t="shared" si="2"/>
        <v>116625</v>
      </c>
      <c r="I20" s="322"/>
    </row>
    <row r="21" spans="1:9" s="308" customFormat="1" ht="12.75" customHeight="1" x14ac:dyDescent="0.25">
      <c r="A21" s="317"/>
      <c r="B21" s="318"/>
      <c r="C21" s="327"/>
      <c r="D21" s="320"/>
      <c r="E21" s="320">
        <f t="shared" si="0"/>
        <v>116625</v>
      </c>
      <c r="F21" s="321"/>
      <c r="G21" s="321">
        <f t="shared" si="1"/>
        <v>0</v>
      </c>
      <c r="H21" s="321">
        <f t="shared" si="2"/>
        <v>116625</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116625</v>
      </c>
      <c r="E23" s="184"/>
      <c r="F23" s="184">
        <f>SUM(F9:F22)</f>
        <v>0</v>
      </c>
      <c r="G23" s="184"/>
      <c r="H23" s="184">
        <f>D23-F23</f>
        <v>116625</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c r="D26" s="321"/>
      <c r="E26" s="321"/>
      <c r="F26" s="321"/>
      <c r="G26" s="321"/>
      <c r="H26" s="321"/>
      <c r="I26" s="322"/>
    </row>
    <row r="27" spans="1:9" s="308" customFormat="1" ht="12.75" customHeight="1" x14ac:dyDescent="0.25">
      <c r="A27" s="317"/>
      <c r="B27" s="324"/>
      <c r="C27" s="328"/>
      <c r="D27" s="321"/>
      <c r="E27" s="321"/>
      <c r="F27" s="321"/>
      <c r="G27" s="321"/>
      <c r="H27" s="321"/>
      <c r="I27" s="322"/>
    </row>
    <row r="28" spans="1:9" s="308" customFormat="1" ht="12.75" customHeight="1" x14ac:dyDescent="0.25">
      <c r="A28" s="317"/>
      <c r="B28" s="324"/>
      <c r="C28" s="328"/>
      <c r="D28" s="321"/>
      <c r="E28" s="321"/>
      <c r="F28" s="321"/>
      <c r="G28" s="321"/>
      <c r="H28" s="321"/>
      <c r="I28" s="322"/>
    </row>
    <row r="29" spans="1:9" s="308" customFormat="1" ht="12.75" customHeight="1" x14ac:dyDescent="0.25">
      <c r="A29" s="317"/>
      <c r="B29" s="324"/>
      <c r="C29" s="328"/>
      <c r="D29" s="321"/>
      <c r="E29" s="321"/>
      <c r="F29" s="321"/>
      <c r="G29" s="321"/>
      <c r="H29" s="321"/>
      <c r="I29" s="322"/>
    </row>
    <row r="30" spans="1:9" s="308" customFormat="1" ht="12.75" customHeight="1" x14ac:dyDescent="0.25">
      <c r="A30" s="317"/>
      <c r="B30" s="324"/>
      <c r="C30" s="328"/>
      <c r="D30" s="321"/>
      <c r="E30" s="321"/>
      <c r="F30" s="321"/>
      <c r="G30" s="321"/>
      <c r="H30" s="321"/>
      <c r="I30" s="322"/>
    </row>
    <row r="31" spans="1:9" s="308" customFormat="1" ht="12.75" customHeight="1" x14ac:dyDescent="0.25">
      <c r="A31" s="317"/>
      <c r="B31" s="324"/>
      <c r="C31" s="328"/>
      <c r="D31" s="321"/>
      <c r="E31" s="321"/>
      <c r="F31" s="321"/>
      <c r="G31" s="321"/>
      <c r="H31" s="321"/>
      <c r="I31" s="322"/>
    </row>
    <row r="32" spans="1:9" s="308" customFormat="1" ht="12.75" customHeight="1" x14ac:dyDescent="0.25">
      <c r="A32" s="317"/>
      <c r="B32" s="324"/>
      <c r="C32" s="328"/>
      <c r="D32" s="321"/>
      <c r="E32" s="321"/>
      <c r="F32" s="321"/>
      <c r="G32" s="321"/>
      <c r="H32" s="321"/>
      <c r="I32" s="322"/>
    </row>
    <row r="33" spans="1:9" s="308" customFormat="1" ht="12.75" customHeight="1" x14ac:dyDescent="0.25">
      <c r="A33" s="317"/>
      <c r="B33" s="324"/>
      <c r="C33" s="328"/>
      <c r="D33" s="321"/>
      <c r="E33" s="185"/>
      <c r="F33" s="321"/>
      <c r="G33" s="185"/>
      <c r="H33" s="321"/>
      <c r="I33" s="322"/>
    </row>
    <row r="34" spans="1:9" s="308" customFormat="1" ht="12.75" customHeight="1" x14ac:dyDescent="0.25">
      <c r="A34" s="317"/>
      <c r="B34" s="324"/>
      <c r="C34" s="359"/>
      <c r="D34" s="411"/>
      <c r="E34" s="326"/>
      <c r="F34" s="411"/>
      <c r="G34" s="326"/>
      <c r="H34" s="411"/>
      <c r="I34" s="322"/>
    </row>
    <row r="35" spans="1:9" s="308" customFormat="1" ht="12.75" customHeight="1" x14ac:dyDescent="0.25"/>
  </sheetData>
  <conditionalFormatting sqref="I9:I30">
    <cfRule type="cellIs" dxfId="15" priority="1" operator="greaterThan">
      <formula>$H$23</formula>
    </cfRule>
  </conditionalFormatting>
  <pageMargins left="0.25" right="0.25" top="0.85" bottom="0.75" header="0.08" footer="0.3"/>
  <pageSetup scale="73"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43D14-8998-461E-AA55-A0C085E00015}">
  <sheetPr>
    <pageSetUpPr fitToPage="1"/>
  </sheetPr>
  <dimension ref="A1:I41"/>
  <sheetViews>
    <sheetView topLeftCell="A6"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35.42578125" customWidth="1"/>
    <col min="4" max="4" width="14.42578125" customWidth="1"/>
    <col min="5" max="5" width="13.5703125" customWidth="1"/>
    <col min="6" max="6" width="12.42578125" customWidth="1"/>
    <col min="7" max="7" width="10.5703125" customWidth="1"/>
    <col min="8" max="8" width="12.140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15.75" x14ac:dyDescent="0.25">
      <c r="A1" s="85" t="str">
        <f>'RECAP #9488.00'!B1</f>
        <v xml:space="preserve">DOC 4JD New Central Office Building </v>
      </c>
      <c r="B1" s="86"/>
      <c r="C1" s="6"/>
      <c r="D1" s="6"/>
      <c r="E1" s="6"/>
      <c r="F1" s="132"/>
      <c r="G1" s="132"/>
      <c r="H1" s="133"/>
      <c r="I1" s="133"/>
    </row>
    <row r="2" spans="1:9" ht="15.75" x14ac:dyDescent="0.25">
      <c r="A2" s="88" t="str">
        <f>'RECAP #9488.00'!B2</f>
        <v>Project # 9488.00</v>
      </c>
      <c r="B2" s="87"/>
      <c r="C2" s="6"/>
      <c r="D2" s="6"/>
      <c r="E2" s="6"/>
      <c r="F2" s="132"/>
      <c r="G2" s="132"/>
      <c r="H2" s="133"/>
      <c r="I2" s="133"/>
    </row>
    <row r="3" spans="1:9" ht="15.75" x14ac:dyDescent="0.25">
      <c r="A3" s="89" t="str">
        <f>'RECAP #9488.00'!B3</f>
        <v>Program code 948800</v>
      </c>
      <c r="B3" s="87"/>
      <c r="C3" s="6"/>
      <c r="D3" s="90" t="str">
        <f>'RECAP #9488.00'!E3</f>
        <v>Major Program 4B01</v>
      </c>
      <c r="E3" s="6"/>
      <c r="F3" s="132"/>
      <c r="G3" s="132"/>
      <c r="H3" s="133"/>
      <c r="I3" s="133"/>
    </row>
    <row r="4" spans="1:9" ht="15.75" x14ac:dyDescent="0.25">
      <c r="A4" s="116" t="s">
        <v>943</v>
      </c>
      <c r="B4" s="134"/>
      <c r="C4" s="135"/>
      <c r="D4" s="136" t="s">
        <v>238</v>
      </c>
      <c r="E4" s="132"/>
      <c r="F4" s="132"/>
      <c r="G4" s="132"/>
      <c r="H4" s="133"/>
      <c r="I4" s="133"/>
    </row>
    <row r="5" spans="1:9" ht="15.75" x14ac:dyDescent="0.25">
      <c r="A5" s="137" t="s">
        <v>147</v>
      </c>
      <c r="B5" s="138"/>
      <c r="C5" s="139"/>
      <c r="D5" s="140" t="s">
        <v>239</v>
      </c>
      <c r="E5" s="141"/>
      <c r="F5" s="142"/>
      <c r="G5" s="142"/>
      <c r="H5" s="138"/>
      <c r="I5" s="133"/>
    </row>
    <row r="6" spans="1:9" ht="15.75" x14ac:dyDescent="0.25">
      <c r="A6" s="93" t="str">
        <f>'RECAP #9488.00'!B6</f>
        <v>Project Manager - Jennie E</v>
      </c>
      <c r="B6" s="93"/>
      <c r="C6" s="143"/>
      <c r="D6" s="144" t="s">
        <v>144</v>
      </c>
      <c r="E6" s="145"/>
      <c r="F6" s="146"/>
      <c r="G6" s="142"/>
      <c r="H6" s="138"/>
      <c r="I6" s="133"/>
    </row>
    <row r="7" spans="1:9" ht="15.75" x14ac:dyDescent="0.25">
      <c r="A7" s="133"/>
      <c r="B7" s="147"/>
      <c r="C7" s="147"/>
      <c r="D7" s="133"/>
      <c r="E7" s="146"/>
      <c r="F7" s="146"/>
      <c r="G7" s="142"/>
      <c r="H7" s="138"/>
      <c r="I7" s="133" t="s">
        <v>3</v>
      </c>
    </row>
    <row r="8" spans="1:9" ht="32.25" thickBot="1" x14ac:dyDescent="0.3">
      <c r="A8" s="148" t="s">
        <v>49</v>
      </c>
      <c r="B8" s="149" t="s">
        <v>4</v>
      </c>
      <c r="C8" s="150" t="s">
        <v>11</v>
      </c>
      <c r="D8" s="151" t="s">
        <v>50</v>
      </c>
      <c r="E8" s="151" t="s">
        <v>51</v>
      </c>
      <c r="F8" s="151" t="s">
        <v>52</v>
      </c>
      <c r="G8" s="151" t="s">
        <v>53</v>
      </c>
      <c r="H8" s="151" t="s">
        <v>12</v>
      </c>
      <c r="I8" s="133" t="s">
        <v>3</v>
      </c>
    </row>
    <row r="9" spans="1:9" s="308" customFormat="1" ht="12.75" customHeight="1" x14ac:dyDescent="0.25">
      <c r="A9" s="317" t="s">
        <v>944</v>
      </c>
      <c r="B9" s="318">
        <v>46198</v>
      </c>
      <c r="C9" s="324" t="s">
        <v>146</v>
      </c>
      <c r="D9" s="319">
        <v>766820.2</v>
      </c>
      <c r="E9" s="320">
        <f>D9</f>
        <v>766820.2</v>
      </c>
      <c r="F9" s="321"/>
      <c r="G9" s="321"/>
      <c r="H9" s="321">
        <f>E9</f>
        <v>766820.2</v>
      </c>
      <c r="I9" s="322"/>
    </row>
    <row r="10" spans="1:9" s="308" customFormat="1" ht="12.75" customHeight="1" x14ac:dyDescent="0.25">
      <c r="A10" s="317" t="s">
        <v>969</v>
      </c>
      <c r="B10" s="323">
        <v>46209</v>
      </c>
      <c r="C10" s="324" t="s">
        <v>970</v>
      </c>
      <c r="D10" s="320"/>
      <c r="E10" s="320">
        <f t="shared" ref="E10:E21" si="0">E9+D10</f>
        <v>766820.2</v>
      </c>
      <c r="F10" s="325">
        <v>8996.0300000000007</v>
      </c>
      <c r="G10" s="321">
        <f t="shared" ref="G10:G21" si="1">G9+F10</f>
        <v>8996.0300000000007</v>
      </c>
      <c r="H10" s="321">
        <f t="shared" ref="H10:H21" si="2">H9-F10+D10</f>
        <v>757824.16999999993</v>
      </c>
      <c r="I10" s="322"/>
    </row>
    <row r="11" spans="1:9" s="308" customFormat="1" ht="12.75" customHeight="1" x14ac:dyDescent="0.2">
      <c r="A11" s="317"/>
      <c r="B11" s="318"/>
      <c r="C11" s="324"/>
      <c r="D11" s="320"/>
      <c r="E11" s="320">
        <f t="shared" si="0"/>
        <v>766820.2</v>
      </c>
      <c r="F11" s="167"/>
      <c r="G11" s="321">
        <f t="shared" si="1"/>
        <v>8996.0300000000007</v>
      </c>
      <c r="H11" s="321">
        <f t="shared" si="2"/>
        <v>757824.16999999993</v>
      </c>
      <c r="I11" s="322"/>
    </row>
    <row r="12" spans="1:9" s="308" customFormat="1" ht="12.75" customHeight="1" x14ac:dyDescent="0.2">
      <c r="A12" s="317"/>
      <c r="B12" s="318"/>
      <c r="C12" s="324"/>
      <c r="D12" s="320"/>
      <c r="E12" s="320">
        <f t="shared" si="0"/>
        <v>766820.2</v>
      </c>
      <c r="F12" s="167"/>
      <c r="G12" s="321">
        <f t="shared" si="1"/>
        <v>8996.0300000000007</v>
      </c>
      <c r="H12" s="321">
        <f t="shared" si="2"/>
        <v>757824.16999999993</v>
      </c>
      <c r="I12" s="322"/>
    </row>
    <row r="13" spans="1:9" s="308" customFormat="1" ht="12.75" customHeight="1" x14ac:dyDescent="0.2">
      <c r="A13" s="317"/>
      <c r="B13" s="318"/>
      <c r="C13" s="324"/>
      <c r="D13" s="320"/>
      <c r="E13" s="320">
        <f t="shared" si="0"/>
        <v>766820.2</v>
      </c>
      <c r="F13" s="167"/>
      <c r="G13" s="321">
        <f t="shared" si="1"/>
        <v>8996.0300000000007</v>
      </c>
      <c r="H13" s="321">
        <f t="shared" si="2"/>
        <v>757824.16999999993</v>
      </c>
      <c r="I13" s="322"/>
    </row>
    <row r="14" spans="1:9" s="308" customFormat="1" ht="12.75" customHeight="1" x14ac:dyDescent="0.2">
      <c r="A14" s="317"/>
      <c r="B14" s="318"/>
      <c r="C14" s="324"/>
      <c r="D14" s="320"/>
      <c r="E14" s="320">
        <f t="shared" si="0"/>
        <v>766820.2</v>
      </c>
      <c r="F14" s="167"/>
      <c r="G14" s="321">
        <f t="shared" si="1"/>
        <v>8996.0300000000007</v>
      </c>
      <c r="H14" s="321">
        <f t="shared" si="2"/>
        <v>757824.16999999993</v>
      </c>
      <c r="I14" s="322"/>
    </row>
    <row r="15" spans="1:9" s="308" customFormat="1" ht="12.75" customHeight="1" x14ac:dyDescent="0.2">
      <c r="A15" s="317"/>
      <c r="B15" s="318"/>
      <c r="C15" s="324"/>
      <c r="D15" s="320"/>
      <c r="E15" s="320">
        <f t="shared" si="0"/>
        <v>766820.2</v>
      </c>
      <c r="F15" s="167"/>
      <c r="G15" s="321">
        <f t="shared" si="1"/>
        <v>8996.0300000000007</v>
      </c>
      <c r="H15" s="321">
        <f t="shared" si="2"/>
        <v>757824.16999999993</v>
      </c>
      <c r="I15" s="322"/>
    </row>
    <row r="16" spans="1:9" s="308" customFormat="1" ht="12.75" customHeight="1" x14ac:dyDescent="0.25">
      <c r="A16" s="317"/>
      <c r="B16" s="318"/>
      <c r="C16" s="324"/>
      <c r="D16" s="320"/>
      <c r="E16" s="320">
        <f t="shared" si="0"/>
        <v>766820.2</v>
      </c>
      <c r="F16" s="326"/>
      <c r="G16" s="321">
        <f t="shared" si="1"/>
        <v>8996.0300000000007</v>
      </c>
      <c r="H16" s="321">
        <f t="shared" si="2"/>
        <v>757824.16999999993</v>
      </c>
      <c r="I16" s="322"/>
    </row>
    <row r="17" spans="1:9" s="308" customFormat="1" ht="12.75" customHeight="1" x14ac:dyDescent="0.25">
      <c r="A17" s="317"/>
      <c r="B17" s="318"/>
      <c r="C17" s="324"/>
      <c r="D17" s="320"/>
      <c r="E17" s="320">
        <f t="shared" si="0"/>
        <v>766820.2</v>
      </c>
      <c r="F17" s="326"/>
      <c r="G17" s="321">
        <f t="shared" si="1"/>
        <v>8996.0300000000007</v>
      </c>
      <c r="H17" s="321">
        <f t="shared" si="2"/>
        <v>757824.16999999993</v>
      </c>
      <c r="I17" s="322"/>
    </row>
    <row r="18" spans="1:9" s="308" customFormat="1" ht="12.75" customHeight="1" x14ac:dyDescent="0.25">
      <c r="A18" s="317"/>
      <c r="B18" s="318"/>
      <c r="C18" s="324"/>
      <c r="D18" s="320"/>
      <c r="E18" s="320">
        <f t="shared" si="0"/>
        <v>766820.2</v>
      </c>
      <c r="F18" s="326"/>
      <c r="G18" s="321">
        <f t="shared" si="1"/>
        <v>8996.0300000000007</v>
      </c>
      <c r="H18" s="321">
        <f t="shared" si="2"/>
        <v>757824.16999999993</v>
      </c>
      <c r="I18" s="322"/>
    </row>
    <row r="19" spans="1:9" s="308" customFormat="1" ht="12.75" customHeight="1" x14ac:dyDescent="0.25">
      <c r="A19" s="317"/>
      <c r="B19" s="318"/>
      <c r="C19" s="324"/>
      <c r="D19" s="320"/>
      <c r="E19" s="320">
        <f t="shared" si="0"/>
        <v>766820.2</v>
      </c>
      <c r="F19" s="321"/>
      <c r="G19" s="321">
        <f t="shared" si="1"/>
        <v>8996.0300000000007</v>
      </c>
      <c r="H19" s="321">
        <f t="shared" si="2"/>
        <v>757824.16999999993</v>
      </c>
      <c r="I19" s="322"/>
    </row>
    <row r="20" spans="1:9" s="308" customFormat="1" ht="12.75" customHeight="1" x14ac:dyDescent="0.25">
      <c r="A20" s="317"/>
      <c r="B20" s="318"/>
      <c r="C20" s="324"/>
      <c r="D20" s="320"/>
      <c r="E20" s="320">
        <f t="shared" si="0"/>
        <v>766820.2</v>
      </c>
      <c r="F20" s="321"/>
      <c r="G20" s="321">
        <f t="shared" si="1"/>
        <v>8996.0300000000007</v>
      </c>
      <c r="H20" s="321">
        <f t="shared" si="2"/>
        <v>757824.16999999993</v>
      </c>
      <c r="I20" s="322"/>
    </row>
    <row r="21" spans="1:9" s="308" customFormat="1" ht="12.75" customHeight="1" x14ac:dyDescent="0.25">
      <c r="A21" s="317"/>
      <c r="B21" s="318"/>
      <c r="C21" s="327"/>
      <c r="D21" s="320"/>
      <c r="E21" s="320">
        <f t="shared" si="0"/>
        <v>766820.2</v>
      </c>
      <c r="F21" s="321"/>
      <c r="G21" s="321">
        <f t="shared" si="1"/>
        <v>8996.0300000000007</v>
      </c>
      <c r="H21" s="321">
        <f t="shared" si="2"/>
        <v>757824.16999999993</v>
      </c>
      <c r="I21" s="322"/>
    </row>
    <row r="22" spans="1:9" s="308" customFormat="1" ht="12.75" customHeight="1" x14ac:dyDescent="0.25">
      <c r="A22" s="317"/>
      <c r="B22" s="324"/>
      <c r="C22" s="328"/>
      <c r="D22" s="321"/>
      <c r="E22" s="321"/>
      <c r="F22" s="321"/>
      <c r="G22" s="321"/>
      <c r="H22" s="321"/>
      <c r="I22" s="322"/>
    </row>
    <row r="23" spans="1:9" s="308" customFormat="1" ht="12.75" customHeight="1" thickBot="1" x14ac:dyDescent="0.3">
      <c r="A23" s="317"/>
      <c r="B23" s="329"/>
      <c r="C23" s="330" t="s">
        <v>54</v>
      </c>
      <c r="D23" s="184">
        <f>SUM(D9:D22)</f>
        <v>766820.2</v>
      </c>
      <c r="E23" s="184"/>
      <c r="F23" s="184">
        <f>SUM(F9:F22)</f>
        <v>8996.0300000000007</v>
      </c>
      <c r="G23" s="184"/>
      <c r="H23" s="184">
        <f>D23-F23</f>
        <v>757824.16999999993</v>
      </c>
      <c r="I23" s="322"/>
    </row>
    <row r="24" spans="1:9" s="308" customFormat="1" ht="12.75" customHeight="1" thickTop="1" x14ac:dyDescent="0.25">
      <c r="A24" s="317"/>
      <c r="B24" s="324"/>
      <c r="C24" s="328"/>
      <c r="D24" s="321"/>
      <c r="E24" s="321"/>
      <c r="F24" s="321"/>
      <c r="G24" s="321"/>
      <c r="H24" s="321"/>
      <c r="I24" s="322"/>
    </row>
    <row r="25" spans="1:9" s="308" customFormat="1" ht="12.75" customHeight="1" x14ac:dyDescent="0.25">
      <c r="A25" s="317"/>
      <c r="B25" s="324"/>
      <c r="C25" s="328"/>
      <c r="D25" s="321"/>
      <c r="E25" s="321"/>
      <c r="F25" s="321"/>
      <c r="G25" s="321"/>
      <c r="H25" s="321"/>
      <c r="I25" s="322"/>
    </row>
    <row r="26" spans="1:9" s="308" customFormat="1" ht="12.75" customHeight="1" x14ac:dyDescent="0.25">
      <c r="A26" s="317"/>
      <c r="B26" s="324"/>
      <c r="C26" s="328" t="s">
        <v>252</v>
      </c>
      <c r="D26" s="321">
        <v>488368.2</v>
      </c>
      <c r="E26" s="321"/>
      <c r="F26" s="321">
        <f>6754.03</f>
        <v>6754.03</v>
      </c>
      <c r="G26" s="321"/>
      <c r="H26" s="321">
        <f>D26-F26</f>
        <v>481614.17</v>
      </c>
      <c r="I26" s="322"/>
    </row>
    <row r="27" spans="1:9" s="308" customFormat="1" ht="12.75" customHeight="1" x14ac:dyDescent="0.25">
      <c r="A27" s="317"/>
      <c r="B27" s="324"/>
      <c r="C27" s="328" t="s">
        <v>945</v>
      </c>
      <c r="D27" s="321">
        <v>43108</v>
      </c>
      <c r="E27" s="321"/>
      <c r="F27" s="321">
        <f>242</f>
        <v>242</v>
      </c>
      <c r="G27" s="321"/>
      <c r="H27" s="321">
        <f t="shared" ref="H27:H35" si="3">D27-F27</f>
        <v>42866</v>
      </c>
      <c r="I27" s="322"/>
    </row>
    <row r="28" spans="1:9" s="308" customFormat="1" ht="12.75" customHeight="1" x14ac:dyDescent="0.25">
      <c r="A28" s="317"/>
      <c r="B28" s="324"/>
      <c r="C28" s="328" t="s">
        <v>946</v>
      </c>
      <c r="D28" s="321">
        <v>7500</v>
      </c>
      <c r="E28" s="321"/>
      <c r="F28" s="321"/>
      <c r="G28" s="321"/>
      <c r="H28" s="321">
        <f t="shared" si="3"/>
        <v>7500</v>
      </c>
      <c r="I28" s="322"/>
    </row>
    <row r="29" spans="1:9" s="308" customFormat="1" ht="12.75" customHeight="1" x14ac:dyDescent="0.25">
      <c r="A29" s="317"/>
      <c r="B29" s="324"/>
      <c r="C29" s="328" t="s">
        <v>947</v>
      </c>
      <c r="D29" s="321">
        <v>8400</v>
      </c>
      <c r="E29" s="321"/>
      <c r="F29" s="321"/>
      <c r="G29" s="321"/>
      <c r="H29" s="321">
        <f t="shared" si="3"/>
        <v>8400</v>
      </c>
      <c r="I29" s="322"/>
    </row>
    <row r="30" spans="1:9" s="308" customFormat="1" ht="12.75" customHeight="1" x14ac:dyDescent="0.25">
      <c r="A30" s="317"/>
      <c r="B30" s="324"/>
      <c r="C30" s="328" t="s">
        <v>948</v>
      </c>
      <c r="D30" s="321">
        <v>3600</v>
      </c>
      <c r="E30" s="321"/>
      <c r="F30" s="321"/>
      <c r="G30" s="321"/>
      <c r="H30" s="321">
        <f t="shared" si="3"/>
        <v>3600</v>
      </c>
      <c r="I30" s="322"/>
    </row>
    <row r="31" spans="1:9" s="308" customFormat="1" ht="12.75" customHeight="1" x14ac:dyDescent="0.25">
      <c r="A31" s="317"/>
      <c r="B31" s="324"/>
      <c r="C31" s="328" t="s">
        <v>949</v>
      </c>
      <c r="D31" s="321">
        <v>12000</v>
      </c>
      <c r="E31" s="321"/>
      <c r="F31" s="321"/>
      <c r="G31" s="321"/>
      <c r="H31" s="321">
        <f t="shared" si="3"/>
        <v>12000</v>
      </c>
      <c r="I31" s="322"/>
    </row>
    <row r="32" spans="1:9" s="308" customFormat="1" ht="12.75" customHeight="1" x14ac:dyDescent="0.25">
      <c r="A32" s="317"/>
      <c r="B32" s="324"/>
      <c r="C32" s="328" t="s">
        <v>950</v>
      </c>
      <c r="D32" s="321">
        <v>9040</v>
      </c>
      <c r="E32" s="321"/>
      <c r="F32" s="321"/>
      <c r="G32" s="321"/>
      <c r="H32" s="321">
        <f t="shared" si="3"/>
        <v>9040</v>
      </c>
      <c r="I32" s="322"/>
    </row>
    <row r="33" spans="1:9" s="308" customFormat="1" ht="12.75" customHeight="1" x14ac:dyDescent="0.25">
      <c r="A33" s="317"/>
      <c r="B33" s="324"/>
      <c r="C33" s="328" t="s">
        <v>951</v>
      </c>
      <c r="D33" s="321">
        <v>4800</v>
      </c>
      <c r="E33" s="321"/>
      <c r="F33" s="321"/>
      <c r="G33" s="321"/>
      <c r="H33" s="321">
        <f t="shared" si="3"/>
        <v>4800</v>
      </c>
      <c r="I33" s="322"/>
    </row>
    <row r="34" spans="1:9" s="308" customFormat="1" ht="12.75" customHeight="1" x14ac:dyDescent="0.25">
      <c r="A34" s="317"/>
      <c r="B34" s="324"/>
      <c r="C34" s="328" t="s">
        <v>952</v>
      </c>
      <c r="D34" s="321">
        <v>25000</v>
      </c>
      <c r="E34" s="321"/>
      <c r="F34" s="321"/>
      <c r="G34" s="321"/>
      <c r="H34" s="321">
        <f t="shared" si="3"/>
        <v>25000</v>
      </c>
      <c r="I34" s="322"/>
    </row>
    <row r="35" spans="1:9" s="308" customFormat="1" ht="12.75" customHeight="1" x14ac:dyDescent="0.25">
      <c r="A35" s="317"/>
      <c r="B35" s="324"/>
      <c r="C35" s="328" t="s">
        <v>953</v>
      </c>
      <c r="D35" s="321">
        <v>165004</v>
      </c>
      <c r="E35" s="185"/>
      <c r="F35" s="321">
        <f>2000</f>
        <v>2000</v>
      </c>
      <c r="G35" s="185"/>
      <c r="H35" s="321">
        <f t="shared" si="3"/>
        <v>163004</v>
      </c>
      <c r="I35" s="322"/>
    </row>
    <row r="36" spans="1:9" s="308" customFormat="1" ht="12.75" customHeight="1" thickBot="1" x14ac:dyDescent="0.3">
      <c r="A36" s="317"/>
      <c r="B36" s="324"/>
      <c r="C36" s="359" t="s">
        <v>157</v>
      </c>
      <c r="D36" s="360">
        <f>SUM(D26:D35)</f>
        <v>766820.2</v>
      </c>
      <c r="E36" s="326"/>
      <c r="F36" s="360">
        <f>SUM(F26:F35)</f>
        <v>8996.0299999999988</v>
      </c>
      <c r="G36" s="326"/>
      <c r="H36" s="360">
        <f>SUM(H26:H35)</f>
        <v>757824.16999999993</v>
      </c>
      <c r="I36" s="322"/>
    </row>
    <row r="37" spans="1:9" s="308" customFormat="1" ht="12.75" customHeight="1" thickTop="1" x14ac:dyDescent="0.25"/>
    <row r="38" spans="1:9" s="308" customFormat="1" ht="12.75" customHeight="1" x14ac:dyDescent="0.25"/>
    <row r="39" spans="1:9" s="308" customFormat="1" ht="12.75" customHeight="1" x14ac:dyDescent="0.25"/>
    <row r="40" spans="1:9" s="308" customFormat="1" ht="12.75" customHeight="1" x14ac:dyDescent="0.25"/>
    <row r="41" spans="1:9" s="308" customFormat="1" ht="12.75" customHeight="1" x14ac:dyDescent="0.25"/>
  </sheetData>
  <conditionalFormatting sqref="I9:I32">
    <cfRule type="cellIs" dxfId="14" priority="1" operator="greaterThan">
      <formula>$H$23</formula>
    </cfRule>
  </conditionalFormatting>
  <pageMargins left="0.25" right="0.25" top="0.85" bottom="0.75" header="0.08" footer="0.3"/>
  <pageSetup scale="70" orientation="portrait" r:id="rId1"/>
  <headerFooter alignWithMargins="0">
    <oddHeader>&amp;CDepartment of Administrative Services
MOU Project Improvements DA26
&amp;A
&amp;D</oddHeader>
    <oddFooter>&amp;LAcct Codes 0506-335-DA26
&amp;C&amp;Z&amp;F&amp;R&amp;P/&amp;N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0F245-476B-45C6-9470-9C9FF38712F1}">
  <sheetPr codeName="Sheet69">
    <pageSetUpPr fitToPage="1"/>
  </sheetPr>
  <dimension ref="A1:G15"/>
  <sheetViews>
    <sheetView zoomScaleNormal="100" workbookViewId="0">
      <selection activeCell="E5" sqref="E5:F5"/>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15.75" x14ac:dyDescent="0.25">
      <c r="A1" s="84"/>
      <c r="B1" s="85" t="s">
        <v>114</v>
      </c>
      <c r="C1" s="86"/>
      <c r="D1" s="6"/>
      <c r="E1" s="6"/>
      <c r="F1" s="6"/>
      <c r="G1" s="6"/>
    </row>
    <row r="2" spans="1:7" ht="15.75" x14ac:dyDescent="0.25">
      <c r="A2" s="84"/>
      <c r="B2" s="88" t="s">
        <v>115</v>
      </c>
      <c r="C2" s="87"/>
      <c r="D2" s="6"/>
      <c r="E2" s="6"/>
      <c r="F2" s="6"/>
      <c r="G2" s="6"/>
    </row>
    <row r="3" spans="1:7" ht="15.75" x14ac:dyDescent="0.25">
      <c r="A3" s="84"/>
      <c r="B3" s="89" t="s">
        <v>116</v>
      </c>
      <c r="C3" s="87"/>
      <c r="D3" s="6"/>
      <c r="E3" s="90" t="s">
        <v>112</v>
      </c>
      <c r="F3" s="6"/>
      <c r="G3" s="6"/>
    </row>
    <row r="4" spans="1:7" ht="15.75" x14ac:dyDescent="0.25">
      <c r="A4" s="84"/>
      <c r="B4" s="91" t="s">
        <v>36</v>
      </c>
      <c r="C4" s="92" t="s">
        <v>3</v>
      </c>
      <c r="D4" s="6"/>
      <c r="E4" s="6"/>
      <c r="F4" s="6"/>
      <c r="G4" s="6"/>
    </row>
    <row r="5" spans="1:7" ht="15.75" x14ac:dyDescent="0.25">
      <c r="A5" s="84"/>
      <c r="B5" s="93" t="s">
        <v>63</v>
      </c>
      <c r="C5" s="87"/>
      <c r="D5" s="6"/>
      <c r="E5" s="95" t="s">
        <v>1053</v>
      </c>
      <c r="F5" s="488"/>
      <c r="G5" s="6"/>
    </row>
    <row r="6" spans="1:7" ht="15.75" x14ac:dyDescent="0.25">
      <c r="A6" s="84"/>
      <c r="B6" s="93" t="s">
        <v>78</v>
      </c>
      <c r="C6" s="94"/>
      <c r="D6" s="95" t="s">
        <v>3</v>
      </c>
      <c r="E6" s="6"/>
      <c r="F6" s="6"/>
      <c r="G6" s="6"/>
    </row>
    <row r="7" spans="1:7" ht="33" customHeight="1" thickBot="1" x14ac:dyDescent="0.3">
      <c r="A7" s="84"/>
      <c r="B7" s="96" t="s">
        <v>3</v>
      </c>
      <c r="C7" s="97" t="s">
        <v>0</v>
      </c>
      <c r="D7" s="98" t="s">
        <v>1</v>
      </c>
      <c r="E7" s="99" t="s">
        <v>2</v>
      </c>
      <c r="F7" s="100" t="s">
        <v>37</v>
      </c>
      <c r="G7" s="100" t="s">
        <v>38</v>
      </c>
    </row>
    <row r="8" spans="1:7" ht="28.35" customHeight="1" x14ac:dyDescent="0.25">
      <c r="A8" s="84"/>
      <c r="B8" s="87" t="s">
        <v>39</v>
      </c>
      <c r="C8" s="101">
        <f>'#9489.00 Funds Rec''d'!H24</f>
        <v>50000</v>
      </c>
      <c r="D8" s="102"/>
      <c r="E8" s="102"/>
      <c r="F8" s="102"/>
      <c r="G8" s="103"/>
    </row>
    <row r="9" spans="1:7" s="308" customFormat="1" ht="12.75" customHeight="1" x14ac:dyDescent="0.25">
      <c r="A9" s="374"/>
      <c r="B9" s="375"/>
      <c r="C9" s="376"/>
      <c r="D9" s="377"/>
      <c r="E9" s="377"/>
      <c r="F9" s="377"/>
      <c r="G9" s="378"/>
    </row>
    <row r="10" spans="1:7" s="308" customFormat="1" ht="12.75" customHeight="1" x14ac:dyDescent="0.25">
      <c r="A10" s="381"/>
      <c r="B10" s="375" t="s">
        <v>141</v>
      </c>
      <c r="C10" s="376"/>
      <c r="D10" s="379">
        <f>'#9489.00 McGough Construction'!D23</f>
        <v>16402.419999999998</v>
      </c>
      <c r="E10" s="379">
        <f>'#9489.00 McGough Construction'!F23</f>
        <v>7295.2199999999993</v>
      </c>
      <c r="F10" s="379">
        <f>'#9489.00 McGough Construction'!H23</f>
        <v>9107.1999999999989</v>
      </c>
      <c r="G10" s="378"/>
    </row>
    <row r="11" spans="1:7" s="308" customFormat="1" ht="12.75" customHeight="1" x14ac:dyDescent="0.25">
      <c r="A11" s="374"/>
      <c r="B11" s="375" t="s">
        <v>41</v>
      </c>
      <c r="C11" s="376"/>
      <c r="D11" s="379">
        <f>'#9489.00 PM TIME'!E32</f>
        <v>10000</v>
      </c>
      <c r="E11" s="379">
        <f>'#9489.00 PM TIME'!G32</f>
        <v>6801.4700000000012</v>
      </c>
      <c r="F11" s="379">
        <f>'#9489.00 PM TIME'!I32</f>
        <v>3198.5299999999988</v>
      </c>
      <c r="G11" s="378"/>
    </row>
    <row r="12" spans="1:7" s="308" customFormat="1" ht="12.75" customHeight="1" x14ac:dyDescent="0.25">
      <c r="A12" s="374"/>
      <c r="B12" s="375" t="s">
        <v>42</v>
      </c>
      <c r="C12" s="377"/>
      <c r="D12" s="367">
        <f>'#9489.00 Misc'!G22</f>
        <v>0</v>
      </c>
      <c r="E12" s="367">
        <f>'#9489.00 Misc'!G22</f>
        <v>0</v>
      </c>
      <c r="F12" s="379">
        <f>D12-E12</f>
        <v>0</v>
      </c>
      <c r="G12" s="378"/>
    </row>
    <row r="13" spans="1:7" s="308" customFormat="1" ht="12.75" customHeight="1" x14ac:dyDescent="0.25">
      <c r="A13" s="374"/>
      <c r="B13" s="375"/>
      <c r="C13" s="377"/>
      <c r="D13" s="367"/>
      <c r="E13" s="367"/>
      <c r="F13" s="379"/>
      <c r="G13" s="378"/>
    </row>
    <row r="14" spans="1:7" ht="24" customHeight="1" thickBot="1" x14ac:dyDescent="0.3">
      <c r="A14" s="107"/>
      <c r="B14" s="108" t="s">
        <v>43</v>
      </c>
      <c r="C14" s="109">
        <f>SUM(C8:C13)</f>
        <v>50000</v>
      </c>
      <c r="D14" s="109">
        <f>SUM(D8:D13)</f>
        <v>26402.42</v>
      </c>
      <c r="E14" s="109">
        <f>SUM(E8:E13)</f>
        <v>14096.69</v>
      </c>
      <c r="F14" s="109">
        <f>SUM(D14-E14)</f>
        <v>12305.729999999998</v>
      </c>
      <c r="G14" s="109">
        <f>C8-D14</f>
        <v>23597.58</v>
      </c>
    </row>
    <row r="15"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DA26
&amp;A
&amp;D</oddHeader>
    <oddFooter>&amp;LAcct Codes 0506-335-DA26&amp;C&amp;Z&amp;F
&amp;R&amp;P/&amp;N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59992-6F4B-4D0B-B51B-E1B828EF54C1}">
  <sheetPr codeName="Sheet70">
    <pageSetUpPr fitToPage="1"/>
  </sheetPr>
  <dimension ref="A1:H33"/>
  <sheetViews>
    <sheetView zoomScaleNormal="100" workbookViewId="0">
      <selection activeCell="P26" sqref="P26"/>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 min="257" max="267" width="9.140625" customWidth="1"/>
    <col min="513" max="523" width="9.140625" customWidth="1"/>
    <col min="769" max="779" width="9.140625" customWidth="1"/>
    <col min="1025" max="1035" width="9.140625" customWidth="1"/>
    <col min="1281" max="1291" width="9.140625" customWidth="1"/>
    <col min="1537" max="1547" width="9.140625" customWidth="1"/>
    <col min="1793" max="1803" width="9.140625" customWidth="1"/>
    <col min="2049" max="2059" width="9.140625" customWidth="1"/>
    <col min="2305" max="2315" width="9.140625" customWidth="1"/>
    <col min="2561" max="2571" width="9.140625" customWidth="1"/>
    <col min="2817" max="2827" width="9.140625" customWidth="1"/>
    <col min="3073" max="3083" width="9.140625" customWidth="1"/>
    <col min="3329" max="3339" width="9.140625" customWidth="1"/>
    <col min="3585" max="3595" width="9.140625" customWidth="1"/>
    <col min="3841" max="3851" width="9.140625" customWidth="1"/>
    <col min="4097" max="4107" width="9.140625" customWidth="1"/>
    <col min="4353" max="4363" width="9.140625" customWidth="1"/>
    <col min="4609" max="4619" width="9.140625" customWidth="1"/>
    <col min="4865" max="4875" width="9.140625" customWidth="1"/>
    <col min="5121" max="5131" width="9.140625" customWidth="1"/>
    <col min="5377" max="5387" width="9.140625" customWidth="1"/>
    <col min="5633" max="5643" width="9.140625" customWidth="1"/>
    <col min="5889" max="5899" width="9.140625" customWidth="1"/>
    <col min="6145" max="6155" width="9.140625" customWidth="1"/>
    <col min="6401" max="6411" width="9.140625" customWidth="1"/>
    <col min="6657" max="6667" width="9.140625" customWidth="1"/>
    <col min="6913" max="6923" width="9.140625" customWidth="1"/>
    <col min="7169" max="7179" width="9.140625" customWidth="1"/>
    <col min="7425" max="7435" width="9.140625" customWidth="1"/>
    <col min="7681" max="7691" width="9.140625" customWidth="1"/>
    <col min="7937" max="7947" width="9.140625" customWidth="1"/>
    <col min="8193" max="8203" width="9.140625" customWidth="1"/>
    <col min="8449" max="8459" width="9.140625" customWidth="1"/>
    <col min="8705" max="8715" width="9.140625" customWidth="1"/>
    <col min="8961" max="8971" width="9.140625" customWidth="1"/>
    <col min="9217" max="9227" width="9.140625" customWidth="1"/>
    <col min="9473" max="9483" width="9.140625" customWidth="1"/>
    <col min="9729" max="9739" width="9.140625" customWidth="1"/>
    <col min="9985" max="9995" width="9.140625" customWidth="1"/>
    <col min="10241" max="10251" width="9.140625" customWidth="1"/>
    <col min="10497" max="10507" width="9.140625" customWidth="1"/>
    <col min="10753" max="10763" width="9.140625" customWidth="1"/>
    <col min="11009" max="11019" width="9.140625" customWidth="1"/>
    <col min="11265" max="11275" width="9.140625" customWidth="1"/>
    <col min="11521" max="11531" width="9.140625" customWidth="1"/>
    <col min="11777" max="11787" width="9.140625" customWidth="1"/>
    <col min="12033" max="12043" width="9.140625" customWidth="1"/>
    <col min="12289" max="12299" width="9.140625" customWidth="1"/>
    <col min="12545" max="12555" width="9.140625" customWidth="1"/>
    <col min="12801" max="12811" width="9.140625" customWidth="1"/>
    <col min="13057" max="13067" width="9.140625" customWidth="1"/>
    <col min="13313" max="13323" width="9.140625" customWidth="1"/>
    <col min="13569" max="13579" width="9.140625" customWidth="1"/>
    <col min="13825" max="13835" width="9.140625" customWidth="1"/>
    <col min="14081" max="14091" width="9.140625" customWidth="1"/>
    <col min="14337" max="14347" width="9.140625" customWidth="1"/>
    <col min="14593" max="14603" width="9.140625" customWidth="1"/>
    <col min="14849" max="14859" width="9.140625" customWidth="1"/>
    <col min="15105" max="15115" width="9.140625" customWidth="1"/>
    <col min="15361" max="15371" width="9.140625" customWidth="1"/>
    <col min="15617" max="15627" width="9.140625" customWidth="1"/>
    <col min="15873" max="15883" width="9.140625" customWidth="1"/>
    <col min="16129" max="16139" width="9.140625" customWidth="1"/>
  </cols>
  <sheetData>
    <row r="1" spans="1:8" x14ac:dyDescent="0.25">
      <c r="A1" s="111" t="str">
        <f>'RECAP #9489.00'!B1</f>
        <v>DOC &amp; ASP TWID Repairs</v>
      </c>
      <c r="B1" s="7"/>
      <c r="C1" s="2"/>
      <c r="D1" s="3"/>
      <c r="E1" s="3"/>
      <c r="F1" s="7"/>
      <c r="G1" s="7"/>
      <c r="H1" s="7"/>
    </row>
    <row r="2" spans="1:8" x14ac:dyDescent="0.25">
      <c r="A2" s="112" t="str">
        <f>'RECAP #9489.00'!B2</f>
        <v>Project # 9489.00</v>
      </c>
      <c r="B2" s="7"/>
      <c r="C2" s="113" t="s">
        <v>3</v>
      </c>
      <c r="D2" s="1"/>
      <c r="E2" s="1"/>
      <c r="F2" s="7"/>
      <c r="G2" s="7"/>
      <c r="H2" s="7"/>
    </row>
    <row r="3" spans="1:8" x14ac:dyDescent="0.25">
      <c r="A3" s="114" t="str">
        <f>'RECAP #9489.00'!B3</f>
        <v>Program code 948900</v>
      </c>
      <c r="B3" s="7"/>
      <c r="C3" s="113" t="s">
        <v>3</v>
      </c>
      <c r="D3" s="115" t="str">
        <f>'RECAP #9489.00'!E3</f>
        <v>Major Program 4B01</v>
      </c>
      <c r="E3" s="3"/>
      <c r="F3" s="7"/>
      <c r="G3" s="7"/>
      <c r="H3" s="7"/>
    </row>
    <row r="4" spans="1:8" ht="15.75" x14ac:dyDescent="0.25">
      <c r="A4" s="116" t="s">
        <v>44</v>
      </c>
      <c r="B4" s="117" t="s">
        <v>3</v>
      </c>
      <c r="C4" s="3"/>
      <c r="D4" s="3"/>
      <c r="E4" s="3"/>
      <c r="F4" s="7"/>
      <c r="G4" s="7"/>
      <c r="H4" s="7"/>
    </row>
    <row r="5" spans="1:8" x14ac:dyDescent="0.25">
      <c r="A5" s="107" t="s">
        <v>122</v>
      </c>
      <c r="B5" s="25"/>
      <c r="C5" s="118"/>
      <c r="D5" s="26"/>
      <c r="E5" s="7"/>
      <c r="F5" s="7"/>
      <c r="G5" s="7"/>
      <c r="H5" s="7"/>
    </row>
    <row r="6" spans="1:8" x14ac:dyDescent="0.25">
      <c r="A6" s="119" t="str">
        <f>'RECAP #9489.00'!B6</f>
        <v>Project Manager - Brandon A</v>
      </c>
      <c r="B6" s="25"/>
      <c r="C6" s="120"/>
      <c r="D6" s="26"/>
      <c r="E6" s="25"/>
      <c r="F6" s="26"/>
      <c r="G6" s="120"/>
      <c r="H6" s="120"/>
    </row>
    <row r="7" spans="1:8" ht="18" x14ac:dyDescent="0.25">
      <c r="A7" s="119"/>
      <c r="B7" s="9"/>
      <c r="C7" s="10"/>
      <c r="D7" s="11"/>
      <c r="E7" s="9"/>
      <c r="F7" s="8"/>
      <c r="G7" s="10"/>
      <c r="H7" s="10"/>
    </row>
    <row r="8" spans="1:8" ht="50.85" customHeight="1" thickBot="1" x14ac:dyDescent="0.3">
      <c r="A8" s="121" t="s">
        <v>4</v>
      </c>
      <c r="B8" s="122" t="s">
        <v>45</v>
      </c>
      <c r="C8" s="123" t="s">
        <v>5</v>
      </c>
      <c r="D8" s="121" t="s">
        <v>6</v>
      </c>
      <c r="E8" s="122" t="s">
        <v>46</v>
      </c>
      <c r="F8" s="124" t="s">
        <v>7</v>
      </c>
      <c r="G8" s="123" t="s">
        <v>5</v>
      </c>
      <c r="H8" s="125" t="s">
        <v>8</v>
      </c>
    </row>
    <row r="9" spans="1:8" s="308" customFormat="1" ht="12.75" customHeight="1" x14ac:dyDescent="0.25">
      <c r="A9" s="331"/>
      <c r="B9" s="332"/>
      <c r="C9" s="333"/>
      <c r="D9" s="334" t="s">
        <v>96</v>
      </c>
      <c r="E9" s="334" t="s">
        <v>179</v>
      </c>
      <c r="F9" s="335">
        <v>45888</v>
      </c>
      <c r="G9" s="405">
        <v>50000</v>
      </c>
      <c r="H9" s="405">
        <v>50000</v>
      </c>
    </row>
    <row r="10" spans="1:8" s="308" customFormat="1" ht="12.75" customHeight="1" x14ac:dyDescent="0.25">
      <c r="A10" s="331"/>
      <c r="B10" s="331"/>
      <c r="C10" s="336"/>
      <c r="D10" s="334"/>
      <c r="E10" s="331"/>
      <c r="F10" s="331"/>
      <c r="G10" s="337"/>
      <c r="H10" s="337"/>
    </row>
    <row r="11" spans="1:8" s="308" customFormat="1" ht="12.75" customHeight="1" x14ac:dyDescent="0.25">
      <c r="A11" s="338"/>
      <c r="B11" s="336"/>
      <c r="C11" s="339"/>
      <c r="D11" s="334"/>
      <c r="F11" s="331"/>
      <c r="G11" s="340"/>
      <c r="H11" s="341"/>
    </row>
    <row r="12" spans="1:8" s="308" customFormat="1" ht="12.75" customHeight="1" x14ac:dyDescent="0.25">
      <c r="A12" s="338"/>
      <c r="B12" s="336"/>
      <c r="C12" s="342"/>
      <c r="D12" s="334"/>
      <c r="F12" s="331"/>
      <c r="G12" s="340"/>
      <c r="H12" s="341"/>
    </row>
    <row r="13" spans="1:8" s="308" customFormat="1" ht="12.75" customHeight="1" x14ac:dyDescent="0.25">
      <c r="A13" s="323"/>
      <c r="B13" s="343"/>
      <c r="C13" s="342"/>
      <c r="D13" s="334"/>
      <c r="F13" s="331"/>
      <c r="G13" s="344"/>
      <c r="H13" s="345"/>
    </row>
    <row r="14" spans="1:8" s="308" customFormat="1" ht="12.75" customHeight="1" x14ac:dyDescent="0.25">
      <c r="A14" s="338"/>
      <c r="B14" s="346"/>
      <c r="C14" s="342"/>
      <c r="D14" s="336"/>
      <c r="E14" s="346"/>
      <c r="F14" s="331"/>
      <c r="G14" s="340"/>
      <c r="H14" s="341"/>
    </row>
    <row r="15" spans="1:8" s="308" customFormat="1" ht="12.75" customHeight="1" x14ac:dyDescent="0.25">
      <c r="A15" s="338"/>
      <c r="B15" s="346"/>
      <c r="C15" s="347"/>
      <c r="D15" s="348"/>
      <c r="E15" s="343"/>
      <c r="F15" s="349"/>
      <c r="G15" s="350"/>
      <c r="H15" s="350"/>
    </row>
    <row r="16" spans="1:8" s="308" customFormat="1" ht="12.75" customHeight="1" x14ac:dyDescent="0.25">
      <c r="A16" s="338"/>
      <c r="B16" s="346"/>
      <c r="C16" s="347" t="s">
        <v>3</v>
      </c>
      <c r="D16" s="348"/>
      <c r="E16" s="346"/>
      <c r="F16" s="349"/>
      <c r="G16" s="350"/>
      <c r="H16" s="350"/>
    </row>
    <row r="17" spans="1:8" s="308" customFormat="1" ht="12.75" customHeight="1" x14ac:dyDescent="0.25">
      <c r="A17" s="338"/>
      <c r="B17" s="346"/>
      <c r="C17" s="347"/>
      <c r="D17" s="348"/>
      <c r="E17" s="346"/>
      <c r="F17" s="349"/>
      <c r="G17" s="351"/>
      <c r="H17" s="347"/>
    </row>
    <row r="18" spans="1:8" s="308" customFormat="1" ht="12.75" customHeight="1" x14ac:dyDescent="0.25">
      <c r="A18" s="338"/>
      <c r="B18" s="352"/>
      <c r="C18" s="347"/>
      <c r="D18" s="348"/>
      <c r="E18" s="346"/>
      <c r="F18" s="349"/>
      <c r="G18" s="350"/>
      <c r="H18" s="350"/>
    </row>
    <row r="19" spans="1:8" s="308" customFormat="1" ht="12.75" customHeight="1" x14ac:dyDescent="0.25">
      <c r="A19" s="338"/>
      <c r="B19" s="346"/>
      <c r="C19" s="347"/>
      <c r="D19" s="348"/>
      <c r="E19" s="346"/>
      <c r="F19" s="349"/>
      <c r="G19" s="350"/>
      <c r="H19" s="350"/>
    </row>
    <row r="20" spans="1:8" s="308" customFormat="1" ht="12.75" customHeight="1" x14ac:dyDescent="0.25">
      <c r="A20" s="338"/>
      <c r="B20" s="346"/>
      <c r="C20" s="347"/>
      <c r="D20" s="348"/>
      <c r="E20" s="346"/>
      <c r="F20" s="349"/>
      <c r="G20" s="351"/>
      <c r="H20" s="347"/>
    </row>
    <row r="21" spans="1:8" s="308" customFormat="1" ht="12.75" customHeight="1" x14ac:dyDescent="0.25">
      <c r="A21" s="338"/>
      <c r="B21" s="346"/>
      <c r="C21" s="347"/>
      <c r="D21" s="348"/>
      <c r="E21" s="346"/>
      <c r="F21" s="349"/>
      <c r="G21" s="351"/>
      <c r="H21" s="347"/>
    </row>
    <row r="22" spans="1:8" s="308" customFormat="1" ht="12.75" customHeight="1" x14ac:dyDescent="0.25">
      <c r="A22" s="338"/>
      <c r="B22" s="346"/>
      <c r="C22" s="347"/>
      <c r="D22" s="348"/>
      <c r="E22" s="346"/>
      <c r="F22" s="338"/>
      <c r="G22" s="350"/>
      <c r="H22" s="350"/>
    </row>
    <row r="23" spans="1:8" s="308" customFormat="1" ht="12.75" customHeight="1" x14ac:dyDescent="0.25">
      <c r="A23" s="338"/>
      <c r="B23" s="346"/>
      <c r="C23" s="347"/>
      <c r="D23" s="348"/>
      <c r="E23" s="346"/>
      <c r="F23" s="338"/>
      <c r="G23" s="350"/>
      <c r="H23" s="350"/>
    </row>
    <row r="24" spans="1:8" s="308" customFormat="1" ht="12.75" customHeight="1" thickBot="1" x14ac:dyDescent="0.3">
      <c r="A24" s="353"/>
      <c r="B24" s="354" t="s">
        <v>9</v>
      </c>
      <c r="C24" s="355">
        <f>SUM(C9:C23)</f>
        <v>0</v>
      </c>
      <c r="D24" s="356" t="s">
        <v>10</v>
      </c>
      <c r="E24" s="357"/>
      <c r="F24" s="358"/>
      <c r="G24" s="184">
        <f>SUM(G9:G23)</f>
        <v>50000</v>
      </c>
      <c r="H24" s="184">
        <f>SUM(H9:H22)</f>
        <v>50000</v>
      </c>
    </row>
    <row r="25" spans="1:8" s="308" customFormat="1" ht="12.75" customHeight="1" thickTop="1" x14ac:dyDescent="0.25"/>
    <row r="26" spans="1:8" s="308" customFormat="1" ht="12.75" customHeight="1" x14ac:dyDescent="0.25"/>
    <row r="27" spans="1:8" s="308" customFormat="1" ht="12.75" customHeight="1" x14ac:dyDescent="0.25"/>
    <row r="28" spans="1:8" s="308" customFormat="1" ht="12.75" customHeight="1" x14ac:dyDescent="0.25"/>
    <row r="29" spans="1:8" s="308" customFormat="1" ht="12.75" customHeight="1" x14ac:dyDescent="0.25"/>
    <row r="30" spans="1:8" s="308" customFormat="1" ht="12.75" customHeight="1" x14ac:dyDescent="0.25"/>
    <row r="31" spans="1:8" s="308" customFormat="1" ht="12.75" customHeight="1" x14ac:dyDescent="0.25"/>
    <row r="32" spans="1:8" s="308" customFormat="1" ht="12.75" customHeight="1" x14ac:dyDescent="0.25"/>
    <row r="33" s="308"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DA26
&amp;A
&amp;D</oddHeader>
    <oddFooter>&amp;LAcct Codes 0506-335-DA26
&amp;C&amp;Z&amp;F&amp;R&amp;P/&amp;N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160</vt:i4>
      </vt:variant>
      <vt:variant>
        <vt:lpstr>Named Ranges</vt:lpstr>
      </vt:variant>
      <vt:variant>
        <vt:i4>1</vt:i4>
      </vt:variant>
    </vt:vector>
  </HeadingPairs>
  <TitlesOfParts>
    <vt:vector size="161" baseType="lpstr">
      <vt:lpstr>FINANCIAL</vt:lpstr>
      <vt:lpstr>RECAP #9239.04</vt:lpstr>
      <vt:lpstr>#9239.04 Funds Rec'd</vt:lpstr>
      <vt:lpstr>#9239.04 Samuels Group</vt:lpstr>
      <vt:lpstr>#9239.04 PM TIME</vt:lpstr>
      <vt:lpstr>#9239.04 Misc</vt:lpstr>
      <vt:lpstr>#9239.04 Farnsworth Group</vt:lpstr>
      <vt:lpstr>RECAP #9279.50</vt:lpstr>
      <vt:lpstr>#9279.50 Funds Rec'd</vt:lpstr>
      <vt:lpstr>#9279.50 Shive Hattery</vt:lpstr>
      <vt:lpstr>#9279.50 PM TIME</vt:lpstr>
      <vt:lpstr>#9279.50 Misc</vt:lpstr>
      <vt:lpstr>#9279.50 StoryConstruction</vt:lpstr>
      <vt:lpstr>#9279.50 ATC Group</vt:lpstr>
      <vt:lpstr>#9279.50 Van Maanen</vt:lpstr>
      <vt:lpstr>#9279.50 Central IA Mechanical</vt:lpstr>
      <vt:lpstr>#9279.50 StoryConstruction (2)</vt:lpstr>
      <vt:lpstr>#9279.50 Earth Services</vt:lpstr>
      <vt:lpstr>#9279.50 Earth Services (2)</vt:lpstr>
      <vt:lpstr>#9279.50 Breiholz Construction</vt:lpstr>
      <vt:lpstr>#9279.50 VanMaanen</vt:lpstr>
      <vt:lpstr>#9279.50 ATC Group (2)</vt:lpstr>
      <vt:lpstr>#9279.50 Reilly Construction</vt:lpstr>
      <vt:lpstr>RECAP #9438.00</vt:lpstr>
      <vt:lpstr>#9438.00 Funds Rec'd</vt:lpstr>
      <vt:lpstr>#9438.00 Jasper Construction</vt:lpstr>
      <vt:lpstr>#9438.00 PM TIME</vt:lpstr>
      <vt:lpstr>#9438.00 Misc</vt:lpstr>
      <vt:lpstr>RECAP #9471.00</vt:lpstr>
      <vt:lpstr>#9471.00 Funds Rec'd </vt:lpstr>
      <vt:lpstr>#9471.00 MidState Plumbing</vt:lpstr>
      <vt:lpstr>#9471.00 PM TIME</vt:lpstr>
      <vt:lpstr>#9471.00 Misc</vt:lpstr>
      <vt:lpstr>RECAP #9476.01</vt:lpstr>
      <vt:lpstr>#9476.01 Funds Rec'd</vt:lpstr>
      <vt:lpstr>#9476.01 McGough Construction</vt:lpstr>
      <vt:lpstr>#9476.01 PM TIME</vt:lpstr>
      <vt:lpstr>#9476.01 Misc</vt:lpstr>
      <vt:lpstr>#9476.01 HGM Associates</vt:lpstr>
      <vt:lpstr>RECAP #9480.01</vt:lpstr>
      <vt:lpstr>#9480.01 Funds Rec'd </vt:lpstr>
      <vt:lpstr>#9480.01 TB Rigid Edge Exterior</vt:lpstr>
      <vt:lpstr>#9480.01 PM TIME </vt:lpstr>
      <vt:lpstr>#9480.01 Misc </vt:lpstr>
      <vt:lpstr>#9480.01 Genesis Architectural</vt:lpstr>
      <vt:lpstr>#9480.01 McGough Construction</vt:lpstr>
      <vt:lpstr>#9480.01 Hilsabeck Schacht</vt:lpstr>
      <vt:lpstr>#9480.01 MTS Contracting</vt:lpstr>
      <vt:lpstr>#9480.01 Kinzler Construction</vt:lpstr>
      <vt:lpstr>RECAP #9481.00</vt:lpstr>
      <vt:lpstr>#9481.00 Funds Rec'd </vt:lpstr>
      <vt:lpstr>#9481.00 Horizon Architecture</vt:lpstr>
      <vt:lpstr>#9481.00 PM TIME </vt:lpstr>
      <vt:lpstr>#9481.00 Misc</vt:lpstr>
      <vt:lpstr>#9481.00 McGough Construction</vt:lpstr>
      <vt:lpstr>RECAP #9482.00</vt:lpstr>
      <vt:lpstr>#9482.00 Funds Rec'd</vt:lpstr>
      <vt:lpstr>#9482.00 McGough Construction</vt:lpstr>
      <vt:lpstr>#9482.00 PM TIME</vt:lpstr>
      <vt:lpstr>#9482.00 Misc</vt:lpstr>
      <vt:lpstr>#9482.00 KCL Engineering</vt:lpstr>
      <vt:lpstr>#9482.00 Systems Management</vt:lpstr>
      <vt:lpstr>#9482.00 McGough Constructi (2)</vt:lpstr>
      <vt:lpstr>#9482.00 Air-Con Mechanical</vt:lpstr>
      <vt:lpstr>RECAP #9486.00</vt:lpstr>
      <vt:lpstr>#9486.00 Funds Rec'd</vt:lpstr>
      <vt:lpstr>#9486.00 DCI Group</vt:lpstr>
      <vt:lpstr>#9486.00 PM TIME</vt:lpstr>
      <vt:lpstr>#9486.00 Misc</vt:lpstr>
      <vt:lpstr>#9486.00 Ralph N Smith Flooring</vt:lpstr>
      <vt:lpstr>#9486.00 DCI Group (2)</vt:lpstr>
      <vt:lpstr>RECAP #9486.01</vt:lpstr>
      <vt:lpstr>#9486.01 Funds Rec'd</vt:lpstr>
      <vt:lpstr>#9486.01 Horizon Architecture</vt:lpstr>
      <vt:lpstr>#9486.01 PM TIME</vt:lpstr>
      <vt:lpstr>#9486.01 Misc </vt:lpstr>
      <vt:lpstr>#9486.01 DCI Group</vt:lpstr>
      <vt:lpstr>RECAP #9487.00</vt:lpstr>
      <vt:lpstr>#9487.00 Funds Rec'd</vt:lpstr>
      <vt:lpstr>#9487.00 DCI Group</vt:lpstr>
      <vt:lpstr>#9487.00 PM TIME</vt:lpstr>
      <vt:lpstr>#9487.00 Misc</vt:lpstr>
      <vt:lpstr>#9487.00 Genesis Architectural</vt:lpstr>
      <vt:lpstr>#9487.00 Genesis Architectu (2)</vt:lpstr>
      <vt:lpstr>#9487.00 Genesis Architectu (3)</vt:lpstr>
      <vt:lpstr>#9487.00 DCI Group (2)</vt:lpstr>
      <vt:lpstr>#9487.00 Keystone Construction</vt:lpstr>
      <vt:lpstr>RECAP #9488.00</vt:lpstr>
      <vt:lpstr>#9488.00 Funds Rec'd </vt:lpstr>
      <vt:lpstr>#9488.00 Samuels Group</vt:lpstr>
      <vt:lpstr>#9488.00 PM TIME</vt:lpstr>
      <vt:lpstr>#9488.00 Misc</vt:lpstr>
      <vt:lpstr>#9488.00 SVPA Architects</vt:lpstr>
      <vt:lpstr>#9488.00 Downs Electric</vt:lpstr>
      <vt:lpstr>#9488.00 PrairieConstruction</vt:lpstr>
      <vt:lpstr>#9488.00 Elkhorn West Construct</vt:lpstr>
      <vt:lpstr>#9488.00 Samuels Group (2)</vt:lpstr>
      <vt:lpstr>RECAP #9489.00</vt:lpstr>
      <vt:lpstr>#9489.00 Funds Rec'd</vt:lpstr>
      <vt:lpstr>#9489.00 McGough Construction</vt:lpstr>
      <vt:lpstr>#9489.00 PM TIME</vt:lpstr>
      <vt:lpstr>#9489.00 Misc</vt:lpstr>
      <vt:lpstr>RECAP #9490.00</vt:lpstr>
      <vt:lpstr>#9490.00 Funds Rec'd </vt:lpstr>
      <vt:lpstr>#9490.00 Vendor A </vt:lpstr>
      <vt:lpstr>#9490.00 PM TIME</vt:lpstr>
      <vt:lpstr>#9490.00 Misc </vt:lpstr>
      <vt:lpstr>RECAP #9492.00</vt:lpstr>
      <vt:lpstr>#9492.00 Funds Rec'd</vt:lpstr>
      <vt:lpstr>#9492.00 Samuels Group</vt:lpstr>
      <vt:lpstr>#9492.00 PM TIME</vt:lpstr>
      <vt:lpstr>#9492.00 Misc</vt:lpstr>
      <vt:lpstr>#9492.00 Quick Enterprise LLC</vt:lpstr>
      <vt:lpstr>RECAP #9515.00</vt:lpstr>
      <vt:lpstr>#9515.00 Funds Rec'd</vt:lpstr>
      <vt:lpstr>#9515.00 Kezlo Group</vt:lpstr>
      <vt:lpstr>#9515.00 PM TIME </vt:lpstr>
      <vt:lpstr>#9515.00 Misc </vt:lpstr>
      <vt:lpstr>RECAP #9516.00</vt:lpstr>
      <vt:lpstr>#9516.00 Funds Rec'd</vt:lpstr>
      <vt:lpstr>#9516.00 PM TIME</vt:lpstr>
      <vt:lpstr>#9516.00 Misc</vt:lpstr>
      <vt:lpstr>#9516.00 DCI Group</vt:lpstr>
      <vt:lpstr>#9516.00 Substance LLC</vt:lpstr>
      <vt:lpstr>RECAP #9517.00</vt:lpstr>
      <vt:lpstr>#9517.00 Funds Rec'd </vt:lpstr>
      <vt:lpstr>#9517.00 DCI Group</vt:lpstr>
      <vt:lpstr>#9517.00 PM TIME</vt:lpstr>
      <vt:lpstr>#9517.00 Misc</vt:lpstr>
      <vt:lpstr>#9517.00 Shive Hattery</vt:lpstr>
      <vt:lpstr>RECAP #9532.00</vt:lpstr>
      <vt:lpstr>#9532.00 Funds Rec'd</vt:lpstr>
      <vt:lpstr>#9532.00 McGough Construction</vt:lpstr>
      <vt:lpstr>#9532.00 PM TIME</vt:lpstr>
      <vt:lpstr>#9532.00 Misc</vt:lpstr>
      <vt:lpstr>#9532.00 OPN Architects</vt:lpstr>
      <vt:lpstr>#9532.00 McGough Constructi (2)</vt:lpstr>
      <vt:lpstr>RECAP #9534.00</vt:lpstr>
      <vt:lpstr>#9534.00 Funds Rec'd</vt:lpstr>
      <vt:lpstr>#9534.00 Samuels Group</vt:lpstr>
      <vt:lpstr>#9534.00 PM TIME</vt:lpstr>
      <vt:lpstr>#9534.00 Misc</vt:lpstr>
      <vt:lpstr>#9534.00 10Fold Architecture</vt:lpstr>
      <vt:lpstr>RECAP #9535.00</vt:lpstr>
      <vt:lpstr>#9535.00 Funds Rec'd</vt:lpstr>
      <vt:lpstr>#9535.00 Story Construction</vt:lpstr>
      <vt:lpstr>#9535.00 PM TIME</vt:lpstr>
      <vt:lpstr>#9535.00 Misc</vt:lpstr>
      <vt:lpstr>#9535.00 Genesis Architectural</vt:lpstr>
      <vt:lpstr>RECAP #9540.00</vt:lpstr>
      <vt:lpstr>#9540.00 Funds Rec'd</vt:lpstr>
      <vt:lpstr>#9540.00 Clark &amp; Enersen</vt:lpstr>
      <vt:lpstr>#9540.00 PM TIME</vt:lpstr>
      <vt:lpstr>#9540.00 Misc</vt:lpstr>
      <vt:lpstr> Funds Rec'd incorrectly</vt:lpstr>
      <vt:lpstr>RECAP #XXXX.XX</vt:lpstr>
      <vt:lpstr>#XXXX.XX Funds Rec'd</vt:lpstr>
      <vt:lpstr>#XXXX.XX Vendor A </vt:lpstr>
      <vt:lpstr>#XXXX.XX PM TIME</vt:lpstr>
      <vt:lpstr>#XXXX.XX Misc</vt:lpstr>
      <vt:lpstr>FINANCIAL!Print_Titles</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Jusic, Mirela [DAS]</dc:creator>
  <cp:lastModifiedBy>Huggins, Joni</cp:lastModifiedBy>
  <cp:lastPrinted>2026-08-03T12:57:49Z</cp:lastPrinted>
  <dcterms:created xsi:type="dcterms:W3CDTF">2011-09-23T14:16:56Z</dcterms:created>
  <dcterms:modified xsi:type="dcterms:W3CDTF">2026-08-03T12:58:16Z</dcterms:modified>
</cp:coreProperties>
</file>