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hreusers\JWillia5\Desktop\NEED TO BE PROCESSED\"/>
    </mc:Choice>
  </mc:AlternateContent>
  <xr:revisionPtr revIDLastSave="0" documentId="8_{AC3D1492-05A8-40AE-9F5E-FF2F2D30B052}" xr6:coauthVersionLast="36" xr6:coauthVersionMax="36" xr10:uidLastSave="{00000000-0000-0000-0000-000000000000}"/>
  <bookViews>
    <workbookView xWindow="21165" yWindow="-105" windowWidth="21465" windowHeight="1144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" i="1" l="1"/>
  <c r="E5" i="1" s="1"/>
  <c r="F14" i="1" l="1"/>
  <c r="B5" i="1" l="1"/>
  <c r="U14" i="1" l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R38" i="1" s="1"/>
  <c r="U13" i="1"/>
  <c r="L38" i="1" l="1"/>
  <c r="M38" i="1"/>
  <c r="F38" i="1" l="1"/>
  <c r="D38" i="1"/>
  <c r="I38" i="1" l="1"/>
  <c r="F29" i="1"/>
  <c r="F30" i="1"/>
  <c r="F31" i="1"/>
  <c r="F32" i="1"/>
  <c r="F33" i="1"/>
  <c r="F34" i="1"/>
  <c r="F35" i="1"/>
  <c r="F36" i="1"/>
  <c r="F37" i="1"/>
  <c r="F13" i="1"/>
  <c r="H3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B7" i="1"/>
  <c r="J14" i="1" l="1"/>
  <c r="L37" i="1"/>
  <c r="D37" i="1"/>
  <c r="I37" i="1" s="1"/>
  <c r="L36" i="1" l="1"/>
  <c r="D36" i="1"/>
  <c r="I36" i="1" s="1"/>
  <c r="M37" i="1" l="1"/>
  <c r="M36" i="1"/>
  <c r="M35" i="1" l="1"/>
  <c r="L35" i="1"/>
  <c r="D35" i="1"/>
  <c r="I35" i="1" s="1"/>
  <c r="L34" i="1" l="1"/>
  <c r="D34" i="1"/>
  <c r="I34" i="1" s="1"/>
  <c r="L33" i="1" l="1"/>
  <c r="D33" i="1"/>
  <c r="I33" i="1" l="1"/>
  <c r="M34" i="1"/>
  <c r="M33" i="1"/>
  <c r="L32" i="1"/>
  <c r="D32" i="1"/>
  <c r="I32" i="1" s="1"/>
  <c r="M32" i="1" l="1"/>
  <c r="L31" i="1"/>
  <c r="D31" i="1"/>
  <c r="I31" i="1" s="1"/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D30" i="1" l="1"/>
  <c r="I30" i="1" s="1"/>
  <c r="M31" i="1" l="1"/>
  <c r="D29" i="1"/>
  <c r="I29" i="1" l="1"/>
  <c r="M30" i="1"/>
  <c r="M25" i="1"/>
  <c r="M21" i="1"/>
  <c r="M17" i="1"/>
  <c r="M28" i="1"/>
  <c r="M29" i="1"/>
  <c r="M24" i="1"/>
  <c r="M20" i="1"/>
  <c r="M16" i="1"/>
  <c r="M13" i="1"/>
  <c r="M27" i="1"/>
  <c r="M23" i="1"/>
  <c r="M19" i="1"/>
  <c r="M15" i="1"/>
  <c r="M26" i="1"/>
  <c r="M22" i="1"/>
  <c r="M18" i="1"/>
  <c r="M14" i="1"/>
  <c r="D28" i="1"/>
  <c r="I28" i="1" s="1"/>
  <c r="D27" i="1" l="1"/>
  <c r="I27" i="1" s="1"/>
  <c r="D20" i="1" l="1"/>
  <c r="D21" i="1"/>
  <c r="D22" i="1"/>
  <c r="D23" i="1"/>
  <c r="D24" i="1"/>
  <c r="I24" i="1" s="1"/>
  <c r="D25" i="1"/>
  <c r="I25" i="1" s="1"/>
  <c r="D26" i="1"/>
  <c r="I26" i="1" s="1"/>
  <c r="D14" i="1"/>
  <c r="I14" i="1" s="1"/>
  <c r="D15" i="1"/>
  <c r="I15" i="1" s="1"/>
  <c r="D16" i="1"/>
  <c r="I16" i="1" s="1"/>
  <c r="D17" i="1"/>
  <c r="I17" i="1" s="1"/>
  <c r="D18" i="1"/>
  <c r="I18" i="1" s="1"/>
  <c r="D19" i="1"/>
  <c r="I19" i="1" s="1"/>
  <c r="D13" i="1"/>
  <c r="G38" i="1" s="1"/>
  <c r="I22" i="1" l="1"/>
  <c r="K38" i="1"/>
  <c r="P38" i="1"/>
  <c r="I13" i="1"/>
  <c r="K17" i="1"/>
  <c r="G18" i="1"/>
  <c r="G16" i="1"/>
  <c r="G15" i="1"/>
  <c r="K21" i="1"/>
  <c r="G13" i="1"/>
  <c r="N13" i="1" s="1"/>
  <c r="G17" i="1"/>
  <c r="K18" i="1"/>
  <c r="G19" i="1"/>
  <c r="K22" i="1"/>
  <c r="K16" i="1"/>
  <c r="K19" i="1"/>
  <c r="G22" i="1"/>
  <c r="K20" i="1"/>
  <c r="G14" i="1"/>
  <c r="K15" i="1"/>
  <c r="K25" i="1"/>
  <c r="K33" i="1"/>
  <c r="G23" i="1"/>
  <c r="G31" i="1"/>
  <c r="K36" i="1"/>
  <c r="G34" i="1"/>
  <c r="I23" i="1"/>
  <c r="K26" i="1"/>
  <c r="K34" i="1"/>
  <c r="G24" i="1"/>
  <c r="G32" i="1"/>
  <c r="K28" i="1"/>
  <c r="G26" i="1"/>
  <c r="G28" i="1"/>
  <c r="G30" i="1"/>
  <c r="K27" i="1"/>
  <c r="K35" i="1"/>
  <c r="G25" i="1"/>
  <c r="G33" i="1"/>
  <c r="G36" i="1"/>
  <c r="K29" i="1"/>
  <c r="K37" i="1"/>
  <c r="G27" i="1"/>
  <c r="G35" i="1"/>
  <c r="K30" i="1"/>
  <c r="K23" i="1"/>
  <c r="K31" i="1"/>
  <c r="G29" i="1"/>
  <c r="G37" i="1"/>
  <c r="K24" i="1"/>
  <c r="K32" i="1"/>
  <c r="I20" i="1"/>
  <c r="G20" i="1"/>
  <c r="G21" i="1"/>
  <c r="K14" i="1"/>
  <c r="D39" i="1"/>
  <c r="E4" i="1" s="1"/>
  <c r="E6" i="1" s="1"/>
  <c r="P35" i="1"/>
  <c r="P37" i="1"/>
  <c r="P36" i="1"/>
  <c r="I21" i="1"/>
  <c r="P34" i="1"/>
  <c r="P33" i="1"/>
  <c r="P32" i="1"/>
  <c r="P30" i="1"/>
  <c r="P31" i="1"/>
  <c r="K13" i="1"/>
  <c r="P29" i="1"/>
  <c r="P22" i="1"/>
  <c r="P25" i="1"/>
  <c r="P28" i="1"/>
  <c r="P23" i="1"/>
  <c r="P21" i="1"/>
  <c r="P26" i="1"/>
  <c r="P27" i="1"/>
  <c r="P24" i="1"/>
  <c r="P20" i="1"/>
  <c r="P15" i="1"/>
  <c r="P17" i="1"/>
  <c r="P16" i="1"/>
  <c r="P19" i="1"/>
  <c r="P18" i="1"/>
  <c r="N38" i="1" l="1"/>
  <c r="J38" i="1"/>
  <c r="N26" i="1"/>
  <c r="N36" i="1"/>
  <c r="N31" i="1"/>
  <c r="N33" i="1"/>
  <c r="N23" i="1"/>
  <c r="N25" i="1"/>
  <c r="N30" i="1"/>
  <c r="N17" i="1"/>
  <c r="N34" i="1"/>
  <c r="N22" i="1"/>
  <c r="N15" i="1"/>
  <c r="N16" i="1"/>
  <c r="N18" i="1"/>
  <c r="N37" i="1"/>
  <c r="N29" i="1"/>
  <c r="N32" i="1"/>
  <c r="N21" i="1"/>
  <c r="N24" i="1"/>
  <c r="N20" i="1"/>
  <c r="N19" i="1"/>
  <c r="N35" i="1"/>
  <c r="J27" i="1"/>
  <c r="Q27" i="1" s="1"/>
  <c r="N27" i="1"/>
  <c r="N14" i="1"/>
  <c r="J28" i="1"/>
  <c r="Q28" i="1" s="1"/>
  <c r="N28" i="1"/>
  <c r="J23" i="1"/>
  <c r="Q23" i="1" s="1"/>
  <c r="J37" i="1"/>
  <c r="Q37" i="1" s="1"/>
  <c r="J26" i="1"/>
  <c r="Q26" i="1" s="1"/>
  <c r="J22" i="1"/>
  <c r="Q22" i="1" s="1"/>
  <c r="J29" i="1"/>
  <c r="Q29" i="1" s="1"/>
  <c r="J36" i="1"/>
  <c r="Q36" i="1" s="1"/>
  <c r="J31" i="1"/>
  <c r="Q31" i="1" s="1"/>
  <c r="J15" i="1"/>
  <c r="Q15" i="1" s="1"/>
  <c r="J32" i="1"/>
  <c r="Q32" i="1" s="1"/>
  <c r="J16" i="1"/>
  <c r="Q16" i="1" s="1"/>
  <c r="J30" i="1"/>
  <c r="Q30" i="1" s="1"/>
  <c r="J34" i="1"/>
  <c r="J33" i="1"/>
  <c r="Q33" i="1" s="1"/>
  <c r="J21" i="1"/>
  <c r="Q21" i="1" s="1"/>
  <c r="J25" i="1"/>
  <c r="Q25" i="1" s="1"/>
  <c r="S25" i="1" s="1"/>
  <c r="J24" i="1"/>
  <c r="Q24" i="1" s="1"/>
  <c r="J18" i="1"/>
  <c r="Q18" i="1" s="1"/>
  <c r="J20" i="1"/>
  <c r="Q20" i="1" s="1"/>
  <c r="J19" i="1"/>
  <c r="Q19" i="1" s="1"/>
  <c r="J17" i="1"/>
  <c r="Q17" i="1" s="1"/>
  <c r="J35" i="1"/>
  <c r="Q35" i="1" s="1"/>
  <c r="Q34" i="1" l="1"/>
  <c r="T34" i="1" s="1"/>
  <c r="T35" i="1"/>
  <c r="T33" i="1"/>
  <c r="S37" i="1"/>
  <c r="T36" i="1"/>
  <c r="O38" i="1"/>
  <c r="Q38" i="1"/>
  <c r="S38" i="1" s="1"/>
  <c r="S36" i="1"/>
  <c r="T37" i="1"/>
  <c r="S35" i="1"/>
  <c r="S31" i="1"/>
  <c r="S33" i="1"/>
  <c r="T32" i="1"/>
  <c r="S34" i="1" l="1"/>
  <c r="T38" i="1"/>
  <c r="T31" i="1"/>
  <c r="S32" i="1"/>
  <c r="Q14" i="1"/>
  <c r="S14" i="1" l="1"/>
  <c r="T14" i="1"/>
  <c r="S15" i="1" l="1"/>
  <c r="T15" i="1"/>
  <c r="O15" i="1"/>
  <c r="S16" i="1" l="1"/>
  <c r="T16" i="1"/>
  <c r="O16" i="1"/>
  <c r="S17" i="1" l="1"/>
  <c r="T17" i="1" l="1"/>
  <c r="O17" i="1"/>
  <c r="O18" i="1" l="1"/>
  <c r="T18" i="1"/>
  <c r="S18" i="1"/>
  <c r="T19" i="1" l="1"/>
  <c r="S19" i="1"/>
  <c r="O19" i="1"/>
  <c r="S20" i="1" l="1"/>
  <c r="T20" i="1"/>
  <c r="O20" i="1"/>
  <c r="T21" i="1" l="1"/>
  <c r="S21" i="1"/>
  <c r="O21" i="1"/>
  <c r="O22" i="1" l="1"/>
  <c r="T22" i="1"/>
  <c r="S22" i="1"/>
  <c r="O23" i="1" l="1"/>
  <c r="T23" i="1"/>
  <c r="S23" i="1"/>
  <c r="T24" i="1" l="1"/>
  <c r="S24" i="1"/>
  <c r="O24" i="1"/>
  <c r="O25" i="1" l="1"/>
  <c r="T25" i="1"/>
  <c r="O26" i="1" l="1"/>
  <c r="S26" i="1"/>
  <c r="T26" i="1"/>
  <c r="S27" i="1" l="1"/>
  <c r="T27" i="1"/>
  <c r="O27" i="1"/>
  <c r="S28" i="1" l="1"/>
  <c r="T28" i="1"/>
  <c r="O28" i="1"/>
  <c r="S29" i="1" l="1"/>
  <c r="T29" i="1" l="1"/>
  <c r="Q13" i="1" l="1"/>
  <c r="T13" i="1" s="1"/>
  <c r="S30" i="1"/>
  <c r="T30" i="1"/>
  <c r="S13" i="1" l="1"/>
  <c r="O36" i="1"/>
  <c r="O35" i="1"/>
  <c r="O34" i="1"/>
  <c r="O32" i="1"/>
  <c r="O31" i="1"/>
  <c r="O33" i="1" l="1"/>
  <c r="O30" i="1"/>
  <c r="O29" i="1"/>
  <c r="O37" i="1" l="1"/>
  <c r="J13" i="1" l="1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J39" i="1"/>
</calcChain>
</file>

<file path=xl/sharedStrings.xml><?xml version="1.0" encoding="utf-8"?>
<sst xmlns="http://schemas.openxmlformats.org/spreadsheetml/2006/main" count="64" uniqueCount="41">
  <si>
    <t>na</t>
  </si>
  <si>
    <t>403b Employee Contribution Limits</t>
  </si>
  <si>
    <t>Max Limit</t>
  </si>
  <si>
    <t>Over?</t>
  </si>
  <si>
    <t>Total Contributions</t>
  </si>
  <si>
    <t>ER Amount</t>
  </si>
  <si>
    <t>EE Amount</t>
  </si>
  <si>
    <t>Amount Over</t>
  </si>
  <si>
    <t>15 Year Used</t>
  </si>
  <si>
    <t>50+ Used</t>
  </si>
  <si>
    <t>50+ Max</t>
  </si>
  <si>
    <t>Years * $5,000</t>
  </si>
  <si>
    <t>Diff of LTD and Y*5000</t>
  </si>
  <si>
    <r>
      <t>Life-to-Date Contributions</t>
    </r>
    <r>
      <rPr>
        <vertAlign val="superscript"/>
        <sz val="11"/>
        <color indexed="8"/>
        <rFont val="Calibri"/>
        <family val="2"/>
      </rPr>
      <t>1</t>
    </r>
  </si>
  <si>
    <t>Eligible for 15 year?</t>
  </si>
  <si>
    <t>Name:</t>
  </si>
  <si>
    <t>Year of Birth:</t>
  </si>
  <si>
    <t>15 Yrs Began:</t>
  </si>
  <si>
    <t>Current Provider:</t>
  </si>
  <si>
    <t>(if less than 0, ineligible for 15 yr catch-up)</t>
  </si>
  <si>
    <t>Years of Service</t>
  </si>
  <si>
    <t>Regular Max</t>
  </si>
  <si>
    <t>Total 15 Yr</t>
  </si>
  <si>
    <t>(current employer only)</t>
  </si>
  <si>
    <t>Actual-RegMax or 3000</t>
  </si>
  <si>
    <t>Max 15Yr</t>
  </si>
  <si>
    <t>15Yr calc</t>
  </si>
  <si>
    <r>
      <t>Year of FT</t>
    </r>
    <r>
      <rPr>
        <b/>
        <vertAlign val="superscript"/>
        <sz val="11"/>
        <color theme="1" tint="0.34998626667073579"/>
        <rFont val="Calibri"/>
        <family val="2"/>
      </rPr>
      <t>2</t>
    </r>
    <r>
      <rPr>
        <b/>
        <sz val="11"/>
        <color theme="1" tint="0.34998626667073579"/>
        <rFont val="Calibri"/>
        <family val="2"/>
      </rPr>
      <t xml:space="preserve"> Hire: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</si>
  <si>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 year employee was hired full-time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</si>
  <si>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 contact RIC if EE contributed prior to 2000</t>
    </r>
  </si>
  <si>
    <t xml:space="preserve">Employer: </t>
  </si>
  <si>
    <r>
      <rPr>
        <vertAlign val="superscript"/>
        <sz val="11"/>
        <color indexed="8"/>
        <rFont val="Calibri"/>
        <family val="2"/>
      </rPr>
      <t xml:space="preserve">1 </t>
    </r>
    <r>
      <rPr>
        <sz val="11"/>
        <color theme="1"/>
        <rFont val="Calibri"/>
        <family val="2"/>
        <scheme val="minor"/>
      </rPr>
      <t>LTD for previous years, if unknown, EE contributions must have averaged under $5,000/yr to be eligble for 15 year catch-up</t>
    </r>
  </si>
  <si>
    <r>
      <t>Year</t>
    </r>
    <r>
      <rPr>
        <b/>
        <vertAlign val="superscript"/>
        <sz val="11"/>
        <color theme="3"/>
        <rFont val="Calibri"/>
        <family val="2"/>
      </rPr>
      <t>3</t>
    </r>
  </si>
  <si>
    <t>(contributions or previous years to all 403b providers while in your employ)</t>
  </si>
  <si>
    <t>15 Yr Possible?</t>
  </si>
  <si>
    <t>15 Yr Left</t>
  </si>
  <si>
    <t>Over $5000 Ave?</t>
  </si>
  <si>
    <t>60-63 Max</t>
  </si>
  <si>
    <t>Age at Year-End</t>
  </si>
  <si>
    <t>NA</t>
  </si>
  <si>
    <t>Year Turns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</si>
</sst>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m/d/yy;@"/>
  </numFmts>
  <fonts count="24" x14ac:knownFonts="1">
    <font>
      <sz val="11"/>
      <color theme="1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rgb="FFC00000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1"/>
      <color theme="3"/>
      <name val="Calibri"/>
      <family val="2"/>
    </font>
    <font>
      <sz val="11"/>
      <color theme="3"/>
      <name val="Calibri"/>
      <family val="2"/>
      <scheme val="minor"/>
    </font>
    <font>
      <b/>
      <sz val="11"/>
      <color theme="1" tint="0.3499862666707357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</font>
    <font>
      <b/>
      <vertAlign val="superscript"/>
      <sz val="11"/>
      <color theme="1" tint="0.3499862666707357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3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2" borderId="1" xfId="0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23" fillId="2" borderId="2" xfId="0" applyNumberFormat="1" applyFont="1" applyFill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165" fontId="23" fillId="0" borderId="0" xfId="0" applyNumberFormat="1" applyFont="1"/>
    <xf numFmtId="165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1" fontId="23" fillId="0" borderId="1" xfId="0" applyNumberFormat="1" applyFont="1" applyFill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64" fontId="8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8"/>
  <sheetViews>
    <sheetView tabSelected="1" workbookViewId="0">
      <pane ySplit="12" topLeftCell="A13" activePane="bottomLeft" state="frozen"/>
      <selection pane="bottomLeft" activeCell="B3" sqref="B3"/>
    </sheetView>
  </sheetViews>
  <sheetFormatPr defaultColWidth="9.140625" defaultRowHeight="15" x14ac:dyDescent="0.25"/>
  <cols>
    <col min="1" max="1" width="17" style="3" customWidth="1"/>
    <col min="2" max="2" width="18.28515625" style="43" bestFit="1" customWidth="1"/>
    <col min="3" max="3" width="16.7109375" style="2" customWidth="1"/>
    <col min="4" max="4" width="13" style="2" customWidth="1"/>
    <col min="5" max="5" width="22.85546875" style="2" customWidth="1"/>
    <col min="6" max="6" width="15" style="2" hidden="1" customWidth="1"/>
    <col min="7" max="7" width="18.7109375" style="2" hidden="1" customWidth="1"/>
    <col min="8" max="8" width="2.7109375" style="2" hidden="1" customWidth="1"/>
    <col min="9" max="9" width="5.28515625" style="2" hidden="1" customWidth="1"/>
    <col min="10" max="10" width="13.5703125" style="3" customWidth="1"/>
    <col min="11" max="11" width="19.42578125" style="3" hidden="1" customWidth="1"/>
    <col min="12" max="12" width="8.140625" style="3" hidden="1" customWidth="1"/>
    <col min="13" max="13" width="15" style="3" hidden="1" customWidth="1"/>
    <col min="14" max="14" width="12.7109375" style="3" hidden="1" customWidth="1"/>
    <col min="15" max="15" width="8.7109375" style="4" hidden="1" customWidth="1"/>
    <col min="16" max="16" width="13" style="4" customWidth="1"/>
    <col min="17" max="17" width="10.85546875" style="4" customWidth="1"/>
    <col min="18" max="18" width="12.140625" style="4" customWidth="1"/>
    <col min="19" max="19" width="10.42578125" style="4" customWidth="1"/>
    <col min="20" max="20" width="12.5703125" style="4" bestFit="1" customWidth="1"/>
    <col min="21" max="21" width="15.85546875" style="59" hidden="1" customWidth="1"/>
    <col min="22" max="22" width="10.7109375" style="4" customWidth="1"/>
    <col min="23" max="23" width="11.140625" style="4" customWidth="1"/>
    <col min="24" max="24" width="9.140625" style="4"/>
    <col min="25" max="26" width="9.140625" style="3"/>
    <col min="27" max="27" width="22.7109375" style="3" customWidth="1"/>
    <col min="28" max="16384" width="9.140625" style="3"/>
  </cols>
  <sheetData>
    <row r="1" spans="1:25" x14ac:dyDescent="0.25">
      <c r="A1" s="29" t="s">
        <v>1</v>
      </c>
    </row>
    <row r="2" spans="1:25" x14ac:dyDescent="0.25">
      <c r="A2" s="1"/>
      <c r="D2" s="32" t="s">
        <v>14</v>
      </c>
      <c r="F2" s="32"/>
      <c r="G2" s="32"/>
      <c r="H2" s="32"/>
      <c r="I2" s="32"/>
    </row>
    <row r="3" spans="1:25" s="5" customFormat="1" ht="15.75" x14ac:dyDescent="0.25">
      <c r="A3" s="30" t="s">
        <v>15</v>
      </c>
      <c r="B3" s="44"/>
      <c r="C3" s="18"/>
      <c r="D3" s="21" t="s">
        <v>20</v>
      </c>
      <c r="E3" s="42">
        <f>IF(B6="",B6,A37-B6)</f>
        <v>0</v>
      </c>
      <c r="F3" s="53"/>
      <c r="G3" s="53"/>
      <c r="H3" s="21"/>
      <c r="I3" s="21"/>
      <c r="J3" t="s">
        <v>23</v>
      </c>
      <c r="K3" s="40"/>
      <c r="L3" s="40"/>
      <c r="M3" s="19"/>
      <c r="N3" s="19"/>
      <c r="O3" s="19"/>
      <c r="R3" s="60"/>
      <c r="S3" s="7"/>
      <c r="T3" s="8"/>
      <c r="U3" s="9"/>
      <c r="V3" s="9"/>
      <c r="W3" s="9"/>
    </row>
    <row r="4" spans="1:25" ht="17.25" x14ac:dyDescent="0.25">
      <c r="A4" s="31" t="s">
        <v>16</v>
      </c>
      <c r="B4" s="45"/>
      <c r="C4" s="3"/>
      <c r="D4" s="21" t="s">
        <v>13</v>
      </c>
      <c r="E4" s="4">
        <f>D39-D38</f>
        <v>0</v>
      </c>
      <c r="F4" s="52"/>
      <c r="G4" s="52"/>
      <c r="H4" s="21"/>
      <c r="I4" s="21"/>
      <c r="J4" t="s">
        <v>33</v>
      </c>
      <c r="K4" s="39"/>
      <c r="L4" s="39"/>
      <c r="M4" s="19"/>
      <c r="N4" s="19"/>
      <c r="O4" s="19"/>
      <c r="R4" s="61"/>
      <c r="S4" s="14"/>
      <c r="T4" s="15"/>
      <c r="U4" s="15"/>
      <c r="W4" s="3"/>
      <c r="X4" s="3"/>
    </row>
    <row r="5" spans="1:25" x14ac:dyDescent="0.25">
      <c r="A5" s="31" t="s">
        <v>40</v>
      </c>
      <c r="B5" s="63" t="str">
        <f>IF(B4=0,"na",B4+50)</f>
        <v>na</v>
      </c>
      <c r="C5" s="16"/>
      <c r="D5" s="21" t="s">
        <v>11</v>
      </c>
      <c r="E5" s="4">
        <f>E3*5000</f>
        <v>0</v>
      </c>
      <c r="F5" s="52"/>
      <c r="G5" s="52"/>
      <c r="H5" s="21"/>
      <c r="I5" s="21"/>
      <c r="J5" s="4"/>
      <c r="K5" s="4"/>
      <c r="L5" s="4"/>
      <c r="M5" s="20"/>
      <c r="N5" s="20"/>
      <c r="O5" s="20"/>
      <c r="R5" s="61"/>
      <c r="S5" s="14"/>
      <c r="T5" s="15"/>
      <c r="U5" s="15"/>
      <c r="W5" s="3"/>
      <c r="X5" s="3"/>
    </row>
    <row r="6" spans="1:25" ht="17.25" x14ac:dyDescent="0.25">
      <c r="A6" s="31" t="s">
        <v>27</v>
      </c>
      <c r="B6" s="45"/>
      <c r="C6" s="3"/>
      <c r="D6" s="21" t="s">
        <v>12</v>
      </c>
      <c r="E6" s="4">
        <f>E4-E5</f>
        <v>0</v>
      </c>
      <c r="F6" s="52"/>
      <c r="G6" s="52"/>
      <c r="H6" s="21"/>
      <c r="I6" s="21"/>
      <c r="J6" t="s">
        <v>19</v>
      </c>
      <c r="K6" s="4"/>
      <c r="L6" s="4"/>
      <c r="M6" s="20"/>
      <c r="N6" s="20"/>
      <c r="O6" s="20"/>
      <c r="R6" s="61"/>
      <c r="S6" s="14"/>
      <c r="T6" s="15"/>
      <c r="U6" s="15"/>
      <c r="W6" s="3"/>
      <c r="X6" s="3"/>
    </row>
    <row r="7" spans="1:25" ht="15.75" x14ac:dyDescent="0.25">
      <c r="A7" s="31" t="s">
        <v>17</v>
      </c>
      <c r="B7" s="46" t="str">
        <f>IF(B6&lt;1,"na",IF(B6&lt;2006,B6+15,"na"))</f>
        <v>na</v>
      </c>
      <c r="C7" s="3"/>
      <c r="E7" s="21"/>
      <c r="J7" s="4"/>
      <c r="P7"/>
      <c r="Q7" s="11"/>
      <c r="R7" s="11"/>
      <c r="S7" s="13"/>
      <c r="U7" s="62"/>
      <c r="V7" s="15"/>
      <c r="W7" s="15"/>
    </row>
    <row r="8" spans="1:25" ht="15.75" x14ac:dyDescent="0.25">
      <c r="A8" s="31" t="s">
        <v>18</v>
      </c>
      <c r="B8" s="45"/>
      <c r="C8" s="17"/>
      <c r="F8" s="22"/>
      <c r="G8" s="22"/>
      <c r="H8" s="54"/>
      <c r="I8" s="22"/>
      <c r="O8" s="11"/>
      <c r="P8" s="11"/>
      <c r="Q8" s="11"/>
      <c r="R8" s="11"/>
      <c r="S8" s="12"/>
      <c r="T8" s="13"/>
      <c r="U8" s="62"/>
      <c r="V8" s="15"/>
      <c r="W8" s="15"/>
    </row>
    <row r="9" spans="1:25" ht="15.75" x14ac:dyDescent="0.25">
      <c r="A9" s="31" t="s">
        <v>30</v>
      </c>
      <c r="B9" s="45"/>
      <c r="C9" s="6"/>
      <c r="O9" s="11"/>
      <c r="P9" s="11"/>
      <c r="Q9" s="11"/>
      <c r="R9" s="11"/>
      <c r="S9" s="12"/>
      <c r="T9" s="13"/>
      <c r="U9" s="62"/>
      <c r="V9" s="15"/>
      <c r="W9" s="15"/>
    </row>
    <row r="10" spans="1:25" ht="15.75" x14ac:dyDescent="0.25">
      <c r="C10" s="6"/>
      <c r="O10" s="11"/>
      <c r="P10" s="11"/>
      <c r="Q10" s="11"/>
      <c r="R10" s="11"/>
      <c r="S10" s="12"/>
      <c r="T10" s="13"/>
      <c r="U10" s="62"/>
      <c r="V10" s="15"/>
      <c r="W10" s="15"/>
    </row>
    <row r="11" spans="1:25" ht="15.75" x14ac:dyDescent="0.25">
      <c r="A11" s="10"/>
      <c r="B11" s="47"/>
      <c r="C11" s="6"/>
      <c r="O11" s="11"/>
      <c r="P11" s="11"/>
      <c r="Q11" s="11"/>
      <c r="R11" s="11"/>
      <c r="S11" s="12"/>
      <c r="T11" s="13"/>
      <c r="U11" s="62"/>
      <c r="V11" s="15"/>
      <c r="W11" s="15"/>
    </row>
    <row r="12" spans="1:25" s="25" customFormat="1" ht="17.25" x14ac:dyDescent="0.25">
      <c r="A12" s="25" t="s">
        <v>32</v>
      </c>
      <c r="B12" s="48" t="s">
        <v>4</v>
      </c>
      <c r="C12" s="27" t="s">
        <v>5</v>
      </c>
      <c r="D12" s="27" t="s">
        <v>6</v>
      </c>
      <c r="E12" s="27" t="s">
        <v>21</v>
      </c>
      <c r="F12" s="35" t="s">
        <v>34</v>
      </c>
      <c r="G12" s="35" t="s">
        <v>36</v>
      </c>
      <c r="H12" s="35" t="s">
        <v>35</v>
      </c>
      <c r="I12" s="35" t="s">
        <v>24</v>
      </c>
      <c r="J12" s="27" t="s">
        <v>8</v>
      </c>
      <c r="K12" s="35" t="s">
        <v>12</v>
      </c>
      <c r="L12" s="35" t="s">
        <v>20</v>
      </c>
      <c r="M12" s="35" t="s">
        <v>26</v>
      </c>
      <c r="N12" s="35" t="s">
        <v>25</v>
      </c>
      <c r="O12" s="37" t="s">
        <v>9</v>
      </c>
      <c r="P12" s="27" t="s">
        <v>10</v>
      </c>
      <c r="Q12" s="27" t="s">
        <v>2</v>
      </c>
      <c r="R12" s="27" t="s">
        <v>37</v>
      </c>
      <c r="S12" s="33" t="s">
        <v>3</v>
      </c>
      <c r="T12" s="33" t="s">
        <v>7</v>
      </c>
      <c r="U12" s="37" t="s">
        <v>38</v>
      </c>
      <c r="V12" s="33"/>
      <c r="W12" s="33"/>
      <c r="X12" s="33"/>
      <c r="Y12" s="33"/>
    </row>
    <row r="13" spans="1:25" x14ac:dyDescent="0.25">
      <c r="A13" s="3">
        <v>2000</v>
      </c>
      <c r="B13" s="49"/>
      <c r="C13" s="38"/>
      <c r="D13" s="4">
        <f>B13-C13</f>
        <v>0</v>
      </c>
      <c r="E13" s="2">
        <v>10500</v>
      </c>
      <c r="F13" s="4">
        <f>IF(A13-B6&lt;15,0,15000)</f>
        <v>15000</v>
      </c>
      <c r="G13" s="4" t="str">
        <f>IF(D13&gt;=((A13-B6)*5000), "Yes", "No")</f>
        <v>No</v>
      </c>
      <c r="H13" s="4">
        <v>15000</v>
      </c>
      <c r="I13" s="4">
        <f>IF(D13-E13&gt;3000,3000,IF(D13-E13&lt;0,0,D13-E13))</f>
        <v>0</v>
      </c>
      <c r="J13" s="4">
        <f>IF(B7&gt;A13,0,IF(H13=0,0,IF(H13&lt;F13,H13,F13)))</f>
        <v>0</v>
      </c>
      <c r="K13" s="4">
        <f>D13</f>
        <v>0</v>
      </c>
      <c r="L13" s="41">
        <f>A13-B6</f>
        <v>2000</v>
      </c>
      <c r="M13" s="4">
        <f>IF(B7&lt;=A13,3000,0)</f>
        <v>0</v>
      </c>
      <c r="N13" s="4">
        <f>IF(G13="Yes",0,IF(F13&lt;3000,F13,M13))</f>
        <v>0</v>
      </c>
      <c r="O13" s="4" t="s">
        <v>0</v>
      </c>
      <c r="P13" s="4" t="s">
        <v>0</v>
      </c>
      <c r="Q13" s="2">
        <f>E13+N13</f>
        <v>10500</v>
      </c>
      <c r="R13" s="2">
        <v>0</v>
      </c>
      <c r="S13" s="4" t="str">
        <f t="shared" ref="S13:S37" si="0">IF(D13&gt;Q13,"yes","no")</f>
        <v>no</v>
      </c>
      <c r="T13" s="4">
        <f t="shared" ref="T13:T38" si="1">IF(D13-Q13&gt;0,D13-Q13,0)</f>
        <v>0</v>
      </c>
      <c r="U13" s="41">
        <f>A13-$B$4</f>
        <v>2000</v>
      </c>
      <c r="Y13" s="4"/>
    </row>
    <row r="14" spans="1:25" x14ac:dyDescent="0.25">
      <c r="A14" s="3">
        <v>2001</v>
      </c>
      <c r="B14" s="49"/>
      <c r="C14" s="38"/>
      <c r="D14" s="4">
        <f t="shared" ref="D14:D26" si="2">B14-C14</f>
        <v>0</v>
      </c>
      <c r="E14" s="2">
        <v>10500</v>
      </c>
      <c r="F14" s="4">
        <f>IF(A14-B6&lt;15,0,15000)</f>
        <v>15000</v>
      </c>
      <c r="G14" s="4" t="str">
        <f>IF((D13+D14)&gt;=((A14-B6)*5000),"Yes","No")</f>
        <v>No</v>
      </c>
      <c r="H14" s="4">
        <f>H13-J13</f>
        <v>15000</v>
      </c>
      <c r="I14" s="4">
        <f t="shared" ref="I14:I38" si="3">IF(D14-E14&gt;3000,3000,IF(D14-E14&lt;0,0,D14-E14))</f>
        <v>0</v>
      </c>
      <c r="J14" s="4">
        <f>IF(B7&gt;A14,0,IF(I14=0,0,IF(I14&lt;F14,I14,F14)))</f>
        <v>0</v>
      </c>
      <c r="K14" s="4">
        <f>D13+D14</f>
        <v>0</v>
      </c>
      <c r="L14" s="41">
        <f>A14-B6</f>
        <v>2001</v>
      </c>
      <c r="M14" s="4">
        <f>IF(B7&lt;=A14,3000,0)</f>
        <v>0</v>
      </c>
      <c r="N14" s="4">
        <f t="shared" ref="N14:N38" si="4">IF(G14="Yes",0,IF(F14&lt;3000,F14,M14))</f>
        <v>0</v>
      </c>
      <c r="O14" s="4" t="s">
        <v>0</v>
      </c>
      <c r="P14" s="4" t="s">
        <v>0</v>
      </c>
      <c r="Q14" s="2">
        <f>E14+N14</f>
        <v>10500</v>
      </c>
      <c r="R14" s="2">
        <v>0</v>
      </c>
      <c r="S14" s="4" t="str">
        <f t="shared" si="0"/>
        <v>no</v>
      </c>
      <c r="T14" s="4">
        <f t="shared" si="1"/>
        <v>0</v>
      </c>
      <c r="U14" s="41">
        <f t="shared" ref="U14:U38" si="5">A14-$B$4</f>
        <v>2001</v>
      </c>
      <c r="Y14" s="4"/>
    </row>
    <row r="15" spans="1:25" x14ac:dyDescent="0.25">
      <c r="A15" s="3">
        <v>2002</v>
      </c>
      <c r="B15" s="49"/>
      <c r="C15" s="38"/>
      <c r="D15" s="4">
        <f t="shared" si="2"/>
        <v>0</v>
      </c>
      <c r="E15" s="2">
        <v>11000</v>
      </c>
      <c r="F15" s="4">
        <f>IF(A15-B6&lt;15,0,15000)</f>
        <v>15000</v>
      </c>
      <c r="G15" s="4" t="str">
        <f>IF((D13+D14+D15)&gt;=((A15-B6)*5000),"Yes","No")</f>
        <v>No</v>
      </c>
      <c r="H15" s="4">
        <f t="shared" ref="H15:H38" si="6">H14-J14</f>
        <v>15000</v>
      </c>
      <c r="I15" s="4">
        <f t="shared" si="3"/>
        <v>0</v>
      </c>
      <c r="J15" s="4">
        <f>IF(G15="Yes",0,IF(B7&gt;A15,0,IF(I15=0,0,IF(I15&lt;F15,I15,F15))))</f>
        <v>0</v>
      </c>
      <c r="K15" s="4">
        <f>SUM($D$13:D15)</f>
        <v>0</v>
      </c>
      <c r="L15" s="41">
        <f>A15-B6</f>
        <v>2002</v>
      </c>
      <c r="M15" s="4">
        <f>IF(B7&lt;=A15,3000,0)</f>
        <v>0</v>
      </c>
      <c r="N15" s="4">
        <f t="shared" si="4"/>
        <v>0</v>
      </c>
      <c r="O15" s="4">
        <f>IF(D15-E15-J15&lt;0,0,IF(D15-E15-J15&gt;1000,1000,D15-E15-J15))</f>
        <v>0</v>
      </c>
      <c r="P15" s="4">
        <f>IF(B5&lt;=A15,1000,0)</f>
        <v>0</v>
      </c>
      <c r="Q15" s="2">
        <f>IF($B$5&lt;=A15,E15+J15+P15,E15+J15)</f>
        <v>11000</v>
      </c>
      <c r="R15" s="2">
        <v>0</v>
      </c>
      <c r="S15" s="4" t="str">
        <f t="shared" si="0"/>
        <v>no</v>
      </c>
      <c r="T15" s="4">
        <f t="shared" si="1"/>
        <v>0</v>
      </c>
      <c r="U15" s="41">
        <f t="shared" si="5"/>
        <v>2002</v>
      </c>
      <c r="Y15" s="4"/>
    </row>
    <row r="16" spans="1:25" x14ac:dyDescent="0.25">
      <c r="A16" s="3">
        <v>2003</v>
      </c>
      <c r="B16" s="49"/>
      <c r="C16" s="38"/>
      <c r="D16" s="4">
        <f t="shared" si="2"/>
        <v>0</v>
      </c>
      <c r="E16" s="2">
        <v>12000</v>
      </c>
      <c r="F16" s="4">
        <f>IF(A16-B6&lt;15,0,15000)</f>
        <v>15000</v>
      </c>
      <c r="G16" s="4" t="str">
        <f>IF((SUM($D$13:D16)&gt;=((A16-$B$6)*5000)),"Yes","No")</f>
        <v>No</v>
      </c>
      <c r="H16" s="4">
        <f t="shared" si="6"/>
        <v>15000</v>
      </c>
      <c r="I16" s="4">
        <f t="shared" si="3"/>
        <v>0</v>
      </c>
      <c r="J16" s="4">
        <f>IF(G16="Yes",0,IF(B7&gt;A16,0,IF(I16=0,0,IF(I16&lt;F16,I16,F16))))</f>
        <v>0</v>
      </c>
      <c r="K16" s="4">
        <f>SUM($D$13:D16)</f>
        <v>0</v>
      </c>
      <c r="L16" s="41">
        <f>A16-B6</f>
        <v>2003</v>
      </c>
      <c r="M16" s="4">
        <f>IF(B7&lt;=A16,3000,0)</f>
        <v>0</v>
      </c>
      <c r="N16" s="4">
        <f t="shared" si="4"/>
        <v>0</v>
      </c>
      <c r="O16" s="4">
        <f>IF(D16-E16-J16&lt;0,0,IF(D16-E16-J16&gt;2000,2000,D16-E16-J16))</f>
        <v>0</v>
      </c>
      <c r="P16" s="4">
        <f>IF(B5&lt;=A16,2000,0)</f>
        <v>0</v>
      </c>
      <c r="Q16" s="2">
        <f t="shared" ref="Q16:Q37" si="7">IF($B$5&lt;=A16,E16+J16+P16,E16+J16)</f>
        <v>12000</v>
      </c>
      <c r="R16" s="2">
        <v>0</v>
      </c>
      <c r="S16" s="4" t="str">
        <f t="shared" si="0"/>
        <v>no</v>
      </c>
      <c r="T16" s="4">
        <f t="shared" si="1"/>
        <v>0</v>
      </c>
      <c r="U16" s="41">
        <f t="shared" si="5"/>
        <v>2003</v>
      </c>
      <c r="Y16" s="4"/>
    </row>
    <row r="17" spans="1:25" x14ac:dyDescent="0.25">
      <c r="A17" s="3">
        <v>2004</v>
      </c>
      <c r="B17" s="49"/>
      <c r="C17" s="38"/>
      <c r="D17" s="4">
        <f t="shared" si="2"/>
        <v>0</v>
      </c>
      <c r="E17" s="2">
        <v>13000</v>
      </c>
      <c r="F17" s="4">
        <f>IF(A17-B6&lt;15,0,15000)</f>
        <v>15000</v>
      </c>
      <c r="G17" s="4" t="str">
        <f>IF((SUM($D$13:D17)&gt;=((A17-$B$6)*5000)),"Yes","No")</f>
        <v>No</v>
      </c>
      <c r="H17" s="4">
        <f t="shared" si="6"/>
        <v>15000</v>
      </c>
      <c r="I17" s="4">
        <f t="shared" si="3"/>
        <v>0</v>
      </c>
      <c r="J17" s="4">
        <f>IF(G17="Yes",0,IF(B7&gt;A17,0,IF(I17=0,0,IF(I17&lt;F17,I17,F17))))</f>
        <v>0</v>
      </c>
      <c r="K17" s="4">
        <f>SUM($D$13:D17)</f>
        <v>0</v>
      </c>
      <c r="L17" s="41">
        <f>A17-B6</f>
        <v>2004</v>
      </c>
      <c r="M17" s="4">
        <f>IF(B7&lt;=A17,3000,0)</f>
        <v>0</v>
      </c>
      <c r="N17" s="4">
        <f t="shared" si="4"/>
        <v>0</v>
      </c>
      <c r="O17" s="4">
        <f>IF(D17-E17-J17&lt;0,0,IF(D17-E17-J17&gt;3000,3000,D17-E17-J17))</f>
        <v>0</v>
      </c>
      <c r="P17" s="4">
        <f>IF(B5&lt;=A17,3000,0)</f>
        <v>0</v>
      </c>
      <c r="Q17" s="2">
        <f t="shared" si="7"/>
        <v>13000</v>
      </c>
      <c r="R17" s="2">
        <v>0</v>
      </c>
      <c r="S17" s="4" t="str">
        <f t="shared" si="0"/>
        <v>no</v>
      </c>
      <c r="T17" s="4">
        <f t="shared" si="1"/>
        <v>0</v>
      </c>
      <c r="U17" s="41">
        <f t="shared" si="5"/>
        <v>2004</v>
      </c>
      <c r="Y17" s="4"/>
    </row>
    <row r="18" spans="1:25" x14ac:dyDescent="0.25">
      <c r="A18" s="3">
        <v>2005</v>
      </c>
      <c r="B18" s="49"/>
      <c r="C18" s="38"/>
      <c r="D18" s="4">
        <f t="shared" si="2"/>
        <v>0</v>
      </c>
      <c r="E18" s="2">
        <v>14000</v>
      </c>
      <c r="F18" s="4">
        <f>IF(A18-B6&lt;15,0,15000)</f>
        <v>15000</v>
      </c>
      <c r="G18" s="4" t="str">
        <f>IF((SUM($D$13:D18)&gt;=((A18-$B$6)*5000)),"Yes","No")</f>
        <v>No</v>
      </c>
      <c r="H18" s="4">
        <f t="shared" si="6"/>
        <v>15000</v>
      </c>
      <c r="I18" s="4">
        <f t="shared" si="3"/>
        <v>0</v>
      </c>
      <c r="J18" s="4">
        <f>IF(G18="Yes",0,IF(B7&gt;A18,0,IF(I18=0,0,IF(I18&lt;F18,I18,F18))))</f>
        <v>0</v>
      </c>
      <c r="K18" s="4">
        <f>SUM($D$13:D18)</f>
        <v>0</v>
      </c>
      <c r="L18" s="41">
        <f>A18-B6</f>
        <v>2005</v>
      </c>
      <c r="M18" s="4">
        <f>IF(B7&lt;=A18,3000,0)</f>
        <v>0</v>
      </c>
      <c r="N18" s="4">
        <f t="shared" si="4"/>
        <v>0</v>
      </c>
      <c r="O18" s="4">
        <f>IF(D18-E18-J18&lt;0,0,IF(D18-E18-J18&gt;4000,4000,D18-E18-J18))</f>
        <v>0</v>
      </c>
      <c r="P18" s="4">
        <f>IF(B5&lt;=A18,4000,0)</f>
        <v>0</v>
      </c>
      <c r="Q18" s="2">
        <f t="shared" si="7"/>
        <v>14000</v>
      </c>
      <c r="R18" s="2">
        <v>0</v>
      </c>
      <c r="S18" s="4" t="str">
        <f t="shared" si="0"/>
        <v>no</v>
      </c>
      <c r="T18" s="4">
        <f t="shared" si="1"/>
        <v>0</v>
      </c>
      <c r="U18" s="41">
        <f t="shared" si="5"/>
        <v>2005</v>
      </c>
      <c r="Y18" s="4"/>
    </row>
    <row r="19" spans="1:25" x14ac:dyDescent="0.25">
      <c r="A19" s="3">
        <v>2006</v>
      </c>
      <c r="B19" s="49"/>
      <c r="C19" s="38"/>
      <c r="D19" s="4">
        <f t="shared" si="2"/>
        <v>0</v>
      </c>
      <c r="E19" s="2">
        <v>15000</v>
      </c>
      <c r="F19" s="4">
        <f>IF(A19-B6&lt;15,0,15000)</f>
        <v>15000</v>
      </c>
      <c r="G19" s="4" t="str">
        <f>IF((SUM($D$13:D19)&gt;=((A19-$B$6)*5000)),"Yes","No")</f>
        <v>No</v>
      </c>
      <c r="H19" s="4">
        <f t="shared" si="6"/>
        <v>15000</v>
      </c>
      <c r="I19" s="4">
        <f t="shared" si="3"/>
        <v>0</v>
      </c>
      <c r="J19" s="4">
        <f>IF(G19="Yes",0,IF(B7&gt;A19,0,IF(I19=0,0,IF(I19&lt;F19,I19,F19))))</f>
        <v>0</v>
      </c>
      <c r="K19" s="4">
        <f>SUM($D$13:D19)</f>
        <v>0</v>
      </c>
      <c r="L19" s="41">
        <f>A19-B6</f>
        <v>2006</v>
      </c>
      <c r="M19" s="4">
        <f>IF(B7&lt;=A19,3000,0)</f>
        <v>0</v>
      </c>
      <c r="N19" s="4">
        <f t="shared" si="4"/>
        <v>0</v>
      </c>
      <c r="O19" s="4">
        <f>IF(D19-E19-J19&lt;0,0,IF(D19-E19-J19&gt;5000,5000,D19-E19-J19))</f>
        <v>0</v>
      </c>
      <c r="P19" s="4">
        <f>IF(B5&lt;=A19,5000,0)</f>
        <v>0</v>
      </c>
      <c r="Q19" s="2">
        <f t="shared" si="7"/>
        <v>15000</v>
      </c>
      <c r="R19" s="2" t="s">
        <v>39</v>
      </c>
      <c r="S19" s="4" t="str">
        <f t="shared" si="0"/>
        <v>no</v>
      </c>
      <c r="T19" s="4">
        <f t="shared" si="1"/>
        <v>0</v>
      </c>
      <c r="U19" s="41">
        <f t="shared" si="5"/>
        <v>2006</v>
      </c>
      <c r="Y19" s="4"/>
    </row>
    <row r="20" spans="1:25" x14ac:dyDescent="0.25">
      <c r="A20" s="3">
        <v>2007</v>
      </c>
      <c r="B20" s="49"/>
      <c r="C20" s="38"/>
      <c r="D20" s="4">
        <f t="shared" si="2"/>
        <v>0</v>
      </c>
      <c r="E20" s="2">
        <v>15500</v>
      </c>
      <c r="F20" s="4">
        <f>IF(A20-B6&lt;15,0,15000)</f>
        <v>15000</v>
      </c>
      <c r="G20" s="4" t="str">
        <f>IF((SUM($D$13:D20)&gt;=((A20-$B$6)*5000)),"Yes","No")</f>
        <v>No</v>
      </c>
      <c r="H20" s="4">
        <f t="shared" si="6"/>
        <v>15000</v>
      </c>
      <c r="I20" s="4">
        <f t="shared" si="3"/>
        <v>0</v>
      </c>
      <c r="J20" s="4">
        <f>IF(G20="Yes",0,IF(B7&gt;A20,0,IF(I20=0,0,IF(I20&lt;F20,I20,F20))))</f>
        <v>0</v>
      </c>
      <c r="K20" s="4">
        <f>SUM($D$13:D20)</f>
        <v>0</v>
      </c>
      <c r="L20" s="41">
        <f>A20-B6</f>
        <v>2007</v>
      </c>
      <c r="M20" s="4">
        <f>IF(B7&lt;=A20,3000,0)</f>
        <v>0</v>
      </c>
      <c r="N20" s="4">
        <f t="shared" si="4"/>
        <v>0</v>
      </c>
      <c r="O20" s="4">
        <f>IF(D20-E20-J20&lt;0,0,IF(D20-E20-J20&gt;5000,5000,D20-E20-J20))</f>
        <v>0</v>
      </c>
      <c r="P20" s="4">
        <f>IF(B5&lt;=A20,5000,0)</f>
        <v>0</v>
      </c>
      <c r="Q20" s="2">
        <f t="shared" si="7"/>
        <v>15500</v>
      </c>
      <c r="R20" s="2" t="s">
        <v>39</v>
      </c>
      <c r="S20" s="4" t="str">
        <f t="shared" si="0"/>
        <v>no</v>
      </c>
      <c r="T20" s="4">
        <f t="shared" si="1"/>
        <v>0</v>
      </c>
      <c r="U20" s="41">
        <f t="shared" si="5"/>
        <v>2007</v>
      </c>
      <c r="Y20" s="4"/>
    </row>
    <row r="21" spans="1:25" x14ac:dyDescent="0.25">
      <c r="A21" s="3">
        <v>2008</v>
      </c>
      <c r="B21" s="49"/>
      <c r="C21" s="38"/>
      <c r="D21" s="4">
        <f t="shared" si="2"/>
        <v>0</v>
      </c>
      <c r="E21" s="2">
        <v>15500</v>
      </c>
      <c r="F21" s="4">
        <f>IF(A21-B6&lt;15,0,15000)</f>
        <v>15000</v>
      </c>
      <c r="G21" s="4" t="str">
        <f>IF((SUM($D$13:D21)&gt;=((A21-$B$6)*5000)),"Yes","No")</f>
        <v>No</v>
      </c>
      <c r="H21" s="4">
        <f t="shared" si="6"/>
        <v>15000</v>
      </c>
      <c r="I21" s="4">
        <f t="shared" si="3"/>
        <v>0</v>
      </c>
      <c r="J21" s="4">
        <f>IF(G21="Yes",0,IF(B7&gt;A21,0,IF(I21=0,0,IF(I21&lt;F21,I21,F21))))</f>
        <v>0</v>
      </c>
      <c r="K21" s="4">
        <f>SUM($D$13:D21)</f>
        <v>0</v>
      </c>
      <c r="L21" s="41">
        <f>A21-B6</f>
        <v>2008</v>
      </c>
      <c r="M21" s="4">
        <f>IF(B7&lt;=A21,3000,0)</f>
        <v>0</v>
      </c>
      <c r="N21" s="4">
        <f t="shared" si="4"/>
        <v>0</v>
      </c>
      <c r="O21" s="4">
        <f>IF(D21-E21-J21&lt;0,0,IF(D21-E21-J21&gt;5000,5000,D21-E21-J21))</f>
        <v>0</v>
      </c>
      <c r="P21" s="4">
        <f>IF(B5&lt;=A21,5000,0)</f>
        <v>0</v>
      </c>
      <c r="Q21" s="2">
        <f t="shared" si="7"/>
        <v>15500</v>
      </c>
      <c r="R21" s="2" t="s">
        <v>39</v>
      </c>
      <c r="S21" s="4" t="str">
        <f t="shared" si="0"/>
        <v>no</v>
      </c>
      <c r="T21" s="4">
        <f t="shared" si="1"/>
        <v>0</v>
      </c>
      <c r="U21" s="41">
        <f t="shared" si="5"/>
        <v>2008</v>
      </c>
      <c r="Y21" s="4"/>
    </row>
    <row r="22" spans="1:25" x14ac:dyDescent="0.25">
      <c r="A22" s="3">
        <v>2009</v>
      </c>
      <c r="B22" s="49"/>
      <c r="C22" s="38"/>
      <c r="D22" s="4">
        <f t="shared" si="2"/>
        <v>0</v>
      </c>
      <c r="E22" s="2">
        <v>16500</v>
      </c>
      <c r="F22" s="4">
        <f>IF(A22-B6&lt;15,0,15000)</f>
        <v>15000</v>
      </c>
      <c r="G22" s="4" t="str">
        <f>IF((SUM($D$13:D22)&gt;=((A22-$B$6)*5000)),"Yes","No")</f>
        <v>No</v>
      </c>
      <c r="H22" s="4">
        <f t="shared" si="6"/>
        <v>15000</v>
      </c>
      <c r="I22" s="4">
        <f t="shared" si="3"/>
        <v>0</v>
      </c>
      <c r="J22" s="4">
        <f>IF(G22="Yes",0,IF(B7&gt;A22,0,IF(I22=0,0,IF(I22&lt;F22,I22,F22))))</f>
        <v>0</v>
      </c>
      <c r="K22" s="4">
        <f>SUM($D$13:D22)</f>
        <v>0</v>
      </c>
      <c r="L22" s="41">
        <f>A22-B6</f>
        <v>2009</v>
      </c>
      <c r="M22" s="4">
        <f>IF(B7&lt;=A22,3000,0)</f>
        <v>0</v>
      </c>
      <c r="N22" s="4">
        <f t="shared" si="4"/>
        <v>0</v>
      </c>
      <c r="O22" s="4">
        <f t="shared" ref="O22:O27" si="8">IF(D22-E22-J22&lt;0,0,IF(D22-E22-J22&gt;5500,5500,D22-E22-J22))</f>
        <v>0</v>
      </c>
      <c r="P22" s="4">
        <f>IF(B5&lt;=A22,5500,0)</f>
        <v>0</v>
      </c>
      <c r="Q22" s="2">
        <f t="shared" si="7"/>
        <v>16500</v>
      </c>
      <c r="R22" s="2" t="s">
        <v>39</v>
      </c>
      <c r="S22" s="4" t="str">
        <f t="shared" si="0"/>
        <v>no</v>
      </c>
      <c r="T22" s="4">
        <f t="shared" si="1"/>
        <v>0</v>
      </c>
      <c r="U22" s="41">
        <f t="shared" si="5"/>
        <v>2009</v>
      </c>
      <c r="Y22" s="4"/>
    </row>
    <row r="23" spans="1:25" x14ac:dyDescent="0.25">
      <c r="A23" s="3">
        <v>2010</v>
      </c>
      <c r="B23" s="49"/>
      <c r="C23" s="38"/>
      <c r="D23" s="4">
        <f t="shared" si="2"/>
        <v>0</v>
      </c>
      <c r="E23" s="2">
        <v>16500</v>
      </c>
      <c r="F23" s="4">
        <f>IF(A23-B6&lt;15,0,15000)</f>
        <v>15000</v>
      </c>
      <c r="G23" s="4" t="str">
        <f>IF((SUM($D$13:D23)&gt;=((A23-$B$6)*5000)),"Yes","No")</f>
        <v>No</v>
      </c>
      <c r="H23" s="4">
        <f t="shared" si="6"/>
        <v>15000</v>
      </c>
      <c r="I23" s="4">
        <f t="shared" si="3"/>
        <v>0</v>
      </c>
      <c r="J23" s="4">
        <f>IF(G23="Yes",0,IF(B7&gt;A23,0,IF(I23=0,0,IF(I23&lt;F23,I23,F23))))</f>
        <v>0</v>
      </c>
      <c r="K23" s="4">
        <f>SUM($D$13:D23)</f>
        <v>0</v>
      </c>
      <c r="L23" s="41">
        <f>A23-B6</f>
        <v>2010</v>
      </c>
      <c r="M23" s="4">
        <f>IF(B7&lt;=A23,3000,0)</f>
        <v>0</v>
      </c>
      <c r="N23" s="4">
        <f t="shared" si="4"/>
        <v>0</v>
      </c>
      <c r="O23" s="4">
        <f t="shared" si="8"/>
        <v>0</v>
      </c>
      <c r="P23" s="4">
        <f>IF(B5&lt;=A23,5500,0)</f>
        <v>0</v>
      </c>
      <c r="Q23" s="2">
        <f t="shared" si="7"/>
        <v>16500</v>
      </c>
      <c r="R23" s="2" t="s">
        <v>39</v>
      </c>
      <c r="S23" s="4" t="str">
        <f t="shared" si="0"/>
        <v>no</v>
      </c>
      <c r="T23" s="4">
        <f t="shared" si="1"/>
        <v>0</v>
      </c>
      <c r="U23" s="41">
        <f t="shared" si="5"/>
        <v>2010</v>
      </c>
      <c r="Y23" s="4"/>
    </row>
    <row r="24" spans="1:25" x14ac:dyDescent="0.25">
      <c r="A24" s="3">
        <v>2011</v>
      </c>
      <c r="B24" s="49"/>
      <c r="C24" s="38"/>
      <c r="D24" s="4">
        <f t="shared" si="2"/>
        <v>0</v>
      </c>
      <c r="E24" s="2">
        <v>16500</v>
      </c>
      <c r="F24" s="4">
        <f>IF(A24-B6&lt;15,0,15000)</f>
        <v>15000</v>
      </c>
      <c r="G24" s="4" t="str">
        <f>IF((SUM($D$13:D24)&gt;=((A24-$B$6)*5000)),"Yes","No")</f>
        <v>No</v>
      </c>
      <c r="H24" s="4">
        <f t="shared" si="6"/>
        <v>15000</v>
      </c>
      <c r="I24" s="4">
        <f t="shared" si="3"/>
        <v>0</v>
      </c>
      <c r="J24" s="4">
        <f>IF(G24="Yes",0,IF(B7&gt;A24,0,IF(I24=0,0,IF(I24&lt;F24,I24,F24))))</f>
        <v>0</v>
      </c>
      <c r="K24" s="4">
        <f>SUM($D$13:D24)</f>
        <v>0</v>
      </c>
      <c r="L24" s="41">
        <f>A24-B6</f>
        <v>2011</v>
      </c>
      <c r="M24" s="4">
        <f>IF(B7&lt;=A24,3000,0)</f>
        <v>0</v>
      </c>
      <c r="N24" s="4">
        <f t="shared" si="4"/>
        <v>0</v>
      </c>
      <c r="O24" s="4">
        <f t="shared" si="8"/>
        <v>0</v>
      </c>
      <c r="P24" s="4">
        <f>IF(B5&lt;=A24,5500,0)</f>
        <v>0</v>
      </c>
      <c r="Q24" s="2">
        <f t="shared" si="7"/>
        <v>16500</v>
      </c>
      <c r="R24" s="2" t="s">
        <v>39</v>
      </c>
      <c r="S24" s="4" t="str">
        <f t="shared" si="0"/>
        <v>no</v>
      </c>
      <c r="T24" s="4">
        <f t="shared" si="1"/>
        <v>0</v>
      </c>
      <c r="U24" s="41">
        <f t="shared" si="5"/>
        <v>2011</v>
      </c>
      <c r="Y24" s="4"/>
    </row>
    <row r="25" spans="1:25" ht="15.75" customHeight="1" x14ac:dyDescent="0.25">
      <c r="A25" s="3">
        <v>2012</v>
      </c>
      <c r="B25" s="49"/>
      <c r="C25" s="38"/>
      <c r="D25" s="4">
        <f t="shared" si="2"/>
        <v>0</v>
      </c>
      <c r="E25" s="2">
        <v>17000</v>
      </c>
      <c r="F25" s="4">
        <f>IF(A25-B6&lt;15,0,15000)</f>
        <v>15000</v>
      </c>
      <c r="G25" s="4" t="str">
        <f>IF((SUM($D$13:D25)&gt;=((A25-$B$6)*5000)),"Yes","No")</f>
        <v>No</v>
      </c>
      <c r="H25" s="4">
        <f t="shared" si="6"/>
        <v>15000</v>
      </c>
      <c r="I25" s="4">
        <f t="shared" si="3"/>
        <v>0</v>
      </c>
      <c r="J25" s="4">
        <f>IF(G25="Yes",0,IF(B7&gt;A25,0,IF(I25=0,0,IF(I25&lt;F25,I25,F25))))</f>
        <v>0</v>
      </c>
      <c r="K25" s="4">
        <f>SUM($D$13:D25)</f>
        <v>0</v>
      </c>
      <c r="L25" s="41">
        <f>A25-B6</f>
        <v>2012</v>
      </c>
      <c r="M25" s="4">
        <f>IF(B7&lt;=A25,3000,0)</f>
        <v>0</v>
      </c>
      <c r="N25" s="4">
        <f t="shared" si="4"/>
        <v>0</v>
      </c>
      <c r="O25" s="4">
        <f t="shared" si="8"/>
        <v>0</v>
      </c>
      <c r="P25" s="4">
        <f>IF(B5&lt;=A25,5500,0)</f>
        <v>0</v>
      </c>
      <c r="Q25" s="2">
        <f t="shared" si="7"/>
        <v>17000</v>
      </c>
      <c r="R25" s="2" t="s">
        <v>39</v>
      </c>
      <c r="S25" s="4" t="str">
        <f>IF(D25&gt;Q25,"yes","no")</f>
        <v>no</v>
      </c>
      <c r="T25" s="4">
        <f t="shared" si="1"/>
        <v>0</v>
      </c>
      <c r="U25" s="41">
        <f t="shared" si="5"/>
        <v>2012</v>
      </c>
      <c r="Y25" s="4"/>
    </row>
    <row r="26" spans="1:25" x14ac:dyDescent="0.25">
      <c r="A26" s="3">
        <v>2013</v>
      </c>
      <c r="B26" s="49"/>
      <c r="C26" s="38"/>
      <c r="D26" s="4">
        <f t="shared" si="2"/>
        <v>0</v>
      </c>
      <c r="E26" s="2">
        <v>17500</v>
      </c>
      <c r="F26" s="4">
        <f>IF(A26-B6&lt;15,0,15000)</f>
        <v>15000</v>
      </c>
      <c r="G26" s="4" t="str">
        <f>IF((SUM($D$13:D26)&gt;=((A26-$B$6)*5000)),"Yes","No")</f>
        <v>No</v>
      </c>
      <c r="H26" s="4">
        <f t="shared" si="6"/>
        <v>15000</v>
      </c>
      <c r="I26" s="4">
        <f t="shared" si="3"/>
        <v>0</v>
      </c>
      <c r="J26" s="4">
        <f>IF(G26="Yes",0,IF(B7&gt;A26,0,IF(I26=0,0,IF(I26&lt;F26,I26,F26))))</f>
        <v>0</v>
      </c>
      <c r="K26" s="4">
        <f>SUM($D$13:D26)</f>
        <v>0</v>
      </c>
      <c r="L26" s="41">
        <f>A26-B6</f>
        <v>2013</v>
      </c>
      <c r="M26" s="4">
        <f>IF(B7&lt;=A26,3000,0)</f>
        <v>0</v>
      </c>
      <c r="N26" s="4">
        <f t="shared" si="4"/>
        <v>0</v>
      </c>
      <c r="O26" s="4">
        <f t="shared" si="8"/>
        <v>0</v>
      </c>
      <c r="P26" s="4">
        <f>IF(B5&lt;=A26,5500,0)</f>
        <v>0</v>
      </c>
      <c r="Q26" s="2">
        <f t="shared" si="7"/>
        <v>17500</v>
      </c>
      <c r="R26" s="2" t="s">
        <v>39</v>
      </c>
      <c r="S26" s="4" t="str">
        <f t="shared" si="0"/>
        <v>no</v>
      </c>
      <c r="T26" s="4">
        <f t="shared" si="1"/>
        <v>0</v>
      </c>
      <c r="U26" s="41">
        <f t="shared" si="5"/>
        <v>2013</v>
      </c>
      <c r="Y26" s="4"/>
    </row>
    <row r="27" spans="1:25" x14ac:dyDescent="0.25">
      <c r="A27" s="3">
        <v>2014</v>
      </c>
      <c r="B27" s="49"/>
      <c r="C27" s="38"/>
      <c r="D27" s="4">
        <f t="shared" ref="D27:D38" si="9">B27-C27</f>
        <v>0</v>
      </c>
      <c r="E27" s="2">
        <v>17500</v>
      </c>
      <c r="F27" s="4">
        <f>IF(A27-B6&lt;15,0,15000)</f>
        <v>15000</v>
      </c>
      <c r="G27" s="4" t="str">
        <f>IF((SUM($D$13:D27)&gt;=((A27-$B$6)*5000)),"Yes","No")</f>
        <v>No</v>
      </c>
      <c r="H27" s="4">
        <f t="shared" si="6"/>
        <v>15000</v>
      </c>
      <c r="I27" s="4">
        <f t="shared" si="3"/>
        <v>0</v>
      </c>
      <c r="J27" s="4">
        <f>IF(G27="Yes",0,IF(B7&gt;A27,0,IF(I27=0,0,IF(I27&lt;F27,I27,F27))))</f>
        <v>0</v>
      </c>
      <c r="K27" s="4">
        <f>SUM($D$13:D27)</f>
        <v>0</v>
      </c>
      <c r="L27" s="41">
        <f>A27-B6</f>
        <v>2014</v>
      </c>
      <c r="M27" s="4">
        <f>IF(B7&lt;=A27,3000,0)</f>
        <v>0</v>
      </c>
      <c r="N27" s="4">
        <f t="shared" si="4"/>
        <v>0</v>
      </c>
      <c r="O27" s="4">
        <f t="shared" si="8"/>
        <v>0</v>
      </c>
      <c r="P27" s="4">
        <f>IF(B5&lt;=A27,5500,0)</f>
        <v>0</v>
      </c>
      <c r="Q27" s="2">
        <f t="shared" si="7"/>
        <v>17500</v>
      </c>
      <c r="R27" s="2" t="s">
        <v>39</v>
      </c>
      <c r="S27" s="4" t="str">
        <f t="shared" si="0"/>
        <v>no</v>
      </c>
      <c r="T27" s="4">
        <f t="shared" si="1"/>
        <v>0</v>
      </c>
      <c r="U27" s="41">
        <f t="shared" si="5"/>
        <v>2014</v>
      </c>
      <c r="Y27" s="4"/>
    </row>
    <row r="28" spans="1:25" x14ac:dyDescent="0.25">
      <c r="A28" s="3">
        <v>2015</v>
      </c>
      <c r="B28" s="49"/>
      <c r="C28" s="38"/>
      <c r="D28" s="4">
        <f t="shared" si="9"/>
        <v>0</v>
      </c>
      <c r="E28" s="2">
        <v>18000</v>
      </c>
      <c r="F28" s="4">
        <f>IF(A28-B6&lt;15,0,15000)</f>
        <v>15000</v>
      </c>
      <c r="G28" s="4" t="str">
        <f>IF((SUM($D$13:D28)&gt;=((A28-$B$6)*5000)),"Yes","No")</f>
        <v>No</v>
      </c>
      <c r="H28" s="4">
        <f t="shared" si="6"/>
        <v>15000</v>
      </c>
      <c r="I28" s="4">
        <f t="shared" si="3"/>
        <v>0</v>
      </c>
      <c r="J28" s="4">
        <f>IF(G28="Yes",0,IF(B7&gt;A28,0,IF(I28=0,0,IF(I28&lt;F28,I28,F28))))</f>
        <v>0</v>
      </c>
      <c r="K28" s="4">
        <f>SUM($D$13:D28)</f>
        <v>0</v>
      </c>
      <c r="L28" s="41">
        <f>A28-B6</f>
        <v>2015</v>
      </c>
      <c r="M28" s="4">
        <f>IF(B7&lt;=A28,3000,0)</f>
        <v>0</v>
      </c>
      <c r="N28" s="4">
        <f t="shared" si="4"/>
        <v>0</v>
      </c>
      <c r="O28" s="4">
        <f>IF(D28-E28-J28&lt;0,0,IF(D28-E28-J28&gt;6000,6000,D28-E28-J28))</f>
        <v>0</v>
      </c>
      <c r="P28" s="4">
        <f>IF(B5&lt;=A28,6000,0)</f>
        <v>0</v>
      </c>
      <c r="Q28" s="2">
        <f t="shared" si="7"/>
        <v>18000</v>
      </c>
      <c r="R28" s="2" t="s">
        <v>39</v>
      </c>
      <c r="S28" s="4" t="str">
        <f t="shared" si="0"/>
        <v>no</v>
      </c>
      <c r="T28" s="4">
        <f t="shared" si="1"/>
        <v>0</v>
      </c>
      <c r="U28" s="41">
        <f t="shared" si="5"/>
        <v>2015</v>
      </c>
      <c r="Y28" s="4"/>
    </row>
    <row r="29" spans="1:25" x14ac:dyDescent="0.25">
      <c r="A29" s="3">
        <v>2016</v>
      </c>
      <c r="B29" s="49"/>
      <c r="C29" s="38"/>
      <c r="D29" s="4">
        <f t="shared" si="9"/>
        <v>0</v>
      </c>
      <c r="E29" s="2">
        <v>18000</v>
      </c>
      <c r="F29" s="4">
        <f>IF(A29-B6&lt;15,0,15000)</f>
        <v>15000</v>
      </c>
      <c r="G29" s="4" t="str">
        <f>IF((SUM($D$13:D29)&gt;=((A29-$B$6)*5000)),"Yes","No")</f>
        <v>No</v>
      </c>
      <c r="H29" s="4">
        <f t="shared" si="6"/>
        <v>15000</v>
      </c>
      <c r="I29" s="4">
        <f t="shared" si="3"/>
        <v>0</v>
      </c>
      <c r="J29" s="4">
        <f>IF(G29="Yes",0,IF(B7&gt;A29,0,IF(I29=0,0,IF(I29&lt;F29,I29,F29))))</f>
        <v>0</v>
      </c>
      <c r="K29" s="4">
        <f>SUM($D$13:D29)</f>
        <v>0</v>
      </c>
      <c r="L29" s="41">
        <f>A29-B6</f>
        <v>2016</v>
      </c>
      <c r="M29" s="4">
        <f>IF(B7&lt;=A29,3000,0)</f>
        <v>0</v>
      </c>
      <c r="N29" s="4">
        <f t="shared" si="4"/>
        <v>0</v>
      </c>
      <c r="O29" s="4">
        <f>IF(D29-E29-J29&lt;0,0,IF(D29-E29-J29&gt;6000,6000,D29-E29-J29))</f>
        <v>0</v>
      </c>
      <c r="P29" s="4">
        <f>IF(B5&lt;=A29,6000,0)</f>
        <v>0</v>
      </c>
      <c r="Q29" s="2">
        <f t="shared" si="7"/>
        <v>18000</v>
      </c>
      <c r="R29" s="2" t="s">
        <v>39</v>
      </c>
      <c r="S29" s="4" t="str">
        <f t="shared" si="0"/>
        <v>no</v>
      </c>
      <c r="T29" s="4">
        <f t="shared" si="1"/>
        <v>0</v>
      </c>
      <c r="U29" s="41">
        <f t="shared" si="5"/>
        <v>2016</v>
      </c>
      <c r="Y29" s="4"/>
    </row>
    <row r="30" spans="1:25" x14ac:dyDescent="0.25">
      <c r="A30" s="3">
        <v>2017</v>
      </c>
      <c r="B30" s="49"/>
      <c r="C30" s="38"/>
      <c r="D30" s="4">
        <f t="shared" si="9"/>
        <v>0</v>
      </c>
      <c r="E30" s="2">
        <v>18000</v>
      </c>
      <c r="F30" s="4">
        <f>IF(A30-B6&lt;15,0,15000)</f>
        <v>15000</v>
      </c>
      <c r="G30" s="4" t="str">
        <f>IF((SUM($D$13:D30)&gt;=((A30-$B$6)*5000)),"Yes","No")</f>
        <v>No</v>
      </c>
      <c r="H30" s="4">
        <f t="shared" si="6"/>
        <v>15000</v>
      </c>
      <c r="I30" s="4">
        <f t="shared" si="3"/>
        <v>0</v>
      </c>
      <c r="J30" s="4">
        <f>IF(G30="Yes",0,IF(B7&gt;A30,0,IF(I30=0,0,IF(I30&lt;F30,I30,F30))))</f>
        <v>0</v>
      </c>
      <c r="K30" s="4">
        <f>SUM($D$13:D30)</f>
        <v>0</v>
      </c>
      <c r="L30" s="41">
        <f>A30-B6</f>
        <v>2017</v>
      </c>
      <c r="M30" s="4">
        <f>IF(B7&lt;=A30,3000,0)</f>
        <v>0</v>
      </c>
      <c r="N30" s="4">
        <f t="shared" si="4"/>
        <v>0</v>
      </c>
      <c r="O30" s="4">
        <f>IF(D30-E30-J30&lt;0,0,IF(D30-E30-J30&gt;6000,6000,D30-E30-J30))</f>
        <v>0</v>
      </c>
      <c r="P30" s="4">
        <f>IF(B5&lt;=A30,6000,0)</f>
        <v>0</v>
      </c>
      <c r="Q30" s="2">
        <f t="shared" si="7"/>
        <v>18000</v>
      </c>
      <c r="R30" s="2" t="s">
        <v>39</v>
      </c>
      <c r="S30" s="4" t="str">
        <f t="shared" si="0"/>
        <v>no</v>
      </c>
      <c r="T30" s="4">
        <f t="shared" si="1"/>
        <v>0</v>
      </c>
      <c r="U30" s="41">
        <f t="shared" si="5"/>
        <v>2017</v>
      </c>
      <c r="Y30" s="4"/>
    </row>
    <row r="31" spans="1:25" ht="14.25" customHeight="1" x14ac:dyDescent="0.25">
      <c r="A31" s="3">
        <v>2018</v>
      </c>
      <c r="B31" s="49"/>
      <c r="C31" s="38"/>
      <c r="D31" s="4">
        <f t="shared" si="9"/>
        <v>0</v>
      </c>
      <c r="E31" s="2">
        <v>18500</v>
      </c>
      <c r="F31" s="4">
        <f>IF(A31-B6&lt;15,0,15000)</f>
        <v>15000</v>
      </c>
      <c r="G31" s="4" t="str">
        <f>IF((SUM($D$13:D31)&gt;=((A31-$B$6)*5000)),"Yes","No")</f>
        <v>No</v>
      </c>
      <c r="H31" s="4">
        <f t="shared" si="6"/>
        <v>15000</v>
      </c>
      <c r="I31" s="4">
        <f t="shared" si="3"/>
        <v>0</v>
      </c>
      <c r="J31" s="4">
        <f>IF(G31="Yes",0,IF(B7&gt;A31,0,IF(I31=0,0,IF(I31&lt;F31,I31,F31))))</f>
        <v>0</v>
      </c>
      <c r="K31" s="4">
        <f>SUM($D$13:D31)</f>
        <v>0</v>
      </c>
      <c r="L31" s="41">
        <f>A31-B6</f>
        <v>2018</v>
      </c>
      <c r="M31" s="4">
        <f>IF(B7&lt;=A31,3000,0)</f>
        <v>0</v>
      </c>
      <c r="N31" s="4">
        <f t="shared" si="4"/>
        <v>0</v>
      </c>
      <c r="O31" s="4">
        <f>IF(D31-E31-J31&lt;0,0,IF(D31-E31-J31&gt;6000,6000,D31-E31-J31))</f>
        <v>0</v>
      </c>
      <c r="P31" s="4">
        <f>IF(B5&lt;=A31,6000,0)</f>
        <v>0</v>
      </c>
      <c r="Q31" s="2">
        <f t="shared" si="7"/>
        <v>18500</v>
      </c>
      <c r="R31" s="2" t="s">
        <v>39</v>
      </c>
      <c r="S31" s="4" t="str">
        <f t="shared" si="0"/>
        <v>no</v>
      </c>
      <c r="T31" s="4">
        <f t="shared" si="1"/>
        <v>0</v>
      </c>
      <c r="U31" s="41">
        <f t="shared" si="5"/>
        <v>2018</v>
      </c>
      <c r="Y31" s="4"/>
    </row>
    <row r="32" spans="1:25" x14ac:dyDescent="0.25">
      <c r="A32" s="3">
        <v>2019</v>
      </c>
      <c r="B32" s="49"/>
      <c r="C32" s="38"/>
      <c r="D32" s="4">
        <f t="shared" si="9"/>
        <v>0</v>
      </c>
      <c r="E32" s="2">
        <v>19000</v>
      </c>
      <c r="F32" s="4">
        <f>IF(A32-B6&lt;15,0,15000)</f>
        <v>15000</v>
      </c>
      <c r="G32" s="4" t="str">
        <f>IF((SUM($D$13:D32)&gt;=((A32-$B$6)*5000)),"Yes","No")</f>
        <v>No</v>
      </c>
      <c r="H32" s="4">
        <f t="shared" si="6"/>
        <v>15000</v>
      </c>
      <c r="I32" s="4">
        <f t="shared" si="3"/>
        <v>0</v>
      </c>
      <c r="J32" s="4">
        <f>IF(G32="Yes",0,IF(B7&gt;A32,0,IF(I32=0,0,IF(I32&lt;F32,I32,F32))))</f>
        <v>0</v>
      </c>
      <c r="K32" s="4">
        <f>SUM($D$13:D32)</f>
        <v>0</v>
      </c>
      <c r="L32" s="41">
        <f>A32-B6</f>
        <v>2019</v>
      </c>
      <c r="M32" s="4">
        <f>IF(B7&lt;=A32,3000,0)</f>
        <v>0</v>
      </c>
      <c r="N32" s="4">
        <f t="shared" si="4"/>
        <v>0</v>
      </c>
      <c r="O32" s="4">
        <f>IF(D32-E32-J32&lt;0,0,IF(D32-E32-J32&gt;6000,6000,D32-E32-J32))</f>
        <v>0</v>
      </c>
      <c r="P32" s="4">
        <f>IF(B5&lt;=A32,6000,0)</f>
        <v>0</v>
      </c>
      <c r="Q32" s="2">
        <f t="shared" si="7"/>
        <v>19000</v>
      </c>
      <c r="R32" s="2" t="s">
        <v>39</v>
      </c>
      <c r="S32" s="4" t="str">
        <f t="shared" si="0"/>
        <v>no</v>
      </c>
      <c r="T32" s="4">
        <f t="shared" si="1"/>
        <v>0</v>
      </c>
      <c r="U32" s="41">
        <f t="shared" si="5"/>
        <v>2019</v>
      </c>
      <c r="Y32" s="4"/>
    </row>
    <row r="33" spans="1:25" s="55" customFormat="1" x14ac:dyDescent="0.25">
      <c r="A33" s="55">
        <v>2020</v>
      </c>
      <c r="B33" s="49"/>
      <c r="C33" s="49"/>
      <c r="D33" s="56">
        <f t="shared" si="9"/>
        <v>0</v>
      </c>
      <c r="E33" s="57">
        <v>19500</v>
      </c>
      <c r="F33" s="56">
        <f>IF(A33-B6&lt;15,0,15000)</f>
        <v>15000</v>
      </c>
      <c r="G33" s="56" t="str">
        <f>IF((SUM($D$13:D33)&gt;=((A33-$B$6)*5000)),"Yes","No")</f>
        <v>No</v>
      </c>
      <c r="H33" s="4">
        <f t="shared" si="6"/>
        <v>15000</v>
      </c>
      <c r="I33" s="56">
        <f t="shared" si="3"/>
        <v>0</v>
      </c>
      <c r="J33" s="56">
        <f>IF(G33="Yes",0,IF(B7&gt;A33,0,IF(I33=0,0,IF(I33&lt;F33,I33,F33))))</f>
        <v>0</v>
      </c>
      <c r="K33" s="56">
        <f>SUM($D$13:D33)</f>
        <v>0</v>
      </c>
      <c r="L33" s="58">
        <f>A33-B6</f>
        <v>2020</v>
      </c>
      <c r="M33" s="56">
        <f>IF(B7&lt;=A33,3000,0)</f>
        <v>0</v>
      </c>
      <c r="N33" s="56">
        <f t="shared" si="4"/>
        <v>0</v>
      </c>
      <c r="O33" s="56">
        <f>IF(D33-E33-J33&lt;0,0,IF(D33-E33-J33&gt;6500,6500,D33-E33-J33))</f>
        <v>0</v>
      </c>
      <c r="P33" s="56">
        <f>IF(B5&lt;=A33,6500,0)</f>
        <v>0</v>
      </c>
      <c r="Q33" s="2">
        <f t="shared" si="7"/>
        <v>19500</v>
      </c>
      <c r="R33" s="2" t="s">
        <v>39</v>
      </c>
      <c r="S33" s="56" t="str">
        <f t="shared" si="0"/>
        <v>no</v>
      </c>
      <c r="T33" s="56">
        <f t="shared" si="1"/>
        <v>0</v>
      </c>
      <c r="U33" s="41">
        <f t="shared" si="5"/>
        <v>2020</v>
      </c>
      <c r="V33" s="56"/>
      <c r="W33" s="56"/>
      <c r="X33" s="56"/>
      <c r="Y33" s="56"/>
    </row>
    <row r="34" spans="1:25" s="46" customFormat="1" ht="14.25" customHeight="1" x14ac:dyDescent="0.25">
      <c r="A34" s="46">
        <v>2021</v>
      </c>
      <c r="B34" s="49"/>
      <c r="C34" s="49"/>
      <c r="D34" s="50">
        <f t="shared" si="9"/>
        <v>0</v>
      </c>
      <c r="E34" s="43">
        <v>19500</v>
      </c>
      <c r="F34" s="50">
        <f>IF(A34-B6&lt;15,0,15000)</f>
        <v>15000</v>
      </c>
      <c r="G34" s="50" t="str">
        <f>IF((SUM($D$13:D34)&gt;=((A34-$B$6)*5000)),"Yes","No")</f>
        <v>No</v>
      </c>
      <c r="H34" s="4">
        <f t="shared" si="6"/>
        <v>15000</v>
      </c>
      <c r="I34" s="56">
        <f t="shared" si="3"/>
        <v>0</v>
      </c>
      <c r="J34" s="50">
        <f>IF(G34="Yes",0,IF(B7&gt;A34,0,IF(I34=0,0,IF(I34&lt;F34,I34,F34))))</f>
        <v>0</v>
      </c>
      <c r="K34" s="50">
        <f>SUM($D$13:D34)</f>
        <v>0</v>
      </c>
      <c r="L34" s="64">
        <f>A34-B6</f>
        <v>2021</v>
      </c>
      <c r="M34" s="50">
        <f>IF(B7&lt;=A34,3000,0)</f>
        <v>0</v>
      </c>
      <c r="N34" s="50">
        <f t="shared" si="4"/>
        <v>0</v>
      </c>
      <c r="O34" s="50">
        <f>IF(D34-E34-J34&lt;0,0,IF(D34-E34-J34&gt;6500,6500,D34-E34-J34))</f>
        <v>0</v>
      </c>
      <c r="P34" s="50">
        <f>IF(B5&lt;=A34,6500,0)</f>
        <v>0</v>
      </c>
      <c r="Q34" s="43">
        <f t="shared" si="7"/>
        <v>19500</v>
      </c>
      <c r="R34" s="43" t="s">
        <v>39</v>
      </c>
      <c r="S34" s="50" t="str">
        <f t="shared" si="0"/>
        <v>no</v>
      </c>
      <c r="T34" s="50">
        <f t="shared" si="1"/>
        <v>0</v>
      </c>
      <c r="U34" s="64">
        <f t="shared" si="5"/>
        <v>2021</v>
      </c>
      <c r="V34" s="50"/>
      <c r="W34" s="50"/>
      <c r="X34" s="50"/>
      <c r="Y34" s="50"/>
    </row>
    <row r="35" spans="1:25" x14ac:dyDescent="0.25">
      <c r="A35" s="3">
        <v>2022</v>
      </c>
      <c r="B35" s="49"/>
      <c r="C35" s="38"/>
      <c r="D35" s="4">
        <f t="shared" si="9"/>
        <v>0</v>
      </c>
      <c r="E35" s="2">
        <v>20500</v>
      </c>
      <c r="F35" s="4">
        <f>IF(A35-B6&lt;15,0,15000)</f>
        <v>15000</v>
      </c>
      <c r="G35" s="4" t="str">
        <f>IF((SUM($D$13:D35)&gt;=((A35-$B$6)*5000)),"Yes","No")</f>
        <v>No</v>
      </c>
      <c r="H35" s="4">
        <f t="shared" si="6"/>
        <v>15000</v>
      </c>
      <c r="I35" s="4">
        <f t="shared" si="3"/>
        <v>0</v>
      </c>
      <c r="J35" s="4">
        <f>IF(G35="Yes",0,IF(B7&gt;A35,0,IF(I35=0,0,IF(I35&lt;F35,I35,F35))))</f>
        <v>0</v>
      </c>
      <c r="K35" s="4">
        <f>SUM($D$13:D35)</f>
        <v>0</v>
      </c>
      <c r="L35" s="41">
        <f>A35-B6</f>
        <v>2022</v>
      </c>
      <c r="M35" s="4">
        <f>IF(B7&lt;=A35,3000,0)</f>
        <v>0</v>
      </c>
      <c r="N35" s="4">
        <f t="shared" si="4"/>
        <v>0</v>
      </c>
      <c r="O35" s="4">
        <f>IF(D35-E35-J35&lt;0,0,IF(D35-E35-J35&gt;6500,6500,D35-E35-J35))</f>
        <v>0</v>
      </c>
      <c r="P35" s="4">
        <f>IF(B5&lt;=A35,6500,0)</f>
        <v>0</v>
      </c>
      <c r="Q35" s="2">
        <f t="shared" si="7"/>
        <v>20500</v>
      </c>
      <c r="R35" s="2" t="s">
        <v>39</v>
      </c>
      <c r="S35" s="4" t="str">
        <f t="shared" si="0"/>
        <v>no</v>
      </c>
      <c r="T35" s="4">
        <f t="shared" si="1"/>
        <v>0</v>
      </c>
      <c r="U35" s="41">
        <f t="shared" si="5"/>
        <v>2022</v>
      </c>
      <c r="Y35" s="4"/>
    </row>
    <row r="36" spans="1:25" x14ac:dyDescent="0.25">
      <c r="A36" s="3">
        <v>2023</v>
      </c>
      <c r="B36" s="49"/>
      <c r="C36" s="38"/>
      <c r="D36" s="4">
        <f t="shared" si="9"/>
        <v>0</v>
      </c>
      <c r="E36" s="2">
        <v>22500</v>
      </c>
      <c r="F36" s="4">
        <f>IF(A36-B6&lt;15,0,15000)</f>
        <v>15000</v>
      </c>
      <c r="G36" s="4" t="str">
        <f>IF((SUM($D$13:D36)&gt;=((A36-$B$6)*5000)),"Yes","No")</f>
        <v>No</v>
      </c>
      <c r="H36" s="4">
        <f t="shared" si="6"/>
        <v>15000</v>
      </c>
      <c r="I36" s="4">
        <f t="shared" si="3"/>
        <v>0</v>
      </c>
      <c r="J36" s="4">
        <f>IF(G36="Yes",0,IF(B7&gt;A36,0,IF(I36=0,0,IF(I36&lt;F36,I36,F36))))</f>
        <v>0</v>
      </c>
      <c r="K36" s="4">
        <f>SUM($D$13:D36)</f>
        <v>0</v>
      </c>
      <c r="L36" s="41">
        <f>A36-B6</f>
        <v>2023</v>
      </c>
      <c r="M36" s="4">
        <f>IF(B7&lt;=A36,3000,0)</f>
        <v>0</v>
      </c>
      <c r="N36" s="4">
        <f t="shared" si="4"/>
        <v>0</v>
      </c>
      <c r="O36" s="4">
        <f>IF(D36-E36-J36&lt;0,0,IF(D36-E36-J36&gt;7500,7500,D36-E36-J36))</f>
        <v>0</v>
      </c>
      <c r="P36" s="4">
        <f>IF(B5&lt;=A36,7500,0)</f>
        <v>0</v>
      </c>
      <c r="Q36" s="2">
        <f t="shared" si="7"/>
        <v>22500</v>
      </c>
      <c r="R36" s="2" t="s">
        <v>39</v>
      </c>
      <c r="S36" s="4" t="str">
        <f t="shared" si="0"/>
        <v>no</v>
      </c>
      <c r="T36" s="4">
        <f t="shared" si="1"/>
        <v>0</v>
      </c>
      <c r="U36" s="41">
        <f t="shared" si="5"/>
        <v>2023</v>
      </c>
      <c r="Y36" s="4"/>
    </row>
    <row r="37" spans="1:25" x14ac:dyDescent="0.25">
      <c r="A37" s="3">
        <v>2024</v>
      </c>
      <c r="B37" s="49"/>
      <c r="C37" s="39"/>
      <c r="D37" s="4">
        <f t="shared" si="9"/>
        <v>0</v>
      </c>
      <c r="E37" s="2">
        <v>23000</v>
      </c>
      <c r="F37" s="4">
        <f>IF(A37-B6&lt;15,0,15000)</f>
        <v>15000</v>
      </c>
      <c r="G37" s="4" t="str">
        <f>IF((SUM($D$13:D37)&gt;=((A37-$B$6)*5000)),"Yes","No")</f>
        <v>No</v>
      </c>
      <c r="H37" s="4">
        <f t="shared" si="6"/>
        <v>15000</v>
      </c>
      <c r="I37" s="4">
        <f t="shared" si="3"/>
        <v>0</v>
      </c>
      <c r="J37" s="4">
        <f>IF(G37="Yes",0,IF(B7&gt;A37,0,IF(I37=0,0,IF(I37&lt;F37,I37,F37))))</f>
        <v>0</v>
      </c>
      <c r="K37" s="4">
        <f>SUM($D$13:D37)</f>
        <v>0</v>
      </c>
      <c r="L37" s="41">
        <f>A37-B6</f>
        <v>2024</v>
      </c>
      <c r="M37" s="4">
        <f>IF(B7&lt;=A37,3000,0)</f>
        <v>0</v>
      </c>
      <c r="N37" s="4">
        <f t="shared" si="4"/>
        <v>0</v>
      </c>
      <c r="O37" s="4">
        <f>IF(D37-E37-J37&lt;0,0,IF(D37-E37-J37&gt;7500,7500,D37-E37-J37))</f>
        <v>0</v>
      </c>
      <c r="P37" s="4">
        <f>IF(B5&lt;=A37,7500,0)</f>
        <v>0</v>
      </c>
      <c r="Q37" s="2">
        <f t="shared" si="7"/>
        <v>23000</v>
      </c>
      <c r="R37" s="2" t="s">
        <v>39</v>
      </c>
      <c r="S37" s="4" t="str">
        <f t="shared" si="0"/>
        <v>no</v>
      </c>
      <c r="T37" s="4">
        <f t="shared" si="1"/>
        <v>0</v>
      </c>
      <c r="U37" s="41">
        <f t="shared" si="5"/>
        <v>2024</v>
      </c>
      <c r="Y37" s="4"/>
    </row>
    <row r="38" spans="1:25" x14ac:dyDescent="0.25">
      <c r="A38" s="3">
        <v>2025</v>
      </c>
      <c r="B38" s="49"/>
      <c r="C38" s="39"/>
      <c r="D38" s="4">
        <f t="shared" si="9"/>
        <v>0</v>
      </c>
      <c r="E38" s="2">
        <v>23500</v>
      </c>
      <c r="F38" s="4">
        <f>IF(A38-B6&lt;15,0,15000)</f>
        <v>15000</v>
      </c>
      <c r="G38" s="4" t="str">
        <f>IF((SUM($D$13:D37)&gt;=(L37*5000)),"Yes","No")</f>
        <v>No</v>
      </c>
      <c r="H38" s="4">
        <f t="shared" si="6"/>
        <v>15000</v>
      </c>
      <c r="I38" s="4">
        <f t="shared" si="3"/>
        <v>0</v>
      </c>
      <c r="J38" s="4">
        <f>IF(G38="Yes",0,IF(B7&gt;A38,0,IF(I38=0,0,IF(I38&lt;F38,I38,F38))))</f>
        <v>0</v>
      </c>
      <c r="K38" s="4">
        <f>SUM($D$13:D38)</f>
        <v>0</v>
      </c>
      <c r="L38" s="41">
        <f>A38-B6</f>
        <v>2025</v>
      </c>
      <c r="M38" s="4">
        <f>IF(B8&lt;=A38,3000,0)</f>
        <v>3000</v>
      </c>
      <c r="N38" s="4">
        <f t="shared" si="4"/>
        <v>3000</v>
      </c>
      <c r="O38" s="4">
        <f>IF(D38-E38-J38&lt;0,0,IF(D38-E38-J38&gt;7500,7500,D38-E38-J38))</f>
        <v>0</v>
      </c>
      <c r="P38" s="4">
        <f>IF(B5&lt;=A38,7500,0)</f>
        <v>0</v>
      </c>
      <c r="Q38" s="2">
        <f>IF($B$5&lt;=A38,E38+J38+P38+R38,E38+J38)</f>
        <v>23500</v>
      </c>
      <c r="R38" s="4">
        <f>IF(OR(U38=60,U38=61,U38=62,U38=63),3750,0)</f>
        <v>0</v>
      </c>
      <c r="S38" s="4" t="str">
        <f>IF(D38&gt;Q38,"yes","no")</f>
        <v>no</v>
      </c>
      <c r="T38" s="4">
        <f t="shared" si="1"/>
        <v>0</v>
      </c>
      <c r="U38" s="41">
        <f t="shared" si="5"/>
        <v>2025</v>
      </c>
      <c r="Y38" s="4"/>
    </row>
    <row r="39" spans="1:25" x14ac:dyDescent="0.25">
      <c r="B39" s="50"/>
      <c r="C39" s="34"/>
      <c r="D39" s="36">
        <f>SUM(D13:D37)</f>
        <v>0</v>
      </c>
      <c r="E39" s="34" t="s">
        <v>22</v>
      </c>
      <c r="F39" s="34"/>
      <c r="G39" s="34"/>
      <c r="H39" s="4">
        <f t="shared" ref="H39" si="10">IF(F39&lt;1,0,(F39-J37))</f>
        <v>0</v>
      </c>
      <c r="I39" s="34"/>
      <c r="J39" s="36">
        <f>SUM(J13:J38)</f>
        <v>0</v>
      </c>
      <c r="K39" s="36"/>
      <c r="L39" s="36"/>
      <c r="M39" s="4"/>
      <c r="N39" s="4"/>
      <c r="P39" s="2"/>
      <c r="Q39" s="2"/>
      <c r="R39" s="2"/>
    </row>
    <row r="40" spans="1:25" x14ac:dyDescent="0.25">
      <c r="B40" s="5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T40" s="3"/>
      <c r="V40" s="3"/>
      <c r="W40" s="3"/>
      <c r="X40" s="3"/>
    </row>
    <row r="41" spans="1:25" x14ac:dyDescent="0.25">
      <c r="B41" s="5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T41" s="3"/>
      <c r="V41" s="3"/>
      <c r="W41" s="3"/>
      <c r="X41" s="3"/>
    </row>
    <row r="42" spans="1:25" ht="17.25" x14ac:dyDescent="0.25">
      <c r="A42" t="s">
        <v>31</v>
      </c>
      <c r="B42" s="5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T42" s="3"/>
      <c r="V42" s="3"/>
      <c r="W42" s="3"/>
      <c r="X42" s="3"/>
    </row>
    <row r="43" spans="1:25" ht="17.25" x14ac:dyDescent="0.25">
      <c r="A43" s="65" t="s">
        <v>28</v>
      </c>
      <c r="B43" s="6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T43" s="3"/>
      <c r="V43" s="3"/>
      <c r="W43" s="3"/>
      <c r="X43" s="3"/>
    </row>
    <row r="44" spans="1:25" ht="17.25" x14ac:dyDescent="0.25">
      <c r="A44" s="22" t="s">
        <v>29</v>
      </c>
      <c r="B44" s="5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T44" s="3"/>
      <c r="V44" s="3"/>
      <c r="W44" s="3"/>
      <c r="X44" s="3"/>
    </row>
    <row r="45" spans="1:25" x14ac:dyDescent="0.25">
      <c r="B45" s="5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T45" s="3"/>
      <c r="V45" s="3"/>
      <c r="W45" s="3"/>
      <c r="X45" s="3"/>
    </row>
    <row r="46" spans="1:25" x14ac:dyDescent="0.25">
      <c r="B46" s="5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T46" s="3"/>
      <c r="V46" s="3"/>
      <c r="W46" s="3"/>
      <c r="X46" s="3"/>
    </row>
    <row r="47" spans="1:25" x14ac:dyDescent="0.25">
      <c r="B47" s="5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T47" s="3"/>
      <c r="V47" s="3"/>
      <c r="W47" s="3"/>
      <c r="X47" s="3"/>
    </row>
    <row r="48" spans="1:25" x14ac:dyDescent="0.25">
      <c r="B48" s="5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T48" s="3"/>
      <c r="V48" s="3"/>
      <c r="W48" s="3"/>
      <c r="X48" s="3"/>
    </row>
    <row r="49" spans="1:24" x14ac:dyDescent="0.25">
      <c r="B49" s="5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T49" s="3"/>
      <c r="V49" s="3"/>
      <c r="W49" s="3"/>
      <c r="X49" s="3"/>
    </row>
    <row r="50" spans="1:24" x14ac:dyDescent="0.25">
      <c r="B50" s="5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T50" s="3"/>
      <c r="V50" s="3"/>
      <c r="W50" s="3"/>
      <c r="X50" s="3"/>
    </row>
    <row r="51" spans="1:24" x14ac:dyDescent="0.25"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T51" s="3"/>
      <c r="V51" s="3"/>
      <c r="W51" s="3"/>
      <c r="X51" s="3"/>
    </row>
    <row r="52" spans="1:24" x14ac:dyDescent="0.25"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T52" s="3"/>
      <c r="V52" s="3"/>
      <c r="W52" s="3"/>
      <c r="X52" s="3"/>
    </row>
    <row r="53" spans="1:24" x14ac:dyDescent="0.25">
      <c r="B53" s="5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T53" s="3"/>
      <c r="V53" s="3"/>
      <c r="W53" s="3"/>
      <c r="X53" s="3"/>
    </row>
    <row r="54" spans="1:24" x14ac:dyDescent="0.25">
      <c r="B54" s="5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T54" s="3"/>
      <c r="V54" s="3"/>
      <c r="W54" s="3"/>
      <c r="X54" s="3"/>
    </row>
    <row r="55" spans="1:24" x14ac:dyDescent="0.25">
      <c r="A55" s="28"/>
      <c r="C55" s="26"/>
      <c r="D55" s="26"/>
      <c r="E55" s="26"/>
      <c r="F55" s="26"/>
      <c r="G55" s="26"/>
      <c r="H55" s="26"/>
      <c r="I55" s="26"/>
    </row>
    <row r="56" spans="1:24" x14ac:dyDescent="0.25">
      <c r="A56" s="28"/>
      <c r="C56" s="26"/>
      <c r="D56" s="26"/>
      <c r="E56" s="26"/>
      <c r="F56" s="26"/>
      <c r="G56" s="26"/>
      <c r="H56" s="26"/>
      <c r="I56" s="26"/>
    </row>
    <row r="57" spans="1:24" x14ac:dyDescent="0.25">
      <c r="A57" s="24"/>
      <c r="C57" s="23"/>
      <c r="D57" s="23"/>
      <c r="E57" s="23"/>
      <c r="F57" s="23"/>
      <c r="G57" s="23"/>
      <c r="H57" s="23"/>
      <c r="I57" s="23"/>
    </row>
    <row r="58" spans="1:24" x14ac:dyDescent="0.25">
      <c r="A58" s="24"/>
      <c r="C58" s="23"/>
      <c r="D58" s="23"/>
      <c r="E58" s="23"/>
      <c r="F58" s="23"/>
      <c r="G58" s="23"/>
      <c r="H58" s="23"/>
      <c r="I58" s="23"/>
    </row>
    <row r="59" spans="1:24" x14ac:dyDescent="0.25">
      <c r="A59" s="24"/>
      <c r="C59" s="23"/>
      <c r="D59" s="23"/>
      <c r="E59" s="23"/>
      <c r="F59" s="23"/>
      <c r="G59" s="23"/>
      <c r="H59" s="23"/>
      <c r="I59" s="23"/>
    </row>
    <row r="60" spans="1:24" x14ac:dyDescent="0.25">
      <c r="A60" s="24"/>
      <c r="C60" s="23"/>
      <c r="D60" s="23"/>
      <c r="E60" s="23"/>
      <c r="F60" s="23"/>
      <c r="G60" s="23"/>
      <c r="H60" s="23"/>
      <c r="I60" s="23"/>
    </row>
    <row r="61" spans="1:24" x14ac:dyDescent="0.25">
      <c r="A61" s="24"/>
      <c r="C61" s="23"/>
      <c r="D61" s="23"/>
      <c r="E61" s="23"/>
      <c r="F61" s="23"/>
      <c r="G61" s="23"/>
      <c r="H61" s="23"/>
      <c r="I61" s="23"/>
    </row>
    <row r="62" spans="1:24" x14ac:dyDescent="0.25">
      <c r="A62" s="24"/>
      <c r="C62" s="23"/>
      <c r="D62" s="23"/>
      <c r="E62" s="23"/>
      <c r="F62" s="23"/>
      <c r="G62" s="23"/>
      <c r="H62" s="23"/>
      <c r="I62" s="23"/>
    </row>
    <row r="63" spans="1:24" x14ac:dyDescent="0.25">
      <c r="A63" s="24"/>
      <c r="C63" s="23"/>
      <c r="D63" s="23"/>
      <c r="E63" s="23"/>
      <c r="F63" s="23"/>
      <c r="G63" s="23"/>
      <c r="H63" s="23"/>
      <c r="I63" s="23"/>
    </row>
    <row r="64" spans="1:24" x14ac:dyDescent="0.25">
      <c r="A64" s="24"/>
      <c r="C64" s="23"/>
      <c r="D64" s="23"/>
      <c r="E64" s="23"/>
      <c r="F64" s="23"/>
      <c r="G64" s="23"/>
      <c r="H64" s="23"/>
      <c r="I64" s="23"/>
    </row>
    <row r="65" spans="1:9" x14ac:dyDescent="0.25">
      <c r="A65" s="24"/>
      <c r="C65" s="23"/>
      <c r="D65" s="23"/>
      <c r="E65" s="23"/>
      <c r="F65" s="23"/>
      <c r="G65" s="23"/>
      <c r="H65" s="23"/>
      <c r="I65" s="23"/>
    </row>
    <row r="66" spans="1:9" x14ac:dyDescent="0.25">
      <c r="A66" s="24"/>
      <c r="C66" s="23"/>
      <c r="D66" s="23"/>
      <c r="E66" s="23"/>
      <c r="F66" s="23"/>
      <c r="G66" s="23"/>
      <c r="H66" s="23"/>
      <c r="I66" s="23"/>
    </row>
    <row r="67" spans="1:9" x14ac:dyDescent="0.25">
      <c r="A67" s="24"/>
      <c r="C67" s="23"/>
      <c r="D67" s="23"/>
      <c r="E67" s="23"/>
      <c r="F67" s="23"/>
      <c r="G67" s="23"/>
      <c r="H67" s="23"/>
      <c r="I67" s="23"/>
    </row>
    <row r="68" spans="1:9" x14ac:dyDescent="0.25">
      <c r="A68" s="24"/>
      <c r="C68" s="23"/>
      <c r="D68" s="23"/>
      <c r="E68" s="23"/>
      <c r="F68" s="23"/>
      <c r="G68" s="23"/>
      <c r="H68" s="23"/>
      <c r="I68" s="23"/>
    </row>
  </sheetData>
  <mergeCells count="1">
    <mergeCell ref="A43:B43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Sandusky, Jennifer [DAS]</dc:creator>
  <cp:lastModifiedBy>Williams, John [DAS]</cp:lastModifiedBy>
  <dcterms:created xsi:type="dcterms:W3CDTF">2011-10-25T16:56:56Z</dcterms:created>
  <dcterms:modified xsi:type="dcterms:W3CDTF">2025-02-05T14:19:51Z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